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codeName="ThisWorkbook"/>
  <workbookProtection workbookPassword="CC1C" lockStructure="1"/>
  <bookViews>
    <workbookView xWindow="32760" yWindow="465" windowWidth="19320" windowHeight="11760" tabRatio="882" firstSheet="1" activeTab="5"/>
  </bookViews>
  <sheets>
    <sheet name="系统读取表" sheetId="53" state="hidden" r:id="rId1"/>
    <sheet name="基础数据" sheetId="42" r:id="rId2"/>
    <sheet name="规划指标" sheetId="49" r:id="rId3"/>
    <sheet name="结论表" sheetId="45" r:id="rId4"/>
    <sheet name="底表1（销售）" sheetId="8" state="hidden" r:id="rId5"/>
    <sheet name="底表1（销售计划）" sheetId="108" r:id="rId6"/>
    <sheet name="底表2（增值税、土地增值税）" sheetId="102" r:id="rId7"/>
    <sheet name="主表1（成本）" sheetId="21" r:id="rId8"/>
    <sheet name="主表2（现金流量表）" sheetId="13" r:id="rId9"/>
    <sheet name="主表3（损益表）" sheetId="11" r:id="rId10"/>
    <sheet name="主表4（敏感性分析）" sheetId="37" state="hidden" r:id="rId11"/>
    <sheet name="主表5（资金来源与运用）" sheetId="14" state="hidden" r:id="rId12"/>
    <sheet name="主表3 （敏感性分析 销售-5%）" sheetId="80" state="hidden" r:id="rId13"/>
    <sheet name="主表4-1（敏感性分析 销售-5%）" sheetId="82" state="hidden" r:id="rId14"/>
    <sheet name="主表3 （敏感性分析 销售-10%）" sheetId="83" state="hidden" r:id="rId15"/>
    <sheet name="主表4-1（敏感性分析 销售-10%）" sheetId="84" state="hidden" r:id="rId16"/>
    <sheet name="主表3 （敏感性分析 销售+5%） " sheetId="95" state="hidden" r:id="rId17"/>
    <sheet name="主表4-1（敏感性分析 销售+5%）" sheetId="96" state="hidden" r:id="rId18"/>
    <sheet name="主表3 （敏感性分析 销售+10%）" sheetId="86" state="hidden" r:id="rId19"/>
    <sheet name="主表4-1（敏感性分析 销售+10%）" sheetId="88" state="hidden" r:id="rId20"/>
    <sheet name="主表3 （敏感性分析 成本+5%）" sheetId="74" state="hidden" r:id="rId21"/>
    <sheet name="主表3 （敏感性分析 成本+10%）" sheetId="76" state="hidden" r:id="rId22"/>
    <sheet name="主表4-1（敏感性分析 成本+10%）" sheetId="77" state="hidden" r:id="rId23"/>
    <sheet name="主表3 （敏感性分析 成本-5%）" sheetId="91" state="hidden" r:id="rId24"/>
    <sheet name="主表4-1（敏感性分析 成本-5%）" sheetId="94" state="hidden" r:id="rId25"/>
    <sheet name="主表3 （敏感性分析 成本-10%）" sheetId="79" state="hidden" r:id="rId26"/>
    <sheet name="主表4-1（敏感性分析 成本-10%）" sheetId="78" state="hidden" r:id="rId27"/>
    <sheet name="主表6（负债偿还预测）" sheetId="115" r:id="rId28"/>
    <sheet name="模拟清算" sheetId="103" state="hidden" r:id="rId29"/>
    <sheet name="底表1（销售计划）(模拟清算)" sheetId="118" state="hidden" r:id="rId30"/>
    <sheet name="底表2（增值税、土地增值税）（模拟清算）" sheetId="117" state="hidden" r:id="rId31"/>
    <sheet name="主表5（负债偿还预测表）" sheetId="107" state="hidden" r:id="rId32"/>
  </sheets>
  <externalReferences>
    <externalReference r:id="rId33"/>
  </externalReferences>
  <definedNames>
    <definedName name="jsyd" localSheetId="29">规划指标!#REF!</definedName>
    <definedName name="jsyd" localSheetId="30">规划指标!#REF!</definedName>
    <definedName name="jsyd">规划指标!#REF!</definedName>
    <definedName name="_xlnm.Print_Area" localSheetId="4">'底表1（销售）'!$A$1:$BT$18</definedName>
    <definedName name="_xlnm.Print_Area" localSheetId="5">'底表1（销售计划）'!$A$1:$AQ$166</definedName>
    <definedName name="_xlnm.Print_Area" localSheetId="29">'底表1（销售计划）(模拟清算)'!$A$1:$AQ$167</definedName>
    <definedName name="_xlnm.Print_Area" localSheetId="6">'底表2（增值税、土地增值税）'!$A$1:$P$23</definedName>
    <definedName name="_xlnm.Print_Area" localSheetId="30">'底表2（增值税、土地增值税）（模拟清算）'!$A$1:$P$23</definedName>
    <definedName name="_xlnm.Print_Area" localSheetId="2">规划指标!$A$1:$K$71</definedName>
    <definedName name="_xlnm.Print_Area" localSheetId="1">基础数据!$A$1:$F$47</definedName>
    <definedName name="_xlnm.Print_Area" localSheetId="3">结论表!$A$1:$J$11</definedName>
    <definedName name="_xlnm.Print_Area" localSheetId="7">'主表1（成本）'!$A$1:$AP$114</definedName>
    <definedName name="_xlnm.Print_Area" localSheetId="8">'主表2（现金流量表）'!$A$1:$AP$25</definedName>
    <definedName name="_xlnm.Print_Area" localSheetId="21">'主表3 （敏感性分析 成本+10%）'!$A$1:$S$23</definedName>
    <definedName name="_xlnm.Print_Area" localSheetId="20">'主表3 （敏感性分析 成本+5%）'!$A$1:$S$23</definedName>
    <definedName name="_xlnm.Print_Area" localSheetId="25">'主表3 （敏感性分析 成本-10%）'!$A$1:$S$23</definedName>
    <definedName name="_xlnm.Print_Area" localSheetId="23">'主表3 （敏感性分析 成本-5%）'!$A$1:$S$23</definedName>
    <definedName name="_xlnm.Print_Area" localSheetId="18">'主表3 （敏感性分析 销售+10%）'!$A$1:$S$23</definedName>
    <definedName name="_xlnm.Print_Area" localSheetId="16">'主表3 （敏感性分析 销售+5%） '!$A$1:$S$23</definedName>
    <definedName name="_xlnm.Print_Area" localSheetId="14">'主表3 （敏感性分析 销售-10%）'!$A$1:$S$23</definedName>
    <definedName name="_xlnm.Print_Area" localSheetId="12">'主表3 （敏感性分析 销售-5%）'!$A$1:$S$23</definedName>
    <definedName name="_xlnm.Print_Area" localSheetId="9">'主表3（损益表）'!$A$1:$AQ$22</definedName>
    <definedName name="_xlnm.Print_Area" localSheetId="10">'主表4（敏感性分析）'!$A$1:$E$14</definedName>
    <definedName name="_xlnm.Print_Area" localSheetId="22">'主表4-1（敏感性分析 成本+10%）'!$A$1:$S$21</definedName>
    <definedName name="_xlnm.Print_Area" localSheetId="26">'主表4-1（敏感性分析 成本-10%）'!$A$1:$S$21</definedName>
    <definedName name="_xlnm.Print_Area" localSheetId="24">'主表4-1（敏感性分析 成本-5%）'!$A$1:$S$21</definedName>
    <definedName name="_xlnm.Print_Area" localSheetId="19">'主表4-1（敏感性分析 销售+10%）'!$A$1:$S$21</definedName>
    <definedName name="_xlnm.Print_Area" localSheetId="17">'主表4-1（敏感性分析 销售+5%）'!$A$1:$S$21</definedName>
    <definedName name="_xlnm.Print_Area" localSheetId="15">'主表4-1（敏感性分析 销售-10%）'!$A$1:$S$21</definedName>
    <definedName name="_xlnm.Print_Area" localSheetId="13">'主表4-1（敏感性分析 销售-5%）'!$A$1:$S$21</definedName>
    <definedName name="_xlnm.Print_Area" localSheetId="11">'主表5（资金来源与运用）'!$A$1:$AQ$29</definedName>
    <definedName name="_xlnm.Print_Area" localSheetId="27">'主表6（负债偿还预测）'!$A$1:$AQ$30</definedName>
  </definedNames>
  <calcPr calcId="144525" fullPrecision="0"/>
  <customWorkbookViews>
    <customWorkbookView name="xue jun chang - 个人视面" guid="{62777320-11E7-11D4-8B3D-00E098726125}" mergeInterval="0" personalView="1" xWindow="14" yWindow="26" windowWidth="769" windowHeight="403" tabRatio="738" activeSheetId="44"/>
    <customWorkbookView name="陈平和 - 个人视面" guid="{33FE80C0-0EDF-11D4-8B3D-001060002050}" mergeInterval="0" personalView="1" maximized="1" windowWidth="796" windowHeight="438" tabRatio="738" activeSheetId="44"/>
  </customWorkbookViews>
</workbook>
</file>

<file path=xl/calcChain.xml><?xml version="1.0" encoding="utf-8"?>
<calcChain xmlns="http://schemas.openxmlformats.org/spreadsheetml/2006/main">
  <c r="Q116" i="21" l="1"/>
  <c r="E116" i="21"/>
  <c r="F116" i="21"/>
  <c r="G116" i="21"/>
  <c r="H116" i="21"/>
  <c r="I116" i="21"/>
  <c r="J116" i="21"/>
  <c r="K116" i="21"/>
  <c r="L116" i="21"/>
  <c r="M116" i="21"/>
  <c r="N116" i="21"/>
  <c r="O116" i="21"/>
  <c r="P116" i="21"/>
  <c r="D116" i="21"/>
  <c r="H114" i="21" l="1"/>
  <c r="H109" i="21"/>
  <c r="H110" i="21"/>
  <c r="H111" i="21"/>
  <c r="H112" i="21"/>
  <c r="H113" i="21"/>
  <c r="H108" i="21"/>
  <c r="H87" i="21"/>
  <c r="H86" i="21"/>
  <c r="H81" i="21"/>
  <c r="H69" i="21"/>
  <c r="G109" i="21"/>
  <c r="G110" i="21"/>
  <c r="G111" i="21"/>
  <c r="G112" i="21"/>
  <c r="G113" i="21"/>
  <c r="G108" i="21"/>
  <c r="G87" i="21"/>
  <c r="G86" i="21"/>
  <c r="G81" i="21"/>
  <c r="G69" i="21"/>
  <c r="P112" i="108" l="1"/>
  <c r="B16" i="49" l="1"/>
  <c r="C111" i="21"/>
  <c r="F15" i="115"/>
  <c r="D8" i="21"/>
  <c r="E8" i="21"/>
  <c r="F8" i="21"/>
  <c r="G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AI8" i="21"/>
  <c r="AJ8" i="21"/>
  <c r="AK8" i="21"/>
  <c r="AL8" i="21"/>
  <c r="AM8" i="21"/>
  <c r="AN8" i="21"/>
  <c r="AO8" i="21"/>
  <c r="AP8" i="21"/>
  <c r="D9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9" i="21"/>
  <c r="AI9" i="21"/>
  <c r="AJ9" i="21"/>
  <c r="AK9" i="21"/>
  <c r="AL9" i="21"/>
  <c r="AM9" i="21"/>
  <c r="AN9" i="21"/>
  <c r="AO9" i="21"/>
  <c r="AP9" i="21"/>
  <c r="D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0" i="21"/>
  <c r="AI10" i="21"/>
  <c r="AJ10" i="21"/>
  <c r="AK10" i="21"/>
  <c r="AL10" i="21"/>
  <c r="AM10" i="21"/>
  <c r="AN10" i="21"/>
  <c r="AO10" i="21"/>
  <c r="AP10" i="21"/>
  <c r="D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1" i="21"/>
  <c r="AI11" i="21"/>
  <c r="AJ11" i="21"/>
  <c r="AK11" i="21"/>
  <c r="AL11" i="21"/>
  <c r="AM11" i="21"/>
  <c r="AN11" i="21"/>
  <c r="AO11" i="21"/>
  <c r="AP11" i="21"/>
  <c r="C11" i="21"/>
  <c r="C9" i="21"/>
  <c r="C10" i="21"/>
  <c r="C8" i="21"/>
  <c r="E13" i="115"/>
  <c r="F13" i="115" s="1"/>
  <c r="G13" i="115" s="1"/>
  <c r="H13" i="115" s="1"/>
  <c r="I13" i="115" s="1"/>
  <c r="J13" i="115" s="1"/>
  <c r="K13" i="115" s="1"/>
  <c r="L13" i="115" s="1"/>
  <c r="M13" i="115" s="1"/>
  <c r="N13" i="115" s="1"/>
  <c r="O13" i="115" s="1"/>
  <c r="P13" i="115" s="1"/>
  <c r="Q13" i="115" s="1"/>
  <c r="R13" i="115" s="1"/>
  <c r="S13" i="115" s="1"/>
  <c r="T13" i="115" s="1"/>
  <c r="U13" i="115" s="1"/>
  <c r="V13" i="115" s="1"/>
  <c r="W13" i="115" s="1"/>
  <c r="X13" i="115" s="1"/>
  <c r="Y13" i="115" s="1"/>
  <c r="Z13" i="115" s="1"/>
  <c r="AA13" i="115" s="1"/>
  <c r="AB13" i="115" s="1"/>
  <c r="AC13" i="115" s="1"/>
  <c r="AD13" i="115" s="1"/>
  <c r="AE13" i="115" s="1"/>
  <c r="AF13" i="115" s="1"/>
  <c r="AG13" i="115" s="1"/>
  <c r="AH13" i="115" s="1"/>
  <c r="AI13" i="115" s="1"/>
  <c r="AJ13" i="115" s="1"/>
  <c r="AK13" i="115" s="1"/>
  <c r="AL13" i="115" s="1"/>
  <c r="AM13" i="115" s="1"/>
  <c r="AN13" i="115" s="1"/>
  <c r="AO13" i="115" s="1"/>
  <c r="AP13" i="115" s="1"/>
  <c r="AQ13" i="115" s="1"/>
  <c r="E12" i="115"/>
  <c r="F12" i="115"/>
  <c r="G12" i="115" s="1"/>
  <c r="H12" i="115" s="1"/>
  <c r="I12" i="115" s="1"/>
  <c r="J12" i="115" s="1"/>
  <c r="K12" i="115" s="1"/>
  <c r="L12" i="115" s="1"/>
  <c r="M12" i="115" s="1"/>
  <c r="N12" i="115" s="1"/>
  <c r="O12" i="115" s="1"/>
  <c r="P12" i="115" s="1"/>
  <c r="Q12" i="115" s="1"/>
  <c r="R12" i="115" s="1"/>
  <c r="S12" i="115" s="1"/>
  <c r="T12" i="115" s="1"/>
  <c r="U12" i="115" s="1"/>
  <c r="V12" i="115" s="1"/>
  <c r="W12" i="115" s="1"/>
  <c r="X12" i="115" s="1"/>
  <c r="Y12" i="115" s="1"/>
  <c r="Z12" i="115" s="1"/>
  <c r="AA12" i="115" s="1"/>
  <c r="AB12" i="115" s="1"/>
  <c r="AC12" i="115" s="1"/>
  <c r="AD12" i="115" s="1"/>
  <c r="AE12" i="115" s="1"/>
  <c r="AF12" i="115" s="1"/>
  <c r="AG12" i="115" s="1"/>
  <c r="AH12" i="115" s="1"/>
  <c r="AI12" i="115" s="1"/>
  <c r="AJ12" i="115" s="1"/>
  <c r="AK12" i="115" s="1"/>
  <c r="AL12" i="115" s="1"/>
  <c r="AM12" i="115" s="1"/>
  <c r="AN12" i="115" s="1"/>
  <c r="AO12" i="115" s="1"/>
  <c r="AP12" i="115" s="1"/>
  <c r="AQ12" i="115" s="1"/>
  <c r="E11" i="115"/>
  <c r="F11" i="115" s="1"/>
  <c r="G11" i="115" s="1"/>
  <c r="E10" i="115"/>
  <c r="F10" i="115" s="1"/>
  <c r="B16" i="42"/>
  <c r="D7" i="21"/>
  <c r="B7" i="21" s="1"/>
  <c r="D5" i="45" s="1"/>
  <c r="E35" i="108"/>
  <c r="E36" i="108" s="1"/>
  <c r="F35" i="108"/>
  <c r="F36" i="108"/>
  <c r="G35" i="108"/>
  <c r="G36" i="108" s="1"/>
  <c r="H35" i="108"/>
  <c r="H36" i="108" s="1"/>
  <c r="I35" i="108"/>
  <c r="I36" i="108" s="1"/>
  <c r="J35" i="108"/>
  <c r="J36" i="108" s="1"/>
  <c r="K35" i="108"/>
  <c r="K36" i="108" s="1"/>
  <c r="L35" i="108"/>
  <c r="L36" i="108" s="1"/>
  <c r="M35" i="108"/>
  <c r="M36" i="108" s="1"/>
  <c r="N35" i="108"/>
  <c r="N36" i="108" s="1"/>
  <c r="O35" i="108"/>
  <c r="O36" i="108" s="1"/>
  <c r="P35" i="108"/>
  <c r="P36" i="108"/>
  <c r="Q35" i="108"/>
  <c r="R35" i="108"/>
  <c r="R36" i="108"/>
  <c r="S35" i="108"/>
  <c r="T35" i="108"/>
  <c r="T36" i="108"/>
  <c r="U35" i="108"/>
  <c r="V35" i="108"/>
  <c r="V36" i="108"/>
  <c r="W35" i="108"/>
  <c r="X35" i="108"/>
  <c r="X36" i="108"/>
  <c r="Y35" i="108"/>
  <c r="Z35" i="108"/>
  <c r="Z36" i="108"/>
  <c r="AA35" i="108"/>
  <c r="AB35" i="108"/>
  <c r="AB36" i="108"/>
  <c r="AC35" i="108"/>
  <c r="AD35" i="108"/>
  <c r="AD36" i="108"/>
  <c r="AE35" i="108"/>
  <c r="AF35" i="108"/>
  <c r="AF36" i="108"/>
  <c r="AG35" i="108"/>
  <c r="AH35" i="108"/>
  <c r="AH36" i="108"/>
  <c r="AI35" i="108"/>
  <c r="AJ35" i="108"/>
  <c r="AJ36" i="108"/>
  <c r="AK35" i="108"/>
  <c r="AL35" i="108"/>
  <c r="AL36" i="108"/>
  <c r="AM35" i="108"/>
  <c r="AN35" i="108"/>
  <c r="AN36" i="108"/>
  <c r="AO35" i="108"/>
  <c r="AP35" i="108"/>
  <c r="AP36" i="108"/>
  <c r="AQ35" i="108"/>
  <c r="Q36" i="108"/>
  <c r="S36" i="108"/>
  <c r="U36" i="108"/>
  <c r="W36" i="108"/>
  <c r="Y36" i="108"/>
  <c r="AA36" i="108"/>
  <c r="AC36" i="108"/>
  <c r="AE36" i="108"/>
  <c r="AG36" i="108"/>
  <c r="AI36" i="108"/>
  <c r="AK36" i="108"/>
  <c r="AM36" i="108"/>
  <c r="AO36" i="108"/>
  <c r="AQ36" i="108"/>
  <c r="D35" i="108"/>
  <c r="J21" i="49"/>
  <c r="G5" i="49"/>
  <c r="C78" i="21" s="1"/>
  <c r="B78" i="21" s="1"/>
  <c r="C79" i="21"/>
  <c r="B79" i="21" s="1"/>
  <c r="C75" i="21"/>
  <c r="C74" i="21"/>
  <c r="S28" i="108"/>
  <c r="T28" i="108"/>
  <c r="T29" i="108" s="1"/>
  <c r="U28" i="108"/>
  <c r="V28" i="108"/>
  <c r="V29" i="108" s="1"/>
  <c r="W28" i="108"/>
  <c r="X28" i="108"/>
  <c r="X29" i="108" s="1"/>
  <c r="Y28" i="108"/>
  <c r="Z28" i="108"/>
  <c r="Z29" i="108"/>
  <c r="AA28" i="108"/>
  <c r="AB28" i="108"/>
  <c r="AB29" i="108" s="1"/>
  <c r="AC28" i="108"/>
  <c r="AD28" i="108"/>
  <c r="AD29" i="108" s="1"/>
  <c r="AE28" i="108"/>
  <c r="AF28" i="108"/>
  <c r="AF29" i="108" s="1"/>
  <c r="AG28" i="108"/>
  <c r="AH28" i="108"/>
  <c r="AH29" i="108"/>
  <c r="AI28" i="108"/>
  <c r="AJ28" i="108"/>
  <c r="AJ29" i="108" s="1"/>
  <c r="AK28" i="108"/>
  <c r="AL28" i="108"/>
  <c r="AL29" i="108" s="1"/>
  <c r="AM28" i="108"/>
  <c r="AN28" i="108"/>
  <c r="AN29" i="108"/>
  <c r="AO28" i="108"/>
  <c r="AP28" i="108"/>
  <c r="AP29" i="108" s="1"/>
  <c r="AQ28" i="108"/>
  <c r="E28" i="108"/>
  <c r="E29" i="108"/>
  <c r="D28" i="108"/>
  <c r="G28" i="108"/>
  <c r="G29" i="108" s="1"/>
  <c r="H28" i="108"/>
  <c r="I28" i="108"/>
  <c r="I29" i="108" s="1"/>
  <c r="J28" i="108"/>
  <c r="K28" i="108"/>
  <c r="L28" i="108"/>
  <c r="M28" i="108"/>
  <c r="M29" i="108" s="1"/>
  <c r="N28" i="108"/>
  <c r="O28" i="108"/>
  <c r="O29" i="108" s="1"/>
  <c r="F28" i="108"/>
  <c r="B27" i="108"/>
  <c r="B34" i="108"/>
  <c r="B116" i="108"/>
  <c r="B31" i="42" s="1"/>
  <c r="I19" i="49"/>
  <c r="I5" i="49"/>
  <c r="G106" i="108"/>
  <c r="E12" i="14"/>
  <c r="F12" i="14"/>
  <c r="G12" i="14"/>
  <c r="H12" i="14"/>
  <c r="I12" i="14"/>
  <c r="J12" i="14"/>
  <c r="K12" i="14"/>
  <c r="L12" i="14"/>
  <c r="M12" i="14"/>
  <c r="N12" i="14"/>
  <c r="O12" i="14"/>
  <c r="P12" i="14"/>
  <c r="Q12" i="14"/>
  <c r="R12" i="14"/>
  <c r="S12" i="14"/>
  <c r="T12" i="14"/>
  <c r="U12" i="14"/>
  <c r="V12" i="14"/>
  <c r="W12" i="14"/>
  <c r="X12" i="14"/>
  <c r="Y12" i="14"/>
  <c r="Z12" i="14"/>
  <c r="AA12" i="14"/>
  <c r="AB12" i="14"/>
  <c r="AC12" i="14"/>
  <c r="AD12" i="14"/>
  <c r="AE12" i="14"/>
  <c r="AF12" i="14"/>
  <c r="AG12" i="14"/>
  <c r="AH12" i="14"/>
  <c r="AI12" i="14"/>
  <c r="AJ12" i="14"/>
  <c r="AK12" i="14"/>
  <c r="AL12" i="14"/>
  <c r="AM12" i="14"/>
  <c r="AN12" i="14"/>
  <c r="AO12" i="14"/>
  <c r="AP12" i="14"/>
  <c r="I13" i="14"/>
  <c r="W13" i="14"/>
  <c r="Y13" i="14"/>
  <c r="AA13" i="14"/>
  <c r="AC13" i="14"/>
  <c r="AF14" i="14"/>
  <c r="AH14" i="14"/>
  <c r="AJ14" i="14"/>
  <c r="AL14" i="14"/>
  <c r="W15" i="14"/>
  <c r="Y15" i="14"/>
  <c r="AA15" i="14"/>
  <c r="AC15" i="14"/>
  <c r="D16" i="14"/>
  <c r="E16" i="14"/>
  <c r="F16" i="14"/>
  <c r="G16" i="14"/>
  <c r="H16" i="14"/>
  <c r="I16" i="14"/>
  <c r="J16" i="14"/>
  <c r="K16" i="14"/>
  <c r="L16" i="14"/>
  <c r="M16" i="14"/>
  <c r="N16" i="14"/>
  <c r="O16" i="14"/>
  <c r="P16" i="14"/>
  <c r="Q16" i="14"/>
  <c r="R16" i="14"/>
  <c r="S16" i="14"/>
  <c r="T16" i="14"/>
  <c r="U16" i="14"/>
  <c r="V16" i="14"/>
  <c r="W16" i="14"/>
  <c r="X16" i="14"/>
  <c r="Y16" i="14"/>
  <c r="Z16" i="14"/>
  <c r="AA16" i="14"/>
  <c r="AB16" i="14"/>
  <c r="AC16" i="14"/>
  <c r="AD16" i="14"/>
  <c r="AE16" i="14"/>
  <c r="AF16" i="14"/>
  <c r="AG16" i="14"/>
  <c r="AH16" i="14"/>
  <c r="AI16" i="14"/>
  <c r="AJ16" i="14"/>
  <c r="AK16" i="14"/>
  <c r="AL16" i="14"/>
  <c r="AM16" i="14"/>
  <c r="AN16" i="14"/>
  <c r="AO16" i="14"/>
  <c r="AP16" i="14"/>
  <c r="C16" i="14"/>
  <c r="AQ16" i="14" s="1"/>
  <c r="B11" i="21"/>
  <c r="I15" i="14"/>
  <c r="E136" i="108"/>
  <c r="D137" i="108"/>
  <c r="D138" i="108"/>
  <c r="D139" i="108" s="1"/>
  <c r="D150" i="108" s="1"/>
  <c r="AM19" i="115"/>
  <c r="AL19" i="115"/>
  <c r="AK19" i="115"/>
  <c r="AJ19" i="115"/>
  <c r="AI19" i="115"/>
  <c r="AH19" i="115"/>
  <c r="AG19" i="115"/>
  <c r="AF19" i="115"/>
  <c r="AL15" i="14"/>
  <c r="AK15" i="14"/>
  <c r="AJ15" i="14"/>
  <c r="AI15" i="14"/>
  <c r="AH15" i="14"/>
  <c r="AG15" i="14"/>
  <c r="AF15" i="14"/>
  <c r="AE15" i="14"/>
  <c r="AK14" i="14"/>
  <c r="AI14" i="14"/>
  <c r="AG14" i="14"/>
  <c r="AE14" i="14"/>
  <c r="AL13" i="14"/>
  <c r="AK13" i="14"/>
  <c r="AJ13" i="14"/>
  <c r="AI13" i="14"/>
  <c r="AH13" i="14"/>
  <c r="AG13" i="14"/>
  <c r="AF13" i="14"/>
  <c r="AE13" i="14"/>
  <c r="AM14" i="115"/>
  <c r="AL14" i="115"/>
  <c r="AK14" i="115"/>
  <c r="AJ14" i="115"/>
  <c r="AI14" i="115"/>
  <c r="AH14" i="115"/>
  <c r="AG14" i="115"/>
  <c r="AF14" i="115"/>
  <c r="AM4" i="115"/>
  <c r="AL4" i="115"/>
  <c r="AK4" i="115"/>
  <c r="AJ4" i="115"/>
  <c r="AI4" i="115"/>
  <c r="AH4" i="115"/>
  <c r="AG4" i="115"/>
  <c r="AF4" i="115"/>
  <c r="AE19" i="115"/>
  <c r="AD19" i="115"/>
  <c r="AC19" i="115"/>
  <c r="AB19" i="115"/>
  <c r="AA19" i="115"/>
  <c r="Z19" i="115"/>
  <c r="Y19" i="115"/>
  <c r="X19" i="115"/>
  <c r="AD15" i="14"/>
  <c r="AB15" i="14"/>
  <c r="Z15" i="14"/>
  <c r="X15" i="14"/>
  <c r="AD14" i="14"/>
  <c r="AC14" i="14"/>
  <c r="AB14" i="14"/>
  <c r="AA14" i="14"/>
  <c r="Z14" i="14"/>
  <c r="Y14" i="14"/>
  <c r="X14" i="14"/>
  <c r="W14" i="14"/>
  <c r="AD13" i="14"/>
  <c r="AB13" i="14"/>
  <c r="Z13" i="14"/>
  <c r="X13" i="14"/>
  <c r="AE14" i="115"/>
  <c r="AD14" i="115"/>
  <c r="AC14" i="115"/>
  <c r="AB14" i="115"/>
  <c r="AA14" i="115"/>
  <c r="Z14" i="115"/>
  <c r="Y14" i="115"/>
  <c r="X14" i="115"/>
  <c r="AE4" i="115"/>
  <c r="AD4" i="115"/>
  <c r="AC4" i="115"/>
  <c r="AB4" i="115"/>
  <c r="AA4" i="115"/>
  <c r="Z4" i="115"/>
  <c r="Y4" i="115"/>
  <c r="X4" i="115"/>
  <c r="D14" i="14"/>
  <c r="E14" i="14"/>
  <c r="G14" i="14"/>
  <c r="H14" i="14"/>
  <c r="I14" i="14"/>
  <c r="J14" i="14"/>
  <c r="K14" i="14"/>
  <c r="L14" i="14"/>
  <c r="M14" i="14"/>
  <c r="N14" i="14"/>
  <c r="O14" i="14"/>
  <c r="P14" i="14"/>
  <c r="Q14" i="14"/>
  <c r="R14" i="14"/>
  <c r="S14" i="14"/>
  <c r="T14" i="14"/>
  <c r="U14" i="14"/>
  <c r="V14" i="14"/>
  <c r="AM14" i="14"/>
  <c r="AN14" i="14"/>
  <c r="AO14" i="14"/>
  <c r="AP14" i="14"/>
  <c r="D15" i="14"/>
  <c r="E15" i="14"/>
  <c r="F15" i="14"/>
  <c r="G15" i="14"/>
  <c r="H15" i="14"/>
  <c r="J15" i="14"/>
  <c r="K15" i="14"/>
  <c r="L15" i="14"/>
  <c r="M15" i="14"/>
  <c r="N15" i="14"/>
  <c r="O15" i="14"/>
  <c r="P15" i="14"/>
  <c r="Q15" i="14"/>
  <c r="R15" i="14"/>
  <c r="S15" i="14"/>
  <c r="T15" i="14"/>
  <c r="U15" i="14"/>
  <c r="V15" i="14"/>
  <c r="AM15" i="14"/>
  <c r="AN15" i="14"/>
  <c r="AO15" i="14"/>
  <c r="AP15" i="14"/>
  <c r="E13" i="14"/>
  <c r="H13" i="14"/>
  <c r="J13" i="14"/>
  <c r="K13" i="14"/>
  <c r="L13" i="14"/>
  <c r="M13" i="14"/>
  <c r="N13" i="14"/>
  <c r="O13" i="14"/>
  <c r="P13" i="14"/>
  <c r="Q13" i="14"/>
  <c r="R13" i="14"/>
  <c r="S13" i="14"/>
  <c r="T13" i="14"/>
  <c r="U13" i="14"/>
  <c r="V14" i="115"/>
  <c r="V13" i="14"/>
  <c r="AM13" i="14"/>
  <c r="AN13" i="14"/>
  <c r="AO13" i="14"/>
  <c r="AP13" i="14"/>
  <c r="Q24" i="108"/>
  <c r="Q31" i="108" s="1"/>
  <c r="Q28" i="108" s="1"/>
  <c r="R24" i="108"/>
  <c r="R31" i="108" s="1"/>
  <c r="R28" i="108" s="1"/>
  <c r="B29" i="118"/>
  <c r="B117" i="118"/>
  <c r="B140" i="118" s="1"/>
  <c r="B156" i="118" s="1"/>
  <c r="A167" i="118"/>
  <c r="A166" i="118"/>
  <c r="A165" i="118"/>
  <c r="A164" i="118"/>
  <c r="A163" i="118"/>
  <c r="A162" i="118"/>
  <c r="A161" i="118"/>
  <c r="A160" i="118"/>
  <c r="A159" i="118"/>
  <c r="A158" i="118"/>
  <c r="A157" i="118"/>
  <c r="A156" i="118"/>
  <c r="A155" i="118"/>
  <c r="D154" i="118"/>
  <c r="D155" i="118" s="1"/>
  <c r="A154" i="118"/>
  <c r="A153" i="118"/>
  <c r="C110" i="118"/>
  <c r="B110" i="118"/>
  <c r="B109" i="118"/>
  <c r="B107" i="118"/>
  <c r="B106" i="118"/>
  <c r="B128" i="118" s="1"/>
  <c r="B151" i="118" s="1"/>
  <c r="B167" i="118" s="1"/>
  <c r="C103" i="118"/>
  <c r="B103" i="118"/>
  <c r="B102" i="118"/>
  <c r="AQ100" i="118"/>
  <c r="AQ101" i="118"/>
  <c r="AP100" i="118"/>
  <c r="AP101" i="118"/>
  <c r="AO100" i="118"/>
  <c r="AO101" i="118"/>
  <c r="AN100" i="118"/>
  <c r="AN101" i="118"/>
  <c r="AM100" i="118"/>
  <c r="AM101" i="118"/>
  <c r="AL100" i="118"/>
  <c r="AL101" i="118"/>
  <c r="AK100" i="118"/>
  <c r="AK101" i="118"/>
  <c r="AJ100" i="118"/>
  <c r="AJ101" i="118"/>
  <c r="AI100" i="118"/>
  <c r="AI101" i="118"/>
  <c r="AH100" i="118"/>
  <c r="AH101" i="118"/>
  <c r="AG100" i="118"/>
  <c r="AG101" i="118"/>
  <c r="AF100" i="118"/>
  <c r="AF101" i="118"/>
  <c r="AE100" i="118"/>
  <c r="AE101" i="118"/>
  <c r="AD100" i="118"/>
  <c r="AD101" i="118"/>
  <c r="AC100" i="118"/>
  <c r="AC101" i="118"/>
  <c r="AB100" i="118"/>
  <c r="AB101" i="118"/>
  <c r="AA100" i="118"/>
  <c r="AA101" i="118"/>
  <c r="Z100" i="118"/>
  <c r="Z101" i="118"/>
  <c r="Y100" i="118"/>
  <c r="Y101" i="118"/>
  <c r="X100" i="118"/>
  <c r="X101" i="118"/>
  <c r="W100" i="118"/>
  <c r="W101" i="118"/>
  <c r="V100" i="118"/>
  <c r="V101" i="118"/>
  <c r="U100" i="118"/>
  <c r="U101" i="118"/>
  <c r="T100" i="118"/>
  <c r="T101" i="118"/>
  <c r="S100" i="118"/>
  <c r="S101" i="118"/>
  <c r="R100" i="118"/>
  <c r="R101" i="118"/>
  <c r="Q100" i="118"/>
  <c r="Q101" i="118"/>
  <c r="P100" i="118"/>
  <c r="P101" i="118"/>
  <c r="O100" i="118"/>
  <c r="O101" i="118"/>
  <c r="N100" i="118"/>
  <c r="N101" i="118"/>
  <c r="M100" i="118"/>
  <c r="M101" i="118"/>
  <c r="L100" i="118"/>
  <c r="L101" i="118"/>
  <c r="K100" i="118"/>
  <c r="K101" i="118"/>
  <c r="J100" i="118"/>
  <c r="J101" i="118"/>
  <c r="I100" i="118"/>
  <c r="I101" i="118"/>
  <c r="H100" i="118"/>
  <c r="H101" i="118"/>
  <c r="G100" i="118"/>
  <c r="G101" i="118"/>
  <c r="F100" i="118"/>
  <c r="F101" i="118"/>
  <c r="E100" i="118"/>
  <c r="E101" i="118"/>
  <c r="D100" i="118"/>
  <c r="D101" i="118"/>
  <c r="C101" i="118" s="1"/>
  <c r="B100" i="118"/>
  <c r="B99" i="118"/>
  <c r="B127" i="118"/>
  <c r="B150" i="118" s="1"/>
  <c r="B166" i="118" s="1"/>
  <c r="C96" i="118"/>
  <c r="B96" i="118"/>
  <c r="B95" i="118"/>
  <c r="AQ93" i="118"/>
  <c r="AQ94" i="118" s="1"/>
  <c r="AP93" i="118"/>
  <c r="AP94" i="118" s="1"/>
  <c r="AO93" i="118"/>
  <c r="AO94" i="118" s="1"/>
  <c r="AN93" i="118"/>
  <c r="AN94" i="118" s="1"/>
  <c r="AM93" i="118"/>
  <c r="AM94" i="118" s="1"/>
  <c r="AL93" i="118"/>
  <c r="AL94" i="118" s="1"/>
  <c r="AK93" i="118"/>
  <c r="AK94" i="118" s="1"/>
  <c r="AJ93" i="118"/>
  <c r="AJ94" i="118" s="1"/>
  <c r="AI93" i="118"/>
  <c r="AI94" i="118" s="1"/>
  <c r="AH93" i="118"/>
  <c r="AH94" i="118" s="1"/>
  <c r="AG93" i="118"/>
  <c r="AG94" i="118" s="1"/>
  <c r="AF93" i="118"/>
  <c r="AF94" i="118" s="1"/>
  <c r="AE93" i="118"/>
  <c r="AE94" i="118" s="1"/>
  <c r="AD93" i="118"/>
  <c r="AD94" i="118" s="1"/>
  <c r="AC93" i="118"/>
  <c r="AC94" i="118" s="1"/>
  <c r="AB93" i="118"/>
  <c r="AB94" i="118" s="1"/>
  <c r="AA93" i="118"/>
  <c r="AA94" i="118" s="1"/>
  <c r="Z93" i="118"/>
  <c r="Z94" i="118" s="1"/>
  <c r="Y93" i="118"/>
  <c r="Y94" i="118" s="1"/>
  <c r="X93" i="118"/>
  <c r="X94" i="118" s="1"/>
  <c r="W93" i="118"/>
  <c r="W94" i="118" s="1"/>
  <c r="V93" i="118"/>
  <c r="V94" i="118" s="1"/>
  <c r="U93" i="118"/>
  <c r="U94" i="118" s="1"/>
  <c r="T93" i="118"/>
  <c r="T94" i="118" s="1"/>
  <c r="S93" i="118"/>
  <c r="S94" i="118" s="1"/>
  <c r="R93" i="118"/>
  <c r="R94" i="118" s="1"/>
  <c r="Q93" i="118"/>
  <c r="Q94" i="118" s="1"/>
  <c r="P93" i="118"/>
  <c r="P94" i="118" s="1"/>
  <c r="O93" i="118"/>
  <c r="O94" i="118" s="1"/>
  <c r="N93" i="118"/>
  <c r="N94" i="118" s="1"/>
  <c r="M93" i="118"/>
  <c r="M94" i="118" s="1"/>
  <c r="L93" i="118"/>
  <c r="L94" i="118" s="1"/>
  <c r="K93" i="118"/>
  <c r="K94" i="118" s="1"/>
  <c r="J93" i="118"/>
  <c r="J94" i="118" s="1"/>
  <c r="I93" i="118"/>
  <c r="I94" i="118" s="1"/>
  <c r="H93" i="118"/>
  <c r="H94" i="118" s="1"/>
  <c r="G93" i="118"/>
  <c r="G94" i="118" s="1"/>
  <c r="F93" i="118"/>
  <c r="F94" i="118" s="1"/>
  <c r="E93" i="118"/>
  <c r="E94" i="118" s="1"/>
  <c r="D93" i="118"/>
  <c r="D94" i="118" s="1"/>
  <c r="C94" i="118" s="1"/>
  <c r="B93" i="118"/>
  <c r="B92" i="118"/>
  <c r="B126" i="118" s="1"/>
  <c r="B149" i="118"/>
  <c r="B165" i="118" s="1"/>
  <c r="C89" i="118"/>
  <c r="B89" i="118"/>
  <c r="B88" i="118"/>
  <c r="AQ86" i="118"/>
  <c r="AQ87" i="118"/>
  <c r="AP86" i="118"/>
  <c r="AP87" i="118"/>
  <c r="AO86" i="118"/>
  <c r="AO87" i="118"/>
  <c r="AN86" i="118"/>
  <c r="AN87" i="118"/>
  <c r="AM86" i="118"/>
  <c r="AM87" i="118"/>
  <c r="AL86" i="118"/>
  <c r="AL87" i="118"/>
  <c r="AK86" i="118"/>
  <c r="AK87" i="118"/>
  <c r="AJ86" i="118"/>
  <c r="AJ87" i="118"/>
  <c r="AI86" i="118"/>
  <c r="AI87" i="118"/>
  <c r="AH86" i="118"/>
  <c r="AH87" i="118"/>
  <c r="AG86" i="118"/>
  <c r="AG87" i="118"/>
  <c r="AF86" i="118"/>
  <c r="AF87" i="118"/>
  <c r="AE86" i="118"/>
  <c r="AE87" i="118"/>
  <c r="AD86" i="118"/>
  <c r="AD87" i="118"/>
  <c r="AC86" i="118"/>
  <c r="AC87" i="118"/>
  <c r="AB86" i="118"/>
  <c r="AB87" i="118"/>
  <c r="AA86" i="118"/>
  <c r="AA87" i="118"/>
  <c r="Z86" i="118"/>
  <c r="Z87" i="118"/>
  <c r="Y86" i="118"/>
  <c r="Y87" i="118"/>
  <c r="X86" i="118"/>
  <c r="X87" i="118"/>
  <c r="W86" i="118"/>
  <c r="W87" i="118"/>
  <c r="V86" i="118"/>
  <c r="V87" i="118"/>
  <c r="U86" i="118"/>
  <c r="U87" i="118"/>
  <c r="T86" i="118"/>
  <c r="T87" i="118"/>
  <c r="S86" i="118"/>
  <c r="S87" i="118"/>
  <c r="R86" i="118"/>
  <c r="R87" i="118"/>
  <c r="Q86" i="118"/>
  <c r="Q87" i="118"/>
  <c r="P86" i="118"/>
  <c r="P87" i="118"/>
  <c r="O86" i="118"/>
  <c r="O87" i="118"/>
  <c r="N86" i="118"/>
  <c r="N87" i="118"/>
  <c r="M86" i="118"/>
  <c r="M87" i="118"/>
  <c r="L86" i="118"/>
  <c r="L87" i="118"/>
  <c r="K86" i="118"/>
  <c r="K87" i="118"/>
  <c r="J86" i="118"/>
  <c r="J87" i="118"/>
  <c r="I86" i="118"/>
  <c r="I87" i="118"/>
  <c r="H86" i="118"/>
  <c r="H87" i="118"/>
  <c r="G86" i="118"/>
  <c r="G87" i="118"/>
  <c r="F86" i="118"/>
  <c r="F87" i="118"/>
  <c r="E86" i="118"/>
  <c r="E87" i="118"/>
  <c r="D86" i="118"/>
  <c r="B86" i="118"/>
  <c r="B85" i="118"/>
  <c r="B125" i="118"/>
  <c r="B148" i="118" s="1"/>
  <c r="B164" i="118"/>
  <c r="C82" i="118"/>
  <c r="B82" i="118"/>
  <c r="B81" i="118"/>
  <c r="AQ79" i="118"/>
  <c r="AQ80" i="118" s="1"/>
  <c r="AP79" i="118"/>
  <c r="AP80" i="118" s="1"/>
  <c r="AO79" i="118"/>
  <c r="AO80" i="118" s="1"/>
  <c r="AN79" i="118"/>
  <c r="AN80" i="118" s="1"/>
  <c r="AM79" i="118"/>
  <c r="AM80" i="118" s="1"/>
  <c r="AL79" i="118"/>
  <c r="AL80" i="118" s="1"/>
  <c r="AK79" i="118"/>
  <c r="AK80" i="118" s="1"/>
  <c r="AJ79" i="118"/>
  <c r="AJ80" i="118" s="1"/>
  <c r="AI79" i="118"/>
  <c r="AI80" i="118" s="1"/>
  <c r="AH79" i="118"/>
  <c r="AH80" i="118" s="1"/>
  <c r="AG79" i="118"/>
  <c r="AG80" i="118" s="1"/>
  <c r="AF79" i="118"/>
  <c r="AF80" i="118" s="1"/>
  <c r="AE79" i="118"/>
  <c r="AE80" i="118" s="1"/>
  <c r="AD79" i="118"/>
  <c r="AD80" i="118" s="1"/>
  <c r="AC79" i="118"/>
  <c r="AC80" i="118" s="1"/>
  <c r="AB79" i="118"/>
  <c r="AB80" i="118" s="1"/>
  <c r="AA79" i="118"/>
  <c r="AA80" i="118" s="1"/>
  <c r="Z79" i="118"/>
  <c r="Z80" i="118" s="1"/>
  <c r="Y79" i="118"/>
  <c r="Y80" i="118" s="1"/>
  <c r="X79" i="118"/>
  <c r="X80" i="118" s="1"/>
  <c r="W79" i="118"/>
  <c r="W80" i="118" s="1"/>
  <c r="V79" i="118"/>
  <c r="V80" i="118" s="1"/>
  <c r="U79" i="118"/>
  <c r="U80" i="118" s="1"/>
  <c r="T79" i="118"/>
  <c r="T80" i="118" s="1"/>
  <c r="S79" i="118"/>
  <c r="S80" i="118" s="1"/>
  <c r="R79" i="118"/>
  <c r="R80" i="118" s="1"/>
  <c r="Q79" i="118"/>
  <c r="Q80" i="118" s="1"/>
  <c r="P79" i="118"/>
  <c r="P80" i="118" s="1"/>
  <c r="O79" i="118"/>
  <c r="O80" i="118" s="1"/>
  <c r="N79" i="118"/>
  <c r="N80" i="118" s="1"/>
  <c r="M79" i="118"/>
  <c r="M80" i="118" s="1"/>
  <c r="L79" i="118"/>
  <c r="L80" i="118" s="1"/>
  <c r="K79" i="118"/>
  <c r="K80" i="118" s="1"/>
  <c r="J79" i="118"/>
  <c r="J80" i="118" s="1"/>
  <c r="I79" i="118"/>
  <c r="I80" i="118" s="1"/>
  <c r="H79" i="118"/>
  <c r="H80" i="118" s="1"/>
  <c r="G79" i="118"/>
  <c r="G80" i="118" s="1"/>
  <c r="F79" i="118"/>
  <c r="F80" i="118" s="1"/>
  <c r="E79" i="118"/>
  <c r="E80" i="118" s="1"/>
  <c r="D79" i="118"/>
  <c r="B79" i="118"/>
  <c r="B78" i="118"/>
  <c r="B124" i="118" s="1"/>
  <c r="B147" i="118" s="1"/>
  <c r="B163" i="118" s="1"/>
  <c r="C75" i="118"/>
  <c r="B75" i="118"/>
  <c r="B74" i="118"/>
  <c r="AQ72" i="118"/>
  <c r="AQ73" i="118"/>
  <c r="AP72" i="118"/>
  <c r="AP73" i="118"/>
  <c r="AO72" i="118"/>
  <c r="AO73" i="118"/>
  <c r="AN72" i="118"/>
  <c r="AN73" i="118"/>
  <c r="AM72" i="118"/>
  <c r="AM73" i="118"/>
  <c r="AL72" i="118"/>
  <c r="AL73" i="118"/>
  <c r="AK72" i="118"/>
  <c r="AK73" i="118"/>
  <c r="AJ72" i="118"/>
  <c r="AJ73" i="118"/>
  <c r="AI72" i="118"/>
  <c r="AI73" i="118"/>
  <c r="AH72" i="118"/>
  <c r="AH73" i="118"/>
  <c r="AG72" i="118"/>
  <c r="AG73" i="118"/>
  <c r="AF72" i="118"/>
  <c r="AF73" i="118"/>
  <c r="AE72" i="118"/>
  <c r="AE73" i="118"/>
  <c r="AD72" i="118"/>
  <c r="AD73" i="118"/>
  <c r="AC72" i="118"/>
  <c r="AC73" i="118"/>
  <c r="AB72" i="118"/>
  <c r="AB73" i="118"/>
  <c r="AA72" i="118"/>
  <c r="AA73" i="118"/>
  <c r="Z72" i="118"/>
  <c r="Z73" i="118"/>
  <c r="Y72" i="118"/>
  <c r="Y73" i="118"/>
  <c r="X72" i="118"/>
  <c r="X73" i="118"/>
  <c r="W72" i="118"/>
  <c r="W73" i="118"/>
  <c r="V72" i="118"/>
  <c r="V73" i="118"/>
  <c r="U72" i="118"/>
  <c r="U73" i="118"/>
  <c r="T72" i="118"/>
  <c r="T73" i="118"/>
  <c r="S72" i="118"/>
  <c r="S73" i="118"/>
  <c r="R72" i="118"/>
  <c r="R73" i="118"/>
  <c r="Q72" i="118"/>
  <c r="Q73" i="118"/>
  <c r="P72" i="118"/>
  <c r="P73" i="118"/>
  <c r="O72" i="118"/>
  <c r="O73" i="118"/>
  <c r="N72" i="118"/>
  <c r="N73" i="118"/>
  <c r="M72" i="118"/>
  <c r="M73" i="118"/>
  <c r="L72" i="118"/>
  <c r="L73" i="118"/>
  <c r="K72" i="118"/>
  <c r="K73" i="118"/>
  <c r="J72" i="118"/>
  <c r="J73" i="118"/>
  <c r="I72" i="118"/>
  <c r="I73" i="118"/>
  <c r="H72" i="118"/>
  <c r="H73" i="118"/>
  <c r="G72" i="118"/>
  <c r="G73" i="118"/>
  <c r="F72" i="118"/>
  <c r="F73" i="118"/>
  <c r="E72" i="118"/>
  <c r="E73" i="118"/>
  <c r="D72" i="118"/>
  <c r="B72" i="118"/>
  <c r="B71" i="118"/>
  <c r="B123" i="118"/>
  <c r="B146" i="118" s="1"/>
  <c r="B162" i="118" s="1"/>
  <c r="C68" i="118"/>
  <c r="B68" i="118"/>
  <c r="B67" i="118"/>
  <c r="AQ65" i="118"/>
  <c r="AQ66" i="118" s="1"/>
  <c r="AP65" i="118"/>
  <c r="AP66" i="118" s="1"/>
  <c r="AO65" i="118"/>
  <c r="AO66" i="118" s="1"/>
  <c r="AN65" i="118"/>
  <c r="AN66" i="118" s="1"/>
  <c r="AM65" i="118"/>
  <c r="AM66" i="118" s="1"/>
  <c r="AL65" i="118"/>
  <c r="AL66" i="118" s="1"/>
  <c r="AK65" i="118"/>
  <c r="AK66" i="118" s="1"/>
  <c r="AJ65" i="118"/>
  <c r="AJ66" i="118" s="1"/>
  <c r="AI65" i="118"/>
  <c r="AI66" i="118" s="1"/>
  <c r="AH65" i="118"/>
  <c r="AH66" i="118" s="1"/>
  <c r="AG65" i="118"/>
  <c r="AG66" i="118" s="1"/>
  <c r="AF65" i="118"/>
  <c r="AF66" i="118" s="1"/>
  <c r="AE65" i="118"/>
  <c r="AE66" i="118" s="1"/>
  <c r="AD65" i="118"/>
  <c r="AD66" i="118" s="1"/>
  <c r="AC65" i="118"/>
  <c r="AC66" i="118" s="1"/>
  <c r="AB65" i="118"/>
  <c r="AB66" i="118" s="1"/>
  <c r="AA65" i="118"/>
  <c r="AA66" i="118" s="1"/>
  <c r="Z65" i="118"/>
  <c r="Z66" i="118" s="1"/>
  <c r="Y65" i="118"/>
  <c r="Y66" i="118" s="1"/>
  <c r="X65" i="118"/>
  <c r="X66" i="118" s="1"/>
  <c r="W65" i="118"/>
  <c r="W66" i="118" s="1"/>
  <c r="V65" i="118"/>
  <c r="V66" i="118" s="1"/>
  <c r="U65" i="118"/>
  <c r="U66" i="118" s="1"/>
  <c r="T65" i="118"/>
  <c r="T66" i="118" s="1"/>
  <c r="S65" i="118"/>
  <c r="S66" i="118" s="1"/>
  <c r="R65" i="118"/>
  <c r="R66" i="118" s="1"/>
  <c r="Q65" i="118"/>
  <c r="Q66" i="118" s="1"/>
  <c r="P65" i="118"/>
  <c r="P66" i="118" s="1"/>
  <c r="O65" i="118"/>
  <c r="O66" i="118" s="1"/>
  <c r="N65" i="118"/>
  <c r="N66" i="118" s="1"/>
  <c r="M65" i="118"/>
  <c r="M66" i="118" s="1"/>
  <c r="L65" i="118"/>
  <c r="L66" i="118" s="1"/>
  <c r="K65" i="118"/>
  <c r="K66" i="118" s="1"/>
  <c r="J65" i="118"/>
  <c r="J66" i="118" s="1"/>
  <c r="I65" i="118"/>
  <c r="I66" i="118" s="1"/>
  <c r="H65" i="118"/>
  <c r="H66" i="118" s="1"/>
  <c r="G65" i="118"/>
  <c r="G66" i="118" s="1"/>
  <c r="F65" i="118"/>
  <c r="F66" i="118" s="1"/>
  <c r="E65" i="118"/>
  <c r="E66" i="118" s="1"/>
  <c r="D65" i="118"/>
  <c r="D66" i="118" s="1"/>
  <c r="C66" i="118" s="1"/>
  <c r="B65" i="118"/>
  <c r="B64" i="118"/>
  <c r="B122" i="118" s="1"/>
  <c r="B145" i="118" s="1"/>
  <c r="B161" i="118" s="1"/>
  <c r="C61" i="118"/>
  <c r="B61" i="118"/>
  <c r="B60" i="118"/>
  <c r="AQ58" i="118"/>
  <c r="AQ59" i="118"/>
  <c r="AP58" i="118"/>
  <c r="AP59" i="118"/>
  <c r="AO58" i="118"/>
  <c r="AO59" i="118"/>
  <c r="AN58" i="118"/>
  <c r="AN59" i="118"/>
  <c r="AM58" i="118"/>
  <c r="AM59" i="118"/>
  <c r="AL58" i="118"/>
  <c r="AL59" i="118"/>
  <c r="AK58" i="118"/>
  <c r="AK59" i="118"/>
  <c r="AJ58" i="118"/>
  <c r="AJ59" i="118"/>
  <c r="AI58" i="118"/>
  <c r="AI59" i="118"/>
  <c r="AH58" i="118"/>
  <c r="AH59" i="118"/>
  <c r="AG58" i="118"/>
  <c r="AG59" i="118"/>
  <c r="AF58" i="118"/>
  <c r="AF59" i="118"/>
  <c r="AE58" i="118"/>
  <c r="AE59" i="118"/>
  <c r="AD58" i="118"/>
  <c r="AD59" i="118"/>
  <c r="AC58" i="118"/>
  <c r="AC59" i="118"/>
  <c r="AB58" i="118"/>
  <c r="AB59" i="118"/>
  <c r="AA58" i="118"/>
  <c r="AA59" i="118"/>
  <c r="Z58" i="118"/>
  <c r="Z59" i="118"/>
  <c r="Y58" i="118"/>
  <c r="Y59" i="118"/>
  <c r="X58" i="118"/>
  <c r="X59" i="118"/>
  <c r="W58" i="118"/>
  <c r="W59" i="118"/>
  <c r="V58" i="118"/>
  <c r="V59" i="118"/>
  <c r="U58" i="118"/>
  <c r="U59" i="118"/>
  <c r="T58" i="118"/>
  <c r="T59" i="118"/>
  <c r="S58" i="118"/>
  <c r="S59" i="118"/>
  <c r="R58" i="118"/>
  <c r="R59" i="118"/>
  <c r="Q58" i="118"/>
  <c r="Q59" i="118"/>
  <c r="P58" i="118"/>
  <c r="P59" i="118"/>
  <c r="O58" i="118"/>
  <c r="O59" i="118"/>
  <c r="N58" i="118"/>
  <c r="N59" i="118"/>
  <c r="M58" i="118"/>
  <c r="M59" i="118"/>
  <c r="L58" i="118"/>
  <c r="L59" i="118"/>
  <c r="K58" i="118"/>
  <c r="K59" i="118"/>
  <c r="J58" i="118"/>
  <c r="J59" i="118"/>
  <c r="I58" i="118"/>
  <c r="I59" i="118"/>
  <c r="H58" i="118"/>
  <c r="H59" i="118"/>
  <c r="G58" i="118"/>
  <c r="G59" i="118"/>
  <c r="F58" i="118"/>
  <c r="F59" i="118"/>
  <c r="E58" i="118"/>
  <c r="E59" i="118"/>
  <c r="D58" i="118"/>
  <c r="D59" i="118"/>
  <c r="C59" i="118" s="1"/>
  <c r="B58" i="118"/>
  <c r="B57" i="118"/>
  <c r="B121" i="118"/>
  <c r="B144" i="118" s="1"/>
  <c r="B160" i="118" s="1"/>
  <c r="C54" i="118"/>
  <c r="B54" i="118"/>
  <c r="B53" i="118"/>
  <c r="AQ51" i="118"/>
  <c r="AQ52" i="118" s="1"/>
  <c r="AP51" i="118"/>
  <c r="AP52" i="118" s="1"/>
  <c r="AO51" i="118"/>
  <c r="AO52" i="118" s="1"/>
  <c r="AN51" i="118"/>
  <c r="AN52" i="118" s="1"/>
  <c r="AM51" i="118"/>
  <c r="AM52" i="118" s="1"/>
  <c r="AL51" i="118"/>
  <c r="AL52" i="118" s="1"/>
  <c r="AK51" i="118"/>
  <c r="AK52" i="118" s="1"/>
  <c r="AJ51" i="118"/>
  <c r="AJ52" i="118" s="1"/>
  <c r="AI51" i="118"/>
  <c r="AI52" i="118" s="1"/>
  <c r="AH51" i="118"/>
  <c r="AH52" i="118" s="1"/>
  <c r="AG51" i="118"/>
  <c r="AG52" i="118" s="1"/>
  <c r="AF51" i="118"/>
  <c r="AF52" i="118" s="1"/>
  <c r="AE51" i="118"/>
  <c r="AE52" i="118" s="1"/>
  <c r="AD51" i="118"/>
  <c r="AD52" i="118" s="1"/>
  <c r="AC51" i="118"/>
  <c r="AC52" i="118" s="1"/>
  <c r="AB51" i="118"/>
  <c r="AB52" i="118" s="1"/>
  <c r="AA51" i="118"/>
  <c r="AA52" i="118" s="1"/>
  <c r="Z51" i="118"/>
  <c r="Z52" i="118" s="1"/>
  <c r="Y51" i="118"/>
  <c r="Y52" i="118" s="1"/>
  <c r="X51" i="118"/>
  <c r="X52" i="118" s="1"/>
  <c r="W51" i="118"/>
  <c r="W52" i="118" s="1"/>
  <c r="V51" i="118"/>
  <c r="V52" i="118" s="1"/>
  <c r="U51" i="118"/>
  <c r="U52" i="118" s="1"/>
  <c r="T51" i="118"/>
  <c r="T52" i="118" s="1"/>
  <c r="S51" i="118"/>
  <c r="S52" i="118" s="1"/>
  <c r="R51" i="118"/>
  <c r="R52" i="118" s="1"/>
  <c r="Q51" i="118"/>
  <c r="Q52" i="118" s="1"/>
  <c r="P51" i="118"/>
  <c r="P52" i="118" s="1"/>
  <c r="O51" i="118"/>
  <c r="O52" i="118" s="1"/>
  <c r="N51" i="118"/>
  <c r="N52" i="118" s="1"/>
  <c r="M51" i="118"/>
  <c r="M52" i="118" s="1"/>
  <c r="L51" i="118"/>
  <c r="L52" i="118" s="1"/>
  <c r="K51" i="118"/>
  <c r="K52" i="118" s="1"/>
  <c r="J51" i="118"/>
  <c r="J52" i="118" s="1"/>
  <c r="I51" i="118"/>
  <c r="I52" i="118" s="1"/>
  <c r="H51" i="118"/>
  <c r="H52" i="118" s="1"/>
  <c r="G51" i="118"/>
  <c r="G52" i="118" s="1"/>
  <c r="F51" i="118"/>
  <c r="F52" i="118" s="1"/>
  <c r="E51" i="118"/>
  <c r="E52" i="118" s="1"/>
  <c r="D51" i="118"/>
  <c r="D52" i="118" s="1"/>
  <c r="C52" i="118" s="1"/>
  <c r="B51" i="118"/>
  <c r="B50" i="118"/>
  <c r="B120" i="118" s="1"/>
  <c r="B143" i="118" s="1"/>
  <c r="B159" i="118" s="1"/>
  <c r="C47" i="118"/>
  <c r="B47" i="118"/>
  <c r="B46" i="118"/>
  <c r="AQ44" i="118"/>
  <c r="AQ45" i="118"/>
  <c r="AP44" i="118"/>
  <c r="AP45" i="118"/>
  <c r="AO44" i="118"/>
  <c r="AO45" i="118"/>
  <c r="AN44" i="118"/>
  <c r="AN45" i="118"/>
  <c r="AM44" i="118"/>
  <c r="AM45" i="118"/>
  <c r="AL44" i="118"/>
  <c r="AL45" i="118"/>
  <c r="AK44" i="118"/>
  <c r="AK45" i="118"/>
  <c r="AJ44" i="118"/>
  <c r="AJ45" i="118"/>
  <c r="AI44" i="118"/>
  <c r="AI45" i="118"/>
  <c r="AH44" i="118"/>
  <c r="AH45" i="118"/>
  <c r="AG44" i="118"/>
  <c r="AG45" i="118"/>
  <c r="AF44" i="118"/>
  <c r="AF45" i="118"/>
  <c r="AE44" i="118"/>
  <c r="AE45" i="118"/>
  <c r="AD44" i="118"/>
  <c r="AD45" i="118"/>
  <c r="AC44" i="118"/>
  <c r="AC45" i="118"/>
  <c r="AB44" i="118"/>
  <c r="AB45" i="118"/>
  <c r="AA44" i="118"/>
  <c r="AA45" i="118"/>
  <c r="Z44" i="118"/>
  <c r="Z45" i="118"/>
  <c r="Y44" i="118"/>
  <c r="Y45" i="118"/>
  <c r="X44" i="118"/>
  <c r="X45" i="118"/>
  <c r="W44" i="118"/>
  <c r="W45" i="118"/>
  <c r="V44" i="118"/>
  <c r="V45" i="118"/>
  <c r="U44" i="118"/>
  <c r="U45" i="118"/>
  <c r="T44" i="118"/>
  <c r="T45" i="118"/>
  <c r="S44" i="118"/>
  <c r="S45" i="118"/>
  <c r="R44" i="118"/>
  <c r="R45" i="118"/>
  <c r="Q44" i="118"/>
  <c r="Q45" i="118"/>
  <c r="P44" i="118"/>
  <c r="P45" i="118"/>
  <c r="O44" i="118"/>
  <c r="O45" i="118"/>
  <c r="N44" i="118"/>
  <c r="N45" i="118"/>
  <c r="M44" i="118"/>
  <c r="M45" i="118"/>
  <c r="L44" i="118"/>
  <c r="L45" i="118"/>
  <c r="K44" i="118"/>
  <c r="K45" i="118"/>
  <c r="J44" i="118"/>
  <c r="J45" i="118"/>
  <c r="I44" i="118"/>
  <c r="I45" i="118"/>
  <c r="H44" i="118"/>
  <c r="H45" i="118"/>
  <c r="G44" i="118"/>
  <c r="G45" i="118"/>
  <c r="F44" i="118"/>
  <c r="F45" i="118"/>
  <c r="E44" i="118"/>
  <c r="E45" i="118"/>
  <c r="D44" i="118"/>
  <c r="D45" i="118"/>
  <c r="C45" i="118" s="1"/>
  <c r="B44" i="118"/>
  <c r="B43" i="118"/>
  <c r="B119" i="118"/>
  <c r="B142" i="118" s="1"/>
  <c r="B158" i="118" s="1"/>
  <c r="C40" i="118"/>
  <c r="B40" i="118"/>
  <c r="B39" i="118"/>
  <c r="AQ37" i="118"/>
  <c r="AQ38" i="118" s="1"/>
  <c r="AP37" i="118"/>
  <c r="AP38" i="118" s="1"/>
  <c r="AO37" i="118"/>
  <c r="AO38" i="118" s="1"/>
  <c r="AN37" i="118"/>
  <c r="AN38" i="118" s="1"/>
  <c r="AM37" i="118"/>
  <c r="AM38" i="118" s="1"/>
  <c r="AL37" i="118"/>
  <c r="AL38" i="118" s="1"/>
  <c r="AK37" i="118"/>
  <c r="AK38" i="118" s="1"/>
  <c r="AJ37" i="118"/>
  <c r="AJ38" i="118" s="1"/>
  <c r="AI37" i="118"/>
  <c r="AI38" i="118" s="1"/>
  <c r="AH37" i="118"/>
  <c r="AH38" i="118" s="1"/>
  <c r="AG37" i="118"/>
  <c r="AG38" i="118" s="1"/>
  <c r="AF37" i="118"/>
  <c r="AF38" i="118" s="1"/>
  <c r="AE37" i="118"/>
  <c r="AE38" i="118" s="1"/>
  <c r="AD37" i="118"/>
  <c r="AD38" i="118" s="1"/>
  <c r="AC37" i="118"/>
  <c r="AC38" i="118" s="1"/>
  <c r="AB37" i="118"/>
  <c r="AB38" i="118" s="1"/>
  <c r="AA37" i="118"/>
  <c r="AA38" i="118" s="1"/>
  <c r="Z37" i="118"/>
  <c r="Z38" i="118" s="1"/>
  <c r="Y37" i="118"/>
  <c r="Y38" i="118" s="1"/>
  <c r="X37" i="118"/>
  <c r="X38" i="118" s="1"/>
  <c r="W37" i="118"/>
  <c r="W38" i="118" s="1"/>
  <c r="V37" i="118"/>
  <c r="V38" i="118" s="1"/>
  <c r="U37" i="118"/>
  <c r="U38" i="118" s="1"/>
  <c r="T37" i="118"/>
  <c r="T38" i="118" s="1"/>
  <c r="S37" i="118"/>
  <c r="S38" i="118" s="1"/>
  <c r="R37" i="118"/>
  <c r="R38" i="118" s="1"/>
  <c r="Q37" i="118"/>
  <c r="Q38" i="118" s="1"/>
  <c r="P37" i="118"/>
  <c r="P38" i="118" s="1"/>
  <c r="O37" i="118"/>
  <c r="O38" i="118" s="1"/>
  <c r="N37" i="118"/>
  <c r="N38" i="118" s="1"/>
  <c r="M37" i="118"/>
  <c r="M38" i="118" s="1"/>
  <c r="L37" i="118"/>
  <c r="L38" i="118" s="1"/>
  <c r="K37" i="118"/>
  <c r="K38" i="118" s="1"/>
  <c r="J37" i="118"/>
  <c r="J38" i="118" s="1"/>
  <c r="I37" i="118"/>
  <c r="I38" i="118" s="1"/>
  <c r="H37" i="118"/>
  <c r="H38" i="118" s="1"/>
  <c r="G37" i="118"/>
  <c r="G38" i="118" s="1"/>
  <c r="F37" i="118"/>
  <c r="F38" i="118" s="1"/>
  <c r="E37" i="118"/>
  <c r="E38" i="118" s="1"/>
  <c r="D37" i="118"/>
  <c r="D38" i="118" s="1"/>
  <c r="C38" i="118" s="1"/>
  <c r="B37" i="118"/>
  <c r="B36" i="118"/>
  <c r="B118" i="118" s="1"/>
  <c r="B141" i="118"/>
  <c r="B157" i="118" s="1"/>
  <c r="C33" i="118"/>
  <c r="B33" i="118"/>
  <c r="B32" i="118"/>
  <c r="AQ30" i="118"/>
  <c r="AQ31" i="118"/>
  <c r="AP30" i="118"/>
  <c r="AP31" i="118"/>
  <c r="AO30" i="118"/>
  <c r="AO31" i="118"/>
  <c r="AN30" i="118"/>
  <c r="AN31" i="118"/>
  <c r="AM30" i="118"/>
  <c r="AM31" i="118"/>
  <c r="AL30" i="118"/>
  <c r="AL31" i="118"/>
  <c r="AK30" i="118"/>
  <c r="AK31" i="118"/>
  <c r="AJ30" i="118"/>
  <c r="AJ31" i="118"/>
  <c r="AI30" i="118"/>
  <c r="AI31" i="118"/>
  <c r="AH30" i="118"/>
  <c r="AH31" i="118"/>
  <c r="AG30" i="118"/>
  <c r="AG31" i="118"/>
  <c r="AF30" i="118"/>
  <c r="AF31" i="118"/>
  <c r="AE30" i="118"/>
  <c r="AE31" i="118"/>
  <c r="AD30" i="118"/>
  <c r="AD31" i="118"/>
  <c r="AC30" i="118"/>
  <c r="AC31" i="118"/>
  <c r="AB30" i="118"/>
  <c r="AB31" i="118"/>
  <c r="AA30" i="118"/>
  <c r="AA31" i="118"/>
  <c r="Z30" i="118"/>
  <c r="Z31" i="118"/>
  <c r="Y30" i="118"/>
  <c r="Y31" i="118"/>
  <c r="X30" i="118"/>
  <c r="X31" i="118"/>
  <c r="W30" i="118"/>
  <c r="W31" i="118"/>
  <c r="V30" i="118"/>
  <c r="V31" i="118"/>
  <c r="U30" i="118"/>
  <c r="U31" i="118"/>
  <c r="T30" i="118"/>
  <c r="T31" i="118"/>
  <c r="S30" i="118"/>
  <c r="S31" i="118"/>
  <c r="R30" i="118"/>
  <c r="R31" i="118"/>
  <c r="Q30" i="118"/>
  <c r="Q31" i="118"/>
  <c r="P30" i="118"/>
  <c r="P31" i="118"/>
  <c r="O30" i="118"/>
  <c r="O31" i="118"/>
  <c r="N30" i="118"/>
  <c r="N31" i="118"/>
  <c r="M30" i="118"/>
  <c r="M31" i="118"/>
  <c r="L30" i="118"/>
  <c r="L31" i="118"/>
  <c r="K30" i="118"/>
  <c r="K31" i="118"/>
  <c r="J30" i="118"/>
  <c r="J31" i="118"/>
  <c r="I30" i="118"/>
  <c r="I31" i="118"/>
  <c r="H30" i="118"/>
  <c r="H31" i="118"/>
  <c r="G30" i="118"/>
  <c r="G31" i="118"/>
  <c r="F30" i="118"/>
  <c r="F31" i="118"/>
  <c r="E30" i="118"/>
  <c r="E31" i="118"/>
  <c r="D30" i="118"/>
  <c r="B30" i="118"/>
  <c r="C26" i="118"/>
  <c r="B26" i="118"/>
  <c r="B25" i="118"/>
  <c r="AQ23" i="118"/>
  <c r="AQ24" i="118" s="1"/>
  <c r="AP23" i="118"/>
  <c r="AP24" i="118" s="1"/>
  <c r="AO23" i="118"/>
  <c r="AO24" i="118" s="1"/>
  <c r="AN23" i="118"/>
  <c r="AN24" i="118" s="1"/>
  <c r="AM23" i="118"/>
  <c r="AM24" i="118" s="1"/>
  <c r="AL23" i="118"/>
  <c r="AL24" i="118" s="1"/>
  <c r="AK23" i="118"/>
  <c r="AK24" i="118" s="1"/>
  <c r="AJ23" i="118"/>
  <c r="AJ24" i="118" s="1"/>
  <c r="AI23" i="118"/>
  <c r="AI24" i="118" s="1"/>
  <c r="AH23" i="118"/>
  <c r="AH24" i="118" s="1"/>
  <c r="AG23" i="118"/>
  <c r="AG24" i="118" s="1"/>
  <c r="AF23" i="118"/>
  <c r="AF24" i="118" s="1"/>
  <c r="AE23" i="118"/>
  <c r="AE24" i="118" s="1"/>
  <c r="AD23" i="118"/>
  <c r="AD24" i="118" s="1"/>
  <c r="AC23" i="118"/>
  <c r="AC24" i="118" s="1"/>
  <c r="AB23" i="118"/>
  <c r="AB24" i="118" s="1"/>
  <c r="AA23" i="118"/>
  <c r="AA24" i="118" s="1"/>
  <c r="Z23" i="118"/>
  <c r="Z24" i="118" s="1"/>
  <c r="Y23" i="118"/>
  <c r="Y24" i="118" s="1"/>
  <c r="X23" i="118"/>
  <c r="X24" i="118" s="1"/>
  <c r="W23" i="118"/>
  <c r="W24" i="118" s="1"/>
  <c r="V23" i="118"/>
  <c r="V24" i="118" s="1"/>
  <c r="U23" i="118"/>
  <c r="U24" i="118" s="1"/>
  <c r="T23" i="118"/>
  <c r="T24" i="118" s="1"/>
  <c r="S23" i="118"/>
  <c r="S24" i="118" s="1"/>
  <c r="R23" i="118"/>
  <c r="R24" i="118" s="1"/>
  <c r="Q23" i="118"/>
  <c r="Q24" i="118" s="1"/>
  <c r="P23" i="118"/>
  <c r="P24" i="118" s="1"/>
  <c r="O23" i="118"/>
  <c r="O24" i="118" s="1"/>
  <c r="N23" i="118"/>
  <c r="N24" i="118" s="1"/>
  <c r="M23" i="118"/>
  <c r="M24" i="118" s="1"/>
  <c r="L23" i="118"/>
  <c r="L24" i="118" s="1"/>
  <c r="K23" i="118"/>
  <c r="K24" i="118" s="1"/>
  <c r="J23" i="118"/>
  <c r="J24" i="118" s="1"/>
  <c r="I23" i="118"/>
  <c r="I24" i="118" s="1"/>
  <c r="H23" i="118"/>
  <c r="H24" i="118" s="1"/>
  <c r="G23" i="118"/>
  <c r="G24" i="118" s="1"/>
  <c r="F23" i="118"/>
  <c r="F24" i="118" s="1"/>
  <c r="E23" i="118"/>
  <c r="E24" i="118" s="1"/>
  <c r="D23" i="118"/>
  <c r="B23" i="118"/>
  <c r="B22" i="118"/>
  <c r="B116" i="118" s="1"/>
  <c r="B139" i="118" s="1"/>
  <c r="B155" i="118" s="1"/>
  <c r="C19" i="118"/>
  <c r="B19" i="118"/>
  <c r="D18" i="118"/>
  <c r="E18" i="118" s="1"/>
  <c r="B18" i="118"/>
  <c r="B17" i="118"/>
  <c r="B24" i="118"/>
  <c r="B31" i="118" s="1"/>
  <c r="B38" i="118" s="1"/>
  <c r="B45" i="118" s="1"/>
  <c r="B52" i="118" s="1"/>
  <c r="B59" i="118" s="1"/>
  <c r="B66" i="118" s="1"/>
  <c r="B73" i="118" s="1"/>
  <c r="B80" i="118" s="1"/>
  <c r="B87" i="118" s="1"/>
  <c r="B94" i="118" s="1"/>
  <c r="B101" i="118" s="1"/>
  <c r="B108" i="118" s="1"/>
  <c r="AQ16" i="118"/>
  <c r="AQ17" i="118" s="1"/>
  <c r="AP16" i="118"/>
  <c r="AP17" i="118" s="1"/>
  <c r="AO16" i="118"/>
  <c r="AO17" i="118" s="1"/>
  <c r="AN16" i="118"/>
  <c r="AN17" i="118" s="1"/>
  <c r="AM16" i="118"/>
  <c r="AM17" i="118" s="1"/>
  <c r="AL16" i="118"/>
  <c r="AL17" i="118" s="1"/>
  <c r="AK16" i="118"/>
  <c r="AK17" i="118" s="1"/>
  <c r="AJ16" i="118"/>
  <c r="AJ17" i="118" s="1"/>
  <c r="AI16" i="118"/>
  <c r="AI17" i="118" s="1"/>
  <c r="AH16" i="118"/>
  <c r="AH17" i="118" s="1"/>
  <c r="AG16" i="118"/>
  <c r="AG17" i="118" s="1"/>
  <c r="AF16" i="118"/>
  <c r="AF17" i="118" s="1"/>
  <c r="AE16" i="118"/>
  <c r="AE17" i="118" s="1"/>
  <c r="AD16" i="118"/>
  <c r="AD17" i="118" s="1"/>
  <c r="AC16" i="118"/>
  <c r="AC17" i="118" s="1"/>
  <c r="AB16" i="118"/>
  <c r="AB17" i="118" s="1"/>
  <c r="AA16" i="118"/>
  <c r="AA17" i="118" s="1"/>
  <c r="Z16" i="118"/>
  <c r="Z17" i="118" s="1"/>
  <c r="Y16" i="118"/>
  <c r="Y17" i="118" s="1"/>
  <c r="X16" i="118"/>
  <c r="X17" i="118" s="1"/>
  <c r="W16" i="118"/>
  <c r="W17" i="118" s="1"/>
  <c r="V16" i="118"/>
  <c r="V17" i="118" s="1"/>
  <c r="U16" i="118"/>
  <c r="U17" i="118" s="1"/>
  <c r="T16" i="118"/>
  <c r="T17" i="118" s="1"/>
  <c r="S16" i="118"/>
  <c r="S17" i="118" s="1"/>
  <c r="R16" i="118"/>
  <c r="R17" i="118" s="1"/>
  <c r="Q16" i="118"/>
  <c r="Q17" i="118" s="1"/>
  <c r="P16" i="118"/>
  <c r="P17" i="118" s="1"/>
  <c r="O16" i="118"/>
  <c r="O17" i="118" s="1"/>
  <c r="N16" i="118"/>
  <c r="N17" i="118" s="1"/>
  <c r="M16" i="118"/>
  <c r="M17" i="118" s="1"/>
  <c r="L16" i="118"/>
  <c r="L17" i="118" s="1"/>
  <c r="K16" i="118"/>
  <c r="K17" i="118" s="1"/>
  <c r="J16" i="118"/>
  <c r="J17" i="118" s="1"/>
  <c r="I16" i="118"/>
  <c r="I17" i="118" s="1"/>
  <c r="H16" i="118"/>
  <c r="H17" i="118" s="1"/>
  <c r="G16" i="118"/>
  <c r="G17" i="118" s="1"/>
  <c r="F16" i="118"/>
  <c r="F17" i="118" s="1"/>
  <c r="E16" i="118"/>
  <c r="E17" i="118" s="1"/>
  <c r="D16" i="118"/>
  <c r="B16" i="118"/>
  <c r="B15" i="118"/>
  <c r="B115" i="118"/>
  <c r="B138" i="118" s="1"/>
  <c r="B154" i="118" s="1"/>
  <c r="C12" i="118"/>
  <c r="D11" i="118"/>
  <c r="E11" i="118" s="1"/>
  <c r="AQ9" i="118"/>
  <c r="AQ10" i="118" s="1"/>
  <c r="AP9" i="118"/>
  <c r="AP10" i="118" s="1"/>
  <c r="AO9" i="118"/>
  <c r="AO10" i="118" s="1"/>
  <c r="AN9" i="118"/>
  <c r="AN10" i="118" s="1"/>
  <c r="AM9" i="118"/>
  <c r="AM10" i="118" s="1"/>
  <c r="AL9" i="118"/>
  <c r="AL10" i="118" s="1"/>
  <c r="AK9" i="118"/>
  <c r="AK10" i="118" s="1"/>
  <c r="AJ9" i="118"/>
  <c r="AJ10" i="118" s="1"/>
  <c r="AI9" i="118"/>
  <c r="AI10" i="118" s="1"/>
  <c r="AH9" i="118"/>
  <c r="AH10" i="118" s="1"/>
  <c r="AG9" i="118"/>
  <c r="AG10" i="118" s="1"/>
  <c r="AF9" i="118"/>
  <c r="AF10" i="118" s="1"/>
  <c r="AE9" i="118"/>
  <c r="AE10" i="118" s="1"/>
  <c r="AD9" i="118"/>
  <c r="AD10" i="118" s="1"/>
  <c r="AC9" i="118"/>
  <c r="AC10" i="118" s="1"/>
  <c r="AB9" i="118"/>
  <c r="AB10" i="118" s="1"/>
  <c r="AA9" i="118"/>
  <c r="AA10" i="118" s="1"/>
  <c r="Z9" i="118"/>
  <c r="Z10" i="118" s="1"/>
  <c r="Y9" i="118"/>
  <c r="Y10" i="118" s="1"/>
  <c r="X9" i="118"/>
  <c r="X10" i="118" s="1"/>
  <c r="W9" i="118"/>
  <c r="W10" i="118" s="1"/>
  <c r="V9" i="118"/>
  <c r="V10" i="118" s="1"/>
  <c r="U9" i="118"/>
  <c r="U10" i="118" s="1"/>
  <c r="T9" i="118"/>
  <c r="T10" i="118" s="1"/>
  <c r="S9" i="118"/>
  <c r="S10" i="118" s="1"/>
  <c r="R9" i="118"/>
  <c r="R10" i="118" s="1"/>
  <c r="Q9" i="118"/>
  <c r="Q10" i="118" s="1"/>
  <c r="P9" i="118"/>
  <c r="P10" i="118" s="1"/>
  <c r="O9" i="118"/>
  <c r="O10" i="118" s="1"/>
  <c r="N9" i="118"/>
  <c r="N10" i="118" s="1"/>
  <c r="M9" i="118"/>
  <c r="M10" i="118" s="1"/>
  <c r="L9" i="118"/>
  <c r="L10" i="118" s="1"/>
  <c r="K9" i="118"/>
  <c r="K10" i="118" s="1"/>
  <c r="J9" i="118"/>
  <c r="J10" i="118" s="1"/>
  <c r="I9" i="118"/>
  <c r="I10" i="118" s="1"/>
  <c r="H9" i="118"/>
  <c r="H10" i="118" s="1"/>
  <c r="G9" i="118"/>
  <c r="G10" i="118" s="1"/>
  <c r="F9" i="118"/>
  <c r="F10" i="118" s="1"/>
  <c r="E9" i="118"/>
  <c r="E10" i="118" s="1"/>
  <c r="D9" i="118"/>
  <c r="D10" i="118" s="1"/>
  <c r="B8" i="118"/>
  <c r="B114" i="118" s="1"/>
  <c r="B137" i="118" s="1"/>
  <c r="B153" i="118" s="1"/>
  <c r="D24" i="14"/>
  <c r="E24" i="14"/>
  <c r="G24" i="14"/>
  <c r="H24" i="14"/>
  <c r="I24" i="14"/>
  <c r="K24" i="14"/>
  <c r="L24" i="14"/>
  <c r="M24" i="14"/>
  <c r="O24" i="14"/>
  <c r="Q24" i="14"/>
  <c r="S24" i="14"/>
  <c r="T24" i="14"/>
  <c r="U24" i="14"/>
  <c r="W24" i="14"/>
  <c r="X24" i="14"/>
  <c r="Y24" i="14"/>
  <c r="AA24" i="14"/>
  <c r="AB24" i="14"/>
  <c r="AC24" i="14"/>
  <c r="AE24" i="14"/>
  <c r="AF24" i="14"/>
  <c r="AG24" i="14"/>
  <c r="AI24" i="14"/>
  <c r="AJ24" i="14"/>
  <c r="AK24" i="14"/>
  <c r="AM24" i="14"/>
  <c r="AN24" i="14"/>
  <c r="AO24" i="14"/>
  <c r="D25" i="14"/>
  <c r="E25" i="14"/>
  <c r="F25" i="14"/>
  <c r="G25" i="14"/>
  <c r="H25" i="14"/>
  <c r="I25" i="14"/>
  <c r="J25" i="14"/>
  <c r="K25" i="14"/>
  <c r="L25" i="14"/>
  <c r="O25" i="14"/>
  <c r="P25" i="14"/>
  <c r="Q25" i="14"/>
  <c r="R25" i="14"/>
  <c r="S25" i="14"/>
  <c r="T25" i="14"/>
  <c r="U25" i="14"/>
  <c r="V25" i="14"/>
  <c r="W25" i="14"/>
  <c r="X25" i="14"/>
  <c r="Y25" i="14"/>
  <c r="Z25" i="14"/>
  <c r="AA25" i="14"/>
  <c r="AB25" i="14"/>
  <c r="AE25" i="14"/>
  <c r="AF25" i="14"/>
  <c r="AG25" i="14"/>
  <c r="AH25" i="14"/>
  <c r="AI25" i="14"/>
  <c r="AJ25" i="14"/>
  <c r="AK25" i="14"/>
  <c r="AL25" i="14"/>
  <c r="AM25" i="14"/>
  <c r="AN25" i="14"/>
  <c r="AO25" i="14"/>
  <c r="AP25" i="14"/>
  <c r="D26" i="14"/>
  <c r="E26" i="14"/>
  <c r="F26" i="14"/>
  <c r="G26" i="14"/>
  <c r="H26" i="14"/>
  <c r="I26" i="14"/>
  <c r="J26" i="14"/>
  <c r="K26" i="14"/>
  <c r="L26" i="14"/>
  <c r="M26" i="14"/>
  <c r="N26" i="14"/>
  <c r="O26" i="14"/>
  <c r="P26" i="14"/>
  <c r="Q26" i="14"/>
  <c r="R26" i="14"/>
  <c r="S26" i="14"/>
  <c r="T26" i="14"/>
  <c r="U26" i="14"/>
  <c r="V26" i="14"/>
  <c r="W26" i="14"/>
  <c r="X26" i="14"/>
  <c r="Y26" i="14"/>
  <c r="Z26" i="14"/>
  <c r="AA26" i="14"/>
  <c r="AB26" i="14"/>
  <c r="AC26" i="14"/>
  <c r="AD26" i="14"/>
  <c r="AE26" i="14"/>
  <c r="AF26" i="14"/>
  <c r="AG26" i="14"/>
  <c r="AH26" i="14"/>
  <c r="AI26" i="14"/>
  <c r="AJ26" i="14"/>
  <c r="AK26" i="14"/>
  <c r="AL26" i="14"/>
  <c r="AM26" i="14"/>
  <c r="AN26" i="14"/>
  <c r="AO26" i="14"/>
  <c r="AP26" i="14"/>
  <c r="AG8" i="14"/>
  <c r="AF8" i="14"/>
  <c r="AE8" i="14"/>
  <c r="AD8" i="14"/>
  <c r="AC8" i="14"/>
  <c r="AL4" i="14"/>
  <c r="AK4" i="14"/>
  <c r="AJ4" i="14"/>
  <c r="AI4" i="14"/>
  <c r="AH4" i="14"/>
  <c r="AG4" i="14"/>
  <c r="AF4" i="14"/>
  <c r="AE4" i="14"/>
  <c r="AD4" i="14"/>
  <c r="AC4" i="14"/>
  <c r="AB4" i="14"/>
  <c r="AA4" i="14"/>
  <c r="Z4" i="14"/>
  <c r="Y4" i="14"/>
  <c r="X4" i="14"/>
  <c r="W4" i="14"/>
  <c r="AP11" i="13"/>
  <c r="C14" i="13"/>
  <c r="D14" i="13"/>
  <c r="F14" i="13"/>
  <c r="G14" i="13"/>
  <c r="H14" i="13"/>
  <c r="J14" i="13"/>
  <c r="K14" i="13"/>
  <c r="L14" i="13"/>
  <c r="N14" i="13"/>
  <c r="P14" i="13"/>
  <c r="R14" i="13"/>
  <c r="S14" i="13"/>
  <c r="T14" i="13"/>
  <c r="V14" i="13"/>
  <c r="W14" i="13"/>
  <c r="X14" i="13"/>
  <c r="Z14" i="13"/>
  <c r="AA14" i="13"/>
  <c r="AB14" i="13"/>
  <c r="AD14" i="13"/>
  <c r="AE14" i="13"/>
  <c r="AF14" i="13"/>
  <c r="AH14" i="13"/>
  <c r="AI14" i="13"/>
  <c r="AJ14" i="13"/>
  <c r="AL14" i="13"/>
  <c r="AM14" i="13"/>
  <c r="AN14" i="13"/>
  <c r="AK4" i="13"/>
  <c r="AJ4" i="13"/>
  <c r="AI4" i="13"/>
  <c r="AH4" i="13"/>
  <c r="AG4" i="13"/>
  <c r="AF4" i="13"/>
  <c r="AE4" i="13"/>
  <c r="AD4" i="13"/>
  <c r="AC4" i="13"/>
  <c r="AB4" i="13"/>
  <c r="AA4" i="13"/>
  <c r="Z4" i="13"/>
  <c r="Y4" i="13"/>
  <c r="X4" i="13"/>
  <c r="W4" i="13"/>
  <c r="V4" i="13"/>
  <c r="C9" i="11"/>
  <c r="C6" i="11"/>
  <c r="AM4" i="11"/>
  <c r="AL4" i="11"/>
  <c r="AK4" i="11"/>
  <c r="AJ4" i="11"/>
  <c r="AI4" i="11"/>
  <c r="AH4" i="11"/>
  <c r="AG4" i="11"/>
  <c r="AF4" i="11"/>
  <c r="AE4" i="11"/>
  <c r="AD4" i="11"/>
  <c r="AC4" i="11"/>
  <c r="AB4" i="11"/>
  <c r="AA4" i="11"/>
  <c r="Z4" i="11"/>
  <c r="Y4" i="11"/>
  <c r="X4" i="11"/>
  <c r="O15" i="45"/>
  <c r="O16" i="45"/>
  <c r="O17" i="45"/>
  <c r="O18" i="45"/>
  <c r="O19" i="45"/>
  <c r="O20" i="45"/>
  <c r="O21" i="45"/>
  <c r="O22" i="45"/>
  <c r="O23" i="45"/>
  <c r="O24" i="45"/>
  <c r="O25" i="45"/>
  <c r="O26" i="45"/>
  <c r="O27" i="45"/>
  <c r="M15" i="45"/>
  <c r="M16" i="45"/>
  <c r="M17" i="45"/>
  <c r="M18" i="45"/>
  <c r="M19" i="45"/>
  <c r="M20" i="45"/>
  <c r="M21" i="45"/>
  <c r="M22" i="45"/>
  <c r="M23" i="45"/>
  <c r="M24" i="45"/>
  <c r="M25" i="45"/>
  <c r="M26" i="45"/>
  <c r="M27" i="45"/>
  <c r="M28" i="45"/>
  <c r="C104" i="21"/>
  <c r="C105" i="21"/>
  <c r="C103" i="21"/>
  <c r="B103" i="21"/>
  <c r="C89" i="21"/>
  <c r="C90" i="21"/>
  <c r="C91" i="21"/>
  <c r="C92" i="21"/>
  <c r="C93" i="21"/>
  <c r="C94" i="21"/>
  <c r="C95" i="21"/>
  <c r="C96" i="21"/>
  <c r="B96" i="21" s="1"/>
  <c r="C97" i="21"/>
  <c r="B97" i="21" s="1"/>
  <c r="C98" i="21"/>
  <c r="C99" i="21"/>
  <c r="B99" i="21"/>
  <c r="C100" i="21"/>
  <c r="B100" i="21"/>
  <c r="C101" i="21"/>
  <c r="B101" i="21"/>
  <c r="C88" i="21"/>
  <c r="B98" i="21"/>
  <c r="A61" i="21"/>
  <c r="A104" i="21"/>
  <c r="A62" i="21"/>
  <c r="A105" i="21"/>
  <c r="A60" i="21"/>
  <c r="A103" i="21"/>
  <c r="A51" i="21"/>
  <c r="A94" i="21"/>
  <c r="A52" i="21"/>
  <c r="A95" i="21"/>
  <c r="A53" i="21"/>
  <c r="A96" i="21"/>
  <c r="A54" i="21"/>
  <c r="A97" i="21"/>
  <c r="A55" i="21"/>
  <c r="A98" i="21"/>
  <c r="A56" i="21"/>
  <c r="A99" i="21"/>
  <c r="A57" i="21"/>
  <c r="A100" i="21"/>
  <c r="A58" i="21"/>
  <c r="A101" i="21"/>
  <c r="A59" i="21"/>
  <c r="A102" i="21"/>
  <c r="A46" i="21"/>
  <c r="A89" i="21"/>
  <c r="A47" i="21"/>
  <c r="A90" i="21"/>
  <c r="A48" i="21"/>
  <c r="A91" i="21"/>
  <c r="A49" i="21"/>
  <c r="A92" i="21"/>
  <c r="A50" i="21"/>
  <c r="A93" i="21"/>
  <c r="A45" i="21"/>
  <c r="A88" i="21"/>
  <c r="D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2" i="21"/>
  <c r="AI22" i="21"/>
  <c r="AJ22" i="21"/>
  <c r="AK22" i="21"/>
  <c r="AL22" i="21"/>
  <c r="AM22" i="21"/>
  <c r="AN22" i="21"/>
  <c r="AO22" i="21"/>
  <c r="AP22" i="21"/>
  <c r="C22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5" i="21"/>
  <c r="AI15" i="21"/>
  <c r="AJ15" i="21"/>
  <c r="AK15" i="21"/>
  <c r="AL15" i="21"/>
  <c r="AM15" i="21"/>
  <c r="AN15" i="21"/>
  <c r="AO15" i="21"/>
  <c r="AP15" i="21"/>
  <c r="B94" i="21"/>
  <c r="B13" i="21"/>
  <c r="C15" i="21"/>
  <c r="C17" i="108"/>
  <c r="P15" i="45" s="1"/>
  <c r="D14" i="108"/>
  <c r="D15" i="108" s="1"/>
  <c r="E14" i="108"/>
  <c r="E15" i="108" s="1"/>
  <c r="F14" i="108"/>
  <c r="F15" i="108" s="1"/>
  <c r="G14" i="108"/>
  <c r="G15" i="108" s="1"/>
  <c r="H14" i="108"/>
  <c r="H15" i="108" s="1"/>
  <c r="I14" i="108"/>
  <c r="I15" i="108" s="1"/>
  <c r="J14" i="108"/>
  <c r="J15" i="108" s="1"/>
  <c r="K14" i="108"/>
  <c r="L14" i="108"/>
  <c r="L15" i="108"/>
  <c r="AC24" i="45" s="1"/>
  <c r="M14" i="108"/>
  <c r="M15" i="108" s="1"/>
  <c r="AD24" i="45" s="1"/>
  <c r="N14" i="108"/>
  <c r="N15" i="108" s="1"/>
  <c r="AE24" i="45" s="1"/>
  <c r="O14" i="108"/>
  <c r="O15" i="108" s="1"/>
  <c r="AB26" i="45" s="1"/>
  <c r="P14" i="108"/>
  <c r="P15" i="108" s="1"/>
  <c r="Q14" i="108"/>
  <c r="Q15" i="108"/>
  <c r="AD26" i="45" s="1"/>
  <c r="R14" i="108"/>
  <c r="R15" i="108" s="1"/>
  <c r="AE26" i="45" s="1"/>
  <c r="S14" i="108"/>
  <c r="S15" i="108" s="1"/>
  <c r="AB28" i="45" s="1"/>
  <c r="T14" i="108"/>
  <c r="T15" i="108" s="1"/>
  <c r="AC28" i="45" s="1"/>
  <c r="U14" i="108"/>
  <c r="U15" i="108"/>
  <c r="AD28" i="45" s="1"/>
  <c r="V14" i="108"/>
  <c r="V15" i="108" s="1"/>
  <c r="AE28" i="45" s="1"/>
  <c r="W14" i="108"/>
  <c r="W15" i="108" s="1"/>
  <c r="AB30" i="45" s="1"/>
  <c r="X14" i="108"/>
  <c r="X15" i="108" s="1"/>
  <c r="AC30" i="45" s="1"/>
  <c r="Y14" i="108"/>
  <c r="Y15" i="108"/>
  <c r="AD30" i="45" s="1"/>
  <c r="Z14" i="108"/>
  <c r="Z15" i="108" s="1"/>
  <c r="AE30" i="45" s="1"/>
  <c r="AA14" i="108"/>
  <c r="AA15" i="108" s="1"/>
  <c r="AB32" i="45" s="1"/>
  <c r="AB14" i="108"/>
  <c r="AB15" i="108" s="1"/>
  <c r="AC32" i="45" s="1"/>
  <c r="AC14" i="108"/>
  <c r="AC15" i="108"/>
  <c r="AD32" i="45" s="1"/>
  <c r="AD14" i="108"/>
  <c r="AD15" i="108" s="1"/>
  <c r="AE32" i="45" s="1"/>
  <c r="AE14" i="108"/>
  <c r="AE15" i="108" s="1"/>
  <c r="AF14" i="108"/>
  <c r="AF15" i="108" s="1"/>
  <c r="AG14" i="108"/>
  <c r="AG15" i="108" s="1"/>
  <c r="AH14" i="108"/>
  <c r="AH15" i="108" s="1"/>
  <c r="AI14" i="108"/>
  <c r="AI15" i="108" s="1"/>
  <c r="AJ14" i="108"/>
  <c r="AJ15" i="108" s="1"/>
  <c r="AK14" i="108"/>
  <c r="AK15" i="108" s="1"/>
  <c r="AL14" i="108"/>
  <c r="AL15" i="108" s="1"/>
  <c r="AM14" i="108"/>
  <c r="AM15" i="108" s="1"/>
  <c r="AN14" i="108"/>
  <c r="AN15" i="108" s="1"/>
  <c r="AO14" i="108"/>
  <c r="AO15" i="108" s="1"/>
  <c r="AP14" i="108"/>
  <c r="AP15" i="108" s="1"/>
  <c r="B80" i="108"/>
  <c r="B21" i="108"/>
  <c r="B13" i="108"/>
  <c r="B113" i="108"/>
  <c r="B6" i="108"/>
  <c r="D29" i="108"/>
  <c r="F29" i="108"/>
  <c r="S29" i="108"/>
  <c r="U29" i="108"/>
  <c r="W29" i="108"/>
  <c r="Y29" i="108"/>
  <c r="AA29" i="108"/>
  <c r="AC29" i="108"/>
  <c r="AE29" i="108"/>
  <c r="AG29" i="108"/>
  <c r="AI29" i="108"/>
  <c r="AK29" i="108"/>
  <c r="AM29" i="108"/>
  <c r="AO29" i="108"/>
  <c r="B42" i="108"/>
  <c r="AN42" i="108"/>
  <c r="A31" i="21"/>
  <c r="B30" i="108"/>
  <c r="B20" i="108"/>
  <c r="B114" i="108" s="1"/>
  <c r="B29" i="42" s="1"/>
  <c r="B15" i="108"/>
  <c r="B22" i="108"/>
  <c r="B29" i="108" s="1"/>
  <c r="B36" i="108" s="1"/>
  <c r="B43" i="108" s="1"/>
  <c r="B50" i="108" s="1"/>
  <c r="B57" i="108" s="1"/>
  <c r="B64" i="108" s="1"/>
  <c r="B71" i="108" s="1"/>
  <c r="B78" i="108" s="1"/>
  <c r="B85" i="108" s="1"/>
  <c r="B92" i="108" s="1"/>
  <c r="B99" i="108" s="1"/>
  <c r="B106" i="108" s="1"/>
  <c r="E98" i="108"/>
  <c r="E99" i="108"/>
  <c r="F98" i="108"/>
  <c r="F99" i="108"/>
  <c r="G98" i="108"/>
  <c r="G99" i="108"/>
  <c r="H98" i="108"/>
  <c r="H99" i="108"/>
  <c r="I98" i="108"/>
  <c r="I99" i="108"/>
  <c r="J98" i="108"/>
  <c r="J99" i="108"/>
  <c r="K98" i="108"/>
  <c r="K99" i="108"/>
  <c r="L98" i="108"/>
  <c r="L99" i="108"/>
  <c r="M98" i="108"/>
  <c r="M99" i="108"/>
  <c r="N98" i="108"/>
  <c r="N99" i="108"/>
  <c r="O98" i="108"/>
  <c r="O99" i="108"/>
  <c r="P98" i="108"/>
  <c r="P99" i="108"/>
  <c r="Q98" i="108"/>
  <c r="Q99" i="108"/>
  <c r="R98" i="108"/>
  <c r="R99" i="108"/>
  <c r="S98" i="108"/>
  <c r="S99" i="108"/>
  <c r="T98" i="108"/>
  <c r="T99" i="108"/>
  <c r="U98" i="108"/>
  <c r="U99" i="108"/>
  <c r="V98" i="108"/>
  <c r="V99" i="108"/>
  <c r="W98" i="108"/>
  <c r="W99" i="108"/>
  <c r="X98" i="108"/>
  <c r="X99" i="108"/>
  <c r="Y98" i="108"/>
  <c r="Y99" i="108"/>
  <c r="Z98" i="108"/>
  <c r="Z99" i="108"/>
  <c r="AA98" i="108"/>
  <c r="AA99" i="108"/>
  <c r="AB98" i="108"/>
  <c r="AB99" i="108"/>
  <c r="AC98" i="108"/>
  <c r="AC99" i="108"/>
  <c r="AD98" i="108"/>
  <c r="AD99" i="108"/>
  <c r="AE98" i="108"/>
  <c r="AE99" i="108"/>
  <c r="AF98" i="108"/>
  <c r="AF99" i="108"/>
  <c r="AG98" i="108"/>
  <c r="AG99" i="108"/>
  <c r="AH98" i="108"/>
  <c r="AH99" i="108"/>
  <c r="AI98" i="108"/>
  <c r="AI99" i="108"/>
  <c r="AJ98" i="108"/>
  <c r="AJ99" i="108"/>
  <c r="AK98" i="108"/>
  <c r="AK99" i="108"/>
  <c r="AL98" i="108"/>
  <c r="AL99" i="108"/>
  <c r="AM98" i="108"/>
  <c r="AM99" i="108"/>
  <c r="AN98" i="108"/>
  <c r="AN99" i="108"/>
  <c r="AO98" i="108"/>
  <c r="AO99" i="108"/>
  <c r="AP98" i="108"/>
  <c r="AP99" i="108"/>
  <c r="AQ98" i="108"/>
  <c r="AQ99" i="108"/>
  <c r="E91" i="108"/>
  <c r="E92" i="108"/>
  <c r="F91" i="108"/>
  <c r="F92" i="108"/>
  <c r="G91" i="108"/>
  <c r="G92" i="108"/>
  <c r="H91" i="108"/>
  <c r="H92" i="108"/>
  <c r="I91" i="108"/>
  <c r="I92" i="108"/>
  <c r="J91" i="108"/>
  <c r="J92" i="108"/>
  <c r="K91" i="108"/>
  <c r="K92" i="108"/>
  <c r="L91" i="108"/>
  <c r="L92" i="108"/>
  <c r="M91" i="108"/>
  <c r="M92" i="108"/>
  <c r="N91" i="108"/>
  <c r="N92" i="108"/>
  <c r="O91" i="108"/>
  <c r="O92" i="108"/>
  <c r="P91" i="108"/>
  <c r="P92" i="108"/>
  <c r="Q91" i="108"/>
  <c r="Q92" i="108"/>
  <c r="R91" i="108"/>
  <c r="R92" i="108"/>
  <c r="S91" i="108"/>
  <c r="S92" i="108"/>
  <c r="T91" i="108"/>
  <c r="T92" i="108"/>
  <c r="U91" i="108"/>
  <c r="U92" i="108"/>
  <c r="V91" i="108"/>
  <c r="V92" i="108"/>
  <c r="W91" i="108"/>
  <c r="W92" i="108"/>
  <c r="X91" i="108"/>
  <c r="X92" i="108"/>
  <c r="Y91" i="108"/>
  <c r="Y92" i="108"/>
  <c r="Z91" i="108"/>
  <c r="Z92" i="108"/>
  <c r="AA91" i="108"/>
  <c r="AA92" i="108"/>
  <c r="AB91" i="108"/>
  <c r="AB92" i="108"/>
  <c r="AC91" i="108"/>
  <c r="AC92" i="108"/>
  <c r="AD91" i="108"/>
  <c r="AD92" i="108"/>
  <c r="AE91" i="108"/>
  <c r="AE92" i="108"/>
  <c r="AF91" i="108"/>
  <c r="AF92" i="108"/>
  <c r="AG91" i="108"/>
  <c r="AG92" i="108"/>
  <c r="AH91" i="108"/>
  <c r="AH92" i="108"/>
  <c r="AI91" i="108"/>
  <c r="AI92" i="108"/>
  <c r="AJ91" i="108"/>
  <c r="AJ92" i="108"/>
  <c r="AK91" i="108"/>
  <c r="AK92" i="108"/>
  <c r="AL91" i="108"/>
  <c r="AL92" i="108"/>
  <c r="AM91" i="108"/>
  <c r="AM92" i="108"/>
  <c r="AN91" i="108"/>
  <c r="AN92" i="108"/>
  <c r="AO91" i="108"/>
  <c r="AO92" i="108"/>
  <c r="AP91" i="108"/>
  <c r="AP92" i="108"/>
  <c r="AQ91" i="108"/>
  <c r="AQ92" i="108"/>
  <c r="E84" i="108"/>
  <c r="E85" i="108"/>
  <c r="F84" i="108"/>
  <c r="F85" i="108"/>
  <c r="G84" i="108"/>
  <c r="G85" i="108"/>
  <c r="H84" i="108"/>
  <c r="H85" i="108"/>
  <c r="I84" i="108"/>
  <c r="I85" i="108"/>
  <c r="J84" i="108"/>
  <c r="J85" i="108"/>
  <c r="K84" i="108"/>
  <c r="K85" i="108"/>
  <c r="L84" i="108"/>
  <c r="L85" i="108"/>
  <c r="M84" i="108"/>
  <c r="M85" i="108"/>
  <c r="N84" i="108"/>
  <c r="N85" i="108"/>
  <c r="O84" i="108"/>
  <c r="O85" i="108"/>
  <c r="P84" i="108"/>
  <c r="P85" i="108"/>
  <c r="Q84" i="108"/>
  <c r="Q85" i="108"/>
  <c r="R84" i="108"/>
  <c r="R85" i="108"/>
  <c r="S84" i="108"/>
  <c r="S85" i="108"/>
  <c r="T84" i="108"/>
  <c r="T85" i="108"/>
  <c r="U84" i="108"/>
  <c r="U85" i="108"/>
  <c r="V84" i="108"/>
  <c r="V85" i="108"/>
  <c r="W84" i="108"/>
  <c r="W85" i="108"/>
  <c r="X84" i="108"/>
  <c r="X85" i="108"/>
  <c r="Y84" i="108"/>
  <c r="Y85" i="108"/>
  <c r="Z84" i="108"/>
  <c r="Z85" i="108"/>
  <c r="AA84" i="108"/>
  <c r="AA85" i="108"/>
  <c r="AB84" i="108"/>
  <c r="AB85" i="108"/>
  <c r="AC84" i="108"/>
  <c r="AC85" i="108"/>
  <c r="AD84" i="108"/>
  <c r="AD85" i="108"/>
  <c r="AE84" i="108"/>
  <c r="AE85" i="108"/>
  <c r="AF84" i="108"/>
  <c r="AF85" i="108"/>
  <c r="AG84" i="108"/>
  <c r="AG85" i="108"/>
  <c r="AH84" i="108"/>
  <c r="AH85" i="108"/>
  <c r="AI84" i="108"/>
  <c r="AI85" i="108"/>
  <c r="AJ84" i="108"/>
  <c r="AJ85" i="108"/>
  <c r="AK84" i="108"/>
  <c r="AK85" i="108"/>
  <c r="AL84" i="108"/>
  <c r="AL85" i="108"/>
  <c r="AM84" i="108"/>
  <c r="AM85" i="108"/>
  <c r="AN84" i="108"/>
  <c r="AN85" i="108"/>
  <c r="AO84" i="108"/>
  <c r="AO85" i="108"/>
  <c r="AP84" i="108"/>
  <c r="AP85" i="108"/>
  <c r="AQ84" i="108"/>
  <c r="AQ85" i="108"/>
  <c r="E77" i="108"/>
  <c r="E78" i="108"/>
  <c r="F77" i="108"/>
  <c r="F78" i="108"/>
  <c r="G77" i="108"/>
  <c r="G78" i="108"/>
  <c r="H77" i="108"/>
  <c r="H78" i="108"/>
  <c r="I77" i="108"/>
  <c r="I78" i="108"/>
  <c r="J77" i="108"/>
  <c r="J78" i="108"/>
  <c r="K77" i="108"/>
  <c r="K78" i="108"/>
  <c r="L77" i="108"/>
  <c r="L78" i="108"/>
  <c r="M77" i="108"/>
  <c r="M78" i="108"/>
  <c r="N77" i="108"/>
  <c r="N78" i="108"/>
  <c r="O77" i="108"/>
  <c r="O78" i="108"/>
  <c r="P77" i="108"/>
  <c r="P78" i="108"/>
  <c r="Q77" i="108"/>
  <c r="Q78" i="108"/>
  <c r="R77" i="108"/>
  <c r="R78" i="108"/>
  <c r="S77" i="108"/>
  <c r="S78" i="108"/>
  <c r="T77" i="108"/>
  <c r="T78" i="108"/>
  <c r="U77" i="108"/>
  <c r="U78" i="108"/>
  <c r="V77" i="108"/>
  <c r="V78" i="108"/>
  <c r="W77" i="108"/>
  <c r="W78" i="108"/>
  <c r="X77" i="108"/>
  <c r="X78" i="108"/>
  <c r="Y77" i="108"/>
  <c r="Y78" i="108"/>
  <c r="Z77" i="108"/>
  <c r="Z78" i="108"/>
  <c r="AA77" i="108"/>
  <c r="AA78" i="108"/>
  <c r="AB77" i="108"/>
  <c r="AB78" i="108"/>
  <c r="AC77" i="108"/>
  <c r="AC78" i="108"/>
  <c r="AD77" i="108"/>
  <c r="AD78" i="108"/>
  <c r="AE77" i="108"/>
  <c r="AE78" i="108"/>
  <c r="AF77" i="108"/>
  <c r="AF78" i="108"/>
  <c r="AG77" i="108"/>
  <c r="AG78" i="108"/>
  <c r="AH77" i="108"/>
  <c r="AH78" i="108"/>
  <c r="AI77" i="108"/>
  <c r="AI78" i="108"/>
  <c r="AJ77" i="108"/>
  <c r="AJ78" i="108"/>
  <c r="AK77" i="108"/>
  <c r="AK78" i="108"/>
  <c r="AL77" i="108"/>
  <c r="AL78" i="108"/>
  <c r="AM77" i="108"/>
  <c r="AM78" i="108"/>
  <c r="AN77" i="108"/>
  <c r="AN78" i="108"/>
  <c r="AO77" i="108"/>
  <c r="AO78" i="108"/>
  <c r="AP77" i="108"/>
  <c r="AP78" i="108"/>
  <c r="AQ77" i="108"/>
  <c r="AQ78" i="108"/>
  <c r="E70" i="108"/>
  <c r="E71" i="108"/>
  <c r="F70" i="108"/>
  <c r="F71" i="108"/>
  <c r="G70" i="108"/>
  <c r="G71" i="108"/>
  <c r="H70" i="108"/>
  <c r="H71" i="108"/>
  <c r="I70" i="108"/>
  <c r="I71" i="108"/>
  <c r="J70" i="108"/>
  <c r="J71" i="108"/>
  <c r="K70" i="108"/>
  <c r="K71" i="108"/>
  <c r="L70" i="108"/>
  <c r="L71" i="108"/>
  <c r="M70" i="108"/>
  <c r="M71" i="108"/>
  <c r="N70" i="108"/>
  <c r="N71" i="108"/>
  <c r="O70" i="108"/>
  <c r="O71" i="108"/>
  <c r="P70" i="108"/>
  <c r="P71" i="108"/>
  <c r="Q70" i="108"/>
  <c r="Q71" i="108"/>
  <c r="R70" i="108"/>
  <c r="R71" i="108"/>
  <c r="S70" i="108"/>
  <c r="S71" i="108"/>
  <c r="T70" i="108"/>
  <c r="T71" i="108"/>
  <c r="U70" i="108"/>
  <c r="U71" i="108"/>
  <c r="V70" i="108"/>
  <c r="V71" i="108"/>
  <c r="W70" i="108"/>
  <c r="W71" i="108"/>
  <c r="X70" i="108"/>
  <c r="X71" i="108"/>
  <c r="Y70" i="108"/>
  <c r="Y71" i="108"/>
  <c r="Z70" i="108"/>
  <c r="Z71" i="108"/>
  <c r="AA70" i="108"/>
  <c r="AA71" i="108"/>
  <c r="AB70" i="108"/>
  <c r="AB71" i="108"/>
  <c r="AC70" i="108"/>
  <c r="AC71" i="108"/>
  <c r="AD70" i="108"/>
  <c r="AD71" i="108"/>
  <c r="AE70" i="108"/>
  <c r="AE71" i="108"/>
  <c r="AF70" i="108"/>
  <c r="AF71" i="108"/>
  <c r="AG70" i="108"/>
  <c r="AG71" i="108"/>
  <c r="AH70" i="108"/>
  <c r="AH71" i="108"/>
  <c r="AI70" i="108"/>
  <c r="AI71" i="108"/>
  <c r="AJ70" i="108"/>
  <c r="AJ71" i="108"/>
  <c r="AK70" i="108"/>
  <c r="AK71" i="108"/>
  <c r="AL70" i="108"/>
  <c r="AL71" i="108"/>
  <c r="AM70" i="108"/>
  <c r="AM71" i="108"/>
  <c r="AN70" i="108"/>
  <c r="AN71" i="108"/>
  <c r="AO70" i="108"/>
  <c r="AO71" i="108"/>
  <c r="AP70" i="108"/>
  <c r="AP71" i="108"/>
  <c r="AQ70" i="108"/>
  <c r="AQ71" i="108"/>
  <c r="E63" i="108"/>
  <c r="F63" i="108"/>
  <c r="G63" i="108"/>
  <c r="H63" i="108"/>
  <c r="I63" i="108"/>
  <c r="J63" i="108"/>
  <c r="K63" i="108"/>
  <c r="L63" i="108"/>
  <c r="M63" i="108"/>
  <c r="N63" i="108"/>
  <c r="O63" i="108"/>
  <c r="P63" i="108"/>
  <c r="Q63" i="108"/>
  <c r="R63" i="108"/>
  <c r="S63" i="108"/>
  <c r="T63" i="108"/>
  <c r="U63" i="108"/>
  <c r="V63" i="108"/>
  <c r="W63" i="108"/>
  <c r="X63" i="108"/>
  <c r="Y63" i="108"/>
  <c r="Z63" i="108"/>
  <c r="AA63" i="108"/>
  <c r="AB63" i="108"/>
  <c r="AC63" i="108"/>
  <c r="AD63" i="108"/>
  <c r="AE63" i="108"/>
  <c r="AF63" i="108"/>
  <c r="AG63" i="108"/>
  <c r="AH63" i="108"/>
  <c r="AI63" i="108"/>
  <c r="AJ63" i="108"/>
  <c r="AK63" i="108"/>
  <c r="AL63" i="108"/>
  <c r="AM63" i="108"/>
  <c r="AN63" i="108"/>
  <c r="AO63" i="108"/>
  <c r="AP63" i="108"/>
  <c r="AQ63" i="108"/>
  <c r="AQ64" i="108"/>
  <c r="E56" i="108"/>
  <c r="E57" i="108"/>
  <c r="F56" i="108"/>
  <c r="F57" i="108"/>
  <c r="G56" i="108"/>
  <c r="G57" i="108"/>
  <c r="H56" i="108"/>
  <c r="H57" i="108"/>
  <c r="I56" i="108"/>
  <c r="I57" i="108"/>
  <c r="J56" i="108"/>
  <c r="J57" i="108"/>
  <c r="K56" i="108"/>
  <c r="K57" i="108"/>
  <c r="L56" i="108"/>
  <c r="L57" i="108"/>
  <c r="M56" i="108"/>
  <c r="M57" i="108"/>
  <c r="N56" i="108"/>
  <c r="N57" i="108"/>
  <c r="O56" i="108"/>
  <c r="O57" i="108"/>
  <c r="P56" i="108"/>
  <c r="P57" i="108"/>
  <c r="Q56" i="108"/>
  <c r="Q57" i="108"/>
  <c r="R56" i="108"/>
  <c r="R57" i="108"/>
  <c r="S56" i="108"/>
  <c r="S57" i="108"/>
  <c r="T56" i="108"/>
  <c r="T57" i="108"/>
  <c r="U56" i="108"/>
  <c r="U57" i="108"/>
  <c r="V56" i="108"/>
  <c r="V57" i="108"/>
  <c r="W56" i="108"/>
  <c r="W57" i="108"/>
  <c r="X56" i="108"/>
  <c r="X57" i="108"/>
  <c r="Y56" i="108"/>
  <c r="Y57" i="108"/>
  <c r="Z56" i="108"/>
  <c r="Z57" i="108"/>
  <c r="AA56" i="108"/>
  <c r="AA57" i="108"/>
  <c r="AB56" i="108"/>
  <c r="AB57" i="108"/>
  <c r="AC56" i="108"/>
  <c r="AC57" i="108"/>
  <c r="AD56" i="108"/>
  <c r="AD57" i="108"/>
  <c r="AE56" i="108"/>
  <c r="AE57" i="108"/>
  <c r="AF56" i="108"/>
  <c r="AF57" i="108"/>
  <c r="AG56" i="108"/>
  <c r="AG57" i="108"/>
  <c r="AH56" i="108"/>
  <c r="AH57" i="108"/>
  <c r="AI56" i="108"/>
  <c r="AI57" i="108"/>
  <c r="AJ56" i="108"/>
  <c r="AJ57" i="108"/>
  <c r="AK56" i="108"/>
  <c r="AK57" i="108"/>
  <c r="AL56" i="108"/>
  <c r="AL57" i="108"/>
  <c r="AM56" i="108"/>
  <c r="AM57" i="108"/>
  <c r="AN56" i="108"/>
  <c r="AN57" i="108"/>
  <c r="AO56" i="108"/>
  <c r="AO57" i="108"/>
  <c r="AP56" i="108"/>
  <c r="AP57" i="108"/>
  <c r="AQ56" i="108"/>
  <c r="AQ57" i="108"/>
  <c r="E49" i="108"/>
  <c r="E50" i="108"/>
  <c r="F49" i="108"/>
  <c r="F50" i="108"/>
  <c r="G49" i="108"/>
  <c r="G50" i="108"/>
  <c r="H49" i="108"/>
  <c r="H50" i="108"/>
  <c r="I49" i="108"/>
  <c r="I50" i="108"/>
  <c r="J49" i="108"/>
  <c r="J50" i="108"/>
  <c r="K49" i="108"/>
  <c r="K50" i="108"/>
  <c r="L49" i="108"/>
  <c r="L50" i="108"/>
  <c r="M49" i="108"/>
  <c r="M50" i="108"/>
  <c r="N49" i="108"/>
  <c r="N50" i="108"/>
  <c r="O49" i="108"/>
  <c r="O50" i="108"/>
  <c r="P49" i="108"/>
  <c r="P50" i="108"/>
  <c r="Q49" i="108"/>
  <c r="Q50" i="108"/>
  <c r="R49" i="108"/>
  <c r="R50" i="108"/>
  <c r="S49" i="108"/>
  <c r="S50" i="108"/>
  <c r="T49" i="108"/>
  <c r="T50" i="108"/>
  <c r="U49" i="108"/>
  <c r="U50" i="108"/>
  <c r="V49" i="108"/>
  <c r="V50" i="108"/>
  <c r="W49" i="108"/>
  <c r="W50" i="108"/>
  <c r="X49" i="108"/>
  <c r="X50" i="108"/>
  <c r="Y49" i="108"/>
  <c r="Y50" i="108"/>
  <c r="Z49" i="108"/>
  <c r="Z50" i="108"/>
  <c r="AA49" i="108"/>
  <c r="AA50" i="108"/>
  <c r="AB49" i="108"/>
  <c r="AB50" i="108"/>
  <c r="AC49" i="108"/>
  <c r="AC50" i="108"/>
  <c r="AD49" i="108"/>
  <c r="AD50" i="108"/>
  <c r="AE49" i="108"/>
  <c r="AE50" i="108"/>
  <c r="AF49" i="108"/>
  <c r="AF50" i="108"/>
  <c r="AG49" i="108"/>
  <c r="AG50" i="108"/>
  <c r="AH49" i="108"/>
  <c r="AH50" i="108"/>
  <c r="AI49" i="108"/>
  <c r="AI50" i="108"/>
  <c r="AJ49" i="108"/>
  <c r="AJ50" i="108"/>
  <c r="AK49" i="108"/>
  <c r="AK50" i="108"/>
  <c r="AL49" i="108"/>
  <c r="AL50" i="108"/>
  <c r="AM49" i="108"/>
  <c r="AM50" i="108"/>
  <c r="AN49" i="108"/>
  <c r="AN50" i="108"/>
  <c r="AO49" i="108"/>
  <c r="AO50" i="108"/>
  <c r="AP49" i="108"/>
  <c r="AP50" i="108"/>
  <c r="AQ49" i="108"/>
  <c r="AQ50" i="108"/>
  <c r="E42" i="108"/>
  <c r="F42" i="108"/>
  <c r="G42" i="108"/>
  <c r="H42" i="108"/>
  <c r="I42" i="108"/>
  <c r="J42" i="108"/>
  <c r="K42" i="108"/>
  <c r="L42" i="108"/>
  <c r="M42" i="108"/>
  <c r="N42" i="108"/>
  <c r="O42" i="108"/>
  <c r="P42" i="108"/>
  <c r="Q42" i="108"/>
  <c r="R42" i="108"/>
  <c r="S42" i="108"/>
  <c r="T42" i="108"/>
  <c r="U42" i="108"/>
  <c r="V42" i="108"/>
  <c r="W42" i="108"/>
  <c r="X42" i="108"/>
  <c r="Y42" i="108"/>
  <c r="Z42" i="108"/>
  <c r="AA42" i="108"/>
  <c r="AB42" i="108"/>
  <c r="AC42" i="108"/>
  <c r="AD42" i="108"/>
  <c r="AE42" i="108"/>
  <c r="AF42" i="108"/>
  <c r="AG42" i="108"/>
  <c r="AH42" i="108"/>
  <c r="AI42" i="108"/>
  <c r="AJ42" i="108"/>
  <c r="AK42" i="108"/>
  <c r="AL42" i="108"/>
  <c r="AM42" i="108"/>
  <c r="AO42" i="108"/>
  <c r="AP42" i="108"/>
  <c r="AQ42" i="108"/>
  <c r="AQ43" i="108" s="1"/>
  <c r="AQ29" i="108"/>
  <c r="E21" i="108"/>
  <c r="E22" i="108" s="1"/>
  <c r="F21" i="108"/>
  <c r="F22" i="108" s="1"/>
  <c r="G21" i="108"/>
  <c r="G22" i="108" s="1"/>
  <c r="H21" i="108"/>
  <c r="H22" i="108" s="1"/>
  <c r="I21" i="108"/>
  <c r="I22" i="108" s="1"/>
  <c r="J21" i="108"/>
  <c r="J22" i="108" s="1"/>
  <c r="K21" i="108"/>
  <c r="K22" i="108" s="1"/>
  <c r="L21" i="108"/>
  <c r="L22" i="108" s="1"/>
  <c r="M21" i="108"/>
  <c r="M22" i="108" s="1"/>
  <c r="O21" i="108"/>
  <c r="O22" i="108" s="1"/>
  <c r="P21" i="108"/>
  <c r="P22" i="108" s="1"/>
  <c r="Q21" i="108"/>
  <c r="Q22" i="108" s="1"/>
  <c r="R21" i="108"/>
  <c r="R22" i="108" s="1"/>
  <c r="S21" i="108"/>
  <c r="S22" i="108" s="1"/>
  <c r="T21" i="108"/>
  <c r="T22" i="108" s="1"/>
  <c r="U21" i="108"/>
  <c r="U22" i="108" s="1"/>
  <c r="V21" i="108"/>
  <c r="V22" i="108" s="1"/>
  <c r="W21" i="108"/>
  <c r="W22" i="108" s="1"/>
  <c r="X21" i="108"/>
  <c r="X22" i="108" s="1"/>
  <c r="Y21" i="108"/>
  <c r="Y22" i="108" s="1"/>
  <c r="Z21" i="108"/>
  <c r="Z22" i="108" s="1"/>
  <c r="AA21" i="108"/>
  <c r="AA22" i="108" s="1"/>
  <c r="AB21" i="108"/>
  <c r="AB22" i="108" s="1"/>
  <c r="AC21" i="108"/>
  <c r="AC22" i="108" s="1"/>
  <c r="AD21" i="108"/>
  <c r="AD22" i="108" s="1"/>
  <c r="AE21" i="108"/>
  <c r="AE22" i="108" s="1"/>
  <c r="AF21" i="108"/>
  <c r="AF22" i="108" s="1"/>
  <c r="AG21" i="108"/>
  <c r="AG22" i="108" s="1"/>
  <c r="AH21" i="108"/>
  <c r="AH22" i="108" s="1"/>
  <c r="AI21" i="108"/>
  <c r="AI22" i="108" s="1"/>
  <c r="AJ21" i="108"/>
  <c r="AJ22" i="108" s="1"/>
  <c r="AK21" i="108"/>
  <c r="AK22" i="108" s="1"/>
  <c r="AL21" i="108"/>
  <c r="AL22" i="108" s="1"/>
  <c r="AM21" i="108"/>
  <c r="AM22" i="108" s="1"/>
  <c r="AN21" i="108"/>
  <c r="AN22" i="108"/>
  <c r="AO21" i="108"/>
  <c r="AO22" i="108"/>
  <c r="AP21" i="108"/>
  <c r="AP22" i="108"/>
  <c r="AQ21" i="108"/>
  <c r="AQ22" i="108"/>
  <c r="D98" i="108"/>
  <c r="D99" i="108"/>
  <c r="C99" i="108" s="1"/>
  <c r="D91" i="108"/>
  <c r="D92" i="108" s="1"/>
  <c r="C92" i="108" s="1"/>
  <c r="D84" i="108"/>
  <c r="D85" i="108"/>
  <c r="C85" i="108" s="1"/>
  <c r="D77" i="108"/>
  <c r="D78" i="108" s="1"/>
  <c r="C78" i="108" s="1"/>
  <c r="D70" i="108"/>
  <c r="D71" i="108"/>
  <c r="C71" i="108" s="1"/>
  <c r="D63" i="108"/>
  <c r="D21" i="108"/>
  <c r="D22" i="108" s="1"/>
  <c r="B104" i="108"/>
  <c r="B97" i="108"/>
  <c r="B90" i="108"/>
  <c r="B83" i="108"/>
  <c r="B76" i="108"/>
  <c r="B69" i="108"/>
  <c r="B62" i="108"/>
  <c r="J6" i="49"/>
  <c r="J7" i="49"/>
  <c r="J8" i="49"/>
  <c r="J9" i="49"/>
  <c r="J10" i="49"/>
  <c r="J11" i="49"/>
  <c r="J12" i="49"/>
  <c r="J13" i="49"/>
  <c r="J14" i="49"/>
  <c r="J15" i="49"/>
  <c r="J16" i="49"/>
  <c r="J17" i="49"/>
  <c r="D9" i="108"/>
  <c r="C10" i="108"/>
  <c r="P14" i="45" s="1"/>
  <c r="A153" i="108"/>
  <c r="A154" i="108"/>
  <c r="A155" i="108"/>
  <c r="A156" i="108"/>
  <c r="A157" i="108"/>
  <c r="A158" i="108"/>
  <c r="A159" i="108"/>
  <c r="A160" i="108"/>
  <c r="A161" i="108"/>
  <c r="A162" i="108"/>
  <c r="A163" i="108"/>
  <c r="A164" i="108"/>
  <c r="A165" i="108"/>
  <c r="A166" i="108"/>
  <c r="A152" i="108"/>
  <c r="AM3" i="21"/>
  <c r="G50" i="45" s="1"/>
  <c r="S31" i="45" s="1"/>
  <c r="Z31" i="45" s="1"/>
  <c r="AI3" i="21"/>
  <c r="AJ3" i="115" s="1"/>
  <c r="AE3" i="21"/>
  <c r="AF3" i="115" s="1"/>
  <c r="AE3" i="14"/>
  <c r="AA3" i="21"/>
  <c r="AB3" i="115"/>
  <c r="AB3" i="118"/>
  <c r="W3" i="21"/>
  <c r="X3" i="115" s="1"/>
  <c r="W3" i="14"/>
  <c r="S3" i="21"/>
  <c r="T3" i="118"/>
  <c r="O3" i="21"/>
  <c r="G26" i="45"/>
  <c r="S19" i="45" s="1"/>
  <c r="Z19" i="45" s="1"/>
  <c r="K3" i="21"/>
  <c r="L3" i="118"/>
  <c r="G3" i="21"/>
  <c r="G18" i="45"/>
  <c r="S15" i="45" s="1"/>
  <c r="Z15" i="45" s="1"/>
  <c r="C3" i="21"/>
  <c r="D3" i="118"/>
  <c r="C108" i="108"/>
  <c r="P28" i="45"/>
  <c r="B108" i="108"/>
  <c r="B107" i="108"/>
  <c r="B126" i="108"/>
  <c r="B150" i="108"/>
  <c r="B166" i="108" s="1"/>
  <c r="C101" i="108"/>
  <c r="P27" i="45"/>
  <c r="B101" i="108"/>
  <c r="B100" i="108"/>
  <c r="B125" i="108"/>
  <c r="B149" i="108"/>
  <c r="B165" i="108" s="1"/>
  <c r="C94" i="108"/>
  <c r="P26" i="45"/>
  <c r="B94" i="108"/>
  <c r="B93" i="108"/>
  <c r="B124" i="108"/>
  <c r="B148" i="108"/>
  <c r="B164" i="108" s="1"/>
  <c r="C87" i="108"/>
  <c r="P25" i="45"/>
  <c r="B87" i="108"/>
  <c r="B86" i="108"/>
  <c r="B123" i="108"/>
  <c r="B147" i="108"/>
  <c r="B163" i="108" s="1"/>
  <c r="K7" i="103"/>
  <c r="G32" i="103"/>
  <c r="K32" i="103" s="1"/>
  <c r="G31" i="103"/>
  <c r="I31" i="103" s="1"/>
  <c r="I19" i="103"/>
  <c r="J19" i="103"/>
  <c r="K19" i="103"/>
  <c r="L19" i="103"/>
  <c r="M19" i="103"/>
  <c r="N19" i="103"/>
  <c r="O19" i="103"/>
  <c r="P19" i="103"/>
  <c r="Q19" i="103"/>
  <c r="R19" i="103"/>
  <c r="S19" i="103"/>
  <c r="T19" i="103"/>
  <c r="U19" i="103"/>
  <c r="V19" i="103"/>
  <c r="W19" i="103"/>
  <c r="X19" i="103"/>
  <c r="Y19" i="103"/>
  <c r="Z19" i="103"/>
  <c r="AA19" i="103"/>
  <c r="AB19" i="103"/>
  <c r="AC19" i="103"/>
  <c r="AD19" i="103"/>
  <c r="AE19" i="103"/>
  <c r="H19" i="103"/>
  <c r="G18" i="103"/>
  <c r="G17" i="103"/>
  <c r="G16" i="103"/>
  <c r="I9" i="103"/>
  <c r="J9" i="103"/>
  <c r="K9" i="103"/>
  <c r="L9" i="103"/>
  <c r="M9" i="103"/>
  <c r="O9" i="103"/>
  <c r="P9" i="103"/>
  <c r="Q9" i="103"/>
  <c r="H9" i="103"/>
  <c r="I8" i="103"/>
  <c r="J8" i="103"/>
  <c r="M8" i="103"/>
  <c r="N8" i="103"/>
  <c r="O8" i="103"/>
  <c r="P8" i="103"/>
  <c r="J7" i="103"/>
  <c r="H7" i="103"/>
  <c r="H19" i="115"/>
  <c r="D10" i="103"/>
  <c r="D20" i="103"/>
  <c r="L38" i="103"/>
  <c r="H34" i="103"/>
  <c r="C20" i="103"/>
  <c r="B6" i="11"/>
  <c r="B45" i="21"/>
  <c r="B46" i="21"/>
  <c r="M14" i="45"/>
  <c r="F19" i="117"/>
  <c r="F20" i="117"/>
  <c r="F23" i="117" s="1"/>
  <c r="F21" i="117"/>
  <c r="F22" i="117"/>
  <c r="F20" i="102"/>
  <c r="F21" i="102"/>
  <c r="F22" i="102"/>
  <c r="F19" i="102"/>
  <c r="F23" i="102"/>
  <c r="O11" i="117"/>
  <c r="C5" i="117"/>
  <c r="G19" i="117" s="1"/>
  <c r="C5" i="102"/>
  <c r="G21" i="102" s="1"/>
  <c r="O11" i="102"/>
  <c r="D56" i="108"/>
  <c r="D57" i="108"/>
  <c r="C57" i="108" s="1"/>
  <c r="D49" i="108"/>
  <c r="D50" i="108" s="1"/>
  <c r="C50" i="108" s="1"/>
  <c r="B79" i="108"/>
  <c r="B73" i="108"/>
  <c r="B72" i="108"/>
  <c r="B66" i="108"/>
  <c r="B65" i="108"/>
  <c r="B59" i="108"/>
  <c r="B58" i="108"/>
  <c r="B52" i="108"/>
  <c r="B51" i="108"/>
  <c r="B45" i="108"/>
  <c r="B44" i="108"/>
  <c r="B38" i="108"/>
  <c r="B37" i="108"/>
  <c r="B31" i="108"/>
  <c r="B24" i="108"/>
  <c r="B23" i="108"/>
  <c r="B17" i="108"/>
  <c r="B16" i="108"/>
  <c r="G9" i="45"/>
  <c r="D8" i="45"/>
  <c r="D13" i="14"/>
  <c r="AP19" i="115"/>
  <c r="AP30" i="115" s="1"/>
  <c r="AQ7" i="115" s="1"/>
  <c r="AQ19" i="115"/>
  <c r="AQ30" i="115"/>
  <c r="AO19" i="115"/>
  <c r="B28" i="115"/>
  <c r="A8" i="21"/>
  <c r="B13" i="14"/>
  <c r="A9" i="21"/>
  <c r="B14" i="14"/>
  <c r="A10" i="21"/>
  <c r="A7" i="21"/>
  <c r="B5" i="45" s="1"/>
  <c r="E20" i="13"/>
  <c r="C20" i="13" s="1"/>
  <c r="C28" i="115"/>
  <c r="C23" i="115"/>
  <c r="C18" i="115"/>
  <c r="D9" i="115"/>
  <c r="AQ4" i="115"/>
  <c r="AP4" i="115"/>
  <c r="E4" i="115"/>
  <c r="F4" i="115"/>
  <c r="G4" i="115"/>
  <c r="H4" i="115"/>
  <c r="I4" i="115"/>
  <c r="J4" i="115"/>
  <c r="K4" i="115"/>
  <c r="L4" i="115"/>
  <c r="M4" i="115"/>
  <c r="N4" i="115"/>
  <c r="O4" i="115"/>
  <c r="P4" i="115"/>
  <c r="Q4" i="115"/>
  <c r="R4" i="115"/>
  <c r="S4" i="115"/>
  <c r="T4" i="115"/>
  <c r="U4" i="115"/>
  <c r="V4" i="115"/>
  <c r="W4" i="115"/>
  <c r="AN4" i="115"/>
  <c r="AO4" i="115"/>
  <c r="E19" i="115"/>
  <c r="F19" i="115"/>
  <c r="G19" i="115"/>
  <c r="K19" i="115"/>
  <c r="L19" i="115"/>
  <c r="Q19" i="115"/>
  <c r="R19" i="115"/>
  <c r="S19" i="115"/>
  <c r="T19" i="115"/>
  <c r="U19" i="115"/>
  <c r="V19" i="115"/>
  <c r="W19" i="115"/>
  <c r="AN19" i="115"/>
  <c r="D19" i="115"/>
  <c r="C15" i="14"/>
  <c r="B23" i="115"/>
  <c r="B18" i="115"/>
  <c r="D4" i="115"/>
  <c r="C21" i="11"/>
  <c r="A27" i="21"/>
  <c r="A22" i="21"/>
  <c r="A15" i="21"/>
  <c r="A30" i="21"/>
  <c r="A29" i="21"/>
  <c r="A28" i="21"/>
  <c r="A24" i="21"/>
  <c r="A25" i="21"/>
  <c r="A26" i="21"/>
  <c r="A23" i="21"/>
  <c r="A21" i="21"/>
  <c r="A17" i="21"/>
  <c r="A18" i="21"/>
  <c r="A19" i="21"/>
  <c r="A20" i="21"/>
  <c r="B63" i="21"/>
  <c r="B64" i="21"/>
  <c r="D153" i="108"/>
  <c r="D16" i="108"/>
  <c r="C4" i="42"/>
  <c r="C80" i="108"/>
  <c r="P24" i="45" s="1"/>
  <c r="C73" i="108"/>
  <c r="P23" i="45" s="1"/>
  <c r="C66" i="108"/>
  <c r="P22" i="45" s="1"/>
  <c r="C59" i="108"/>
  <c r="P21" i="45" s="1"/>
  <c r="C52" i="108"/>
  <c r="P20" i="45" s="1"/>
  <c r="C45" i="108"/>
  <c r="P19" i="45" s="1"/>
  <c r="C38" i="108"/>
  <c r="P18" i="45" s="1"/>
  <c r="B95" i="21"/>
  <c r="B122" i="108"/>
  <c r="B146" i="108" s="1"/>
  <c r="B162" i="108" s="1"/>
  <c r="B121" i="108"/>
  <c r="B145" i="108" s="1"/>
  <c r="B161" i="108" s="1"/>
  <c r="B120" i="108"/>
  <c r="B144" i="108" s="1"/>
  <c r="B160" i="108" s="1"/>
  <c r="B55" i="108"/>
  <c r="B119" i="108" s="1"/>
  <c r="B143" i="108" s="1"/>
  <c r="B159" i="108" s="1"/>
  <c r="E12" i="107"/>
  <c r="E30" i="107" s="1"/>
  <c r="G31" i="8"/>
  <c r="G32" i="8"/>
  <c r="G35" i="8"/>
  <c r="BT11" i="8"/>
  <c r="T11" i="8"/>
  <c r="G34" i="8"/>
  <c r="G33" i="8"/>
  <c r="G25" i="49"/>
  <c r="C6" i="42"/>
  <c r="C11" i="8"/>
  <c r="C25" i="8"/>
  <c r="C24" i="14"/>
  <c r="C26" i="14"/>
  <c r="C12" i="14"/>
  <c r="AA16" i="107"/>
  <c r="AA22" i="107"/>
  <c r="AA23" i="107"/>
  <c r="AA24" i="107"/>
  <c r="AA25" i="107"/>
  <c r="AA26" i="107"/>
  <c r="N8" i="14"/>
  <c r="O8" i="14"/>
  <c r="P8" i="14"/>
  <c r="Q8" i="14"/>
  <c r="O28" i="107"/>
  <c r="P28" i="107"/>
  <c r="Q28" i="107"/>
  <c r="R28" i="107"/>
  <c r="S28" i="107"/>
  <c r="T28" i="107"/>
  <c r="U28" i="107"/>
  <c r="V28" i="107"/>
  <c r="W28" i="107"/>
  <c r="X28" i="107"/>
  <c r="Y28" i="107"/>
  <c r="Z28" i="107"/>
  <c r="O29" i="107"/>
  <c r="P29" i="107"/>
  <c r="Q29" i="107"/>
  <c r="R29" i="107"/>
  <c r="S29" i="107"/>
  <c r="T29" i="107"/>
  <c r="U29" i="107"/>
  <c r="V29" i="107"/>
  <c r="W29" i="107"/>
  <c r="X29" i="107"/>
  <c r="Y29" i="107"/>
  <c r="Z29" i="107"/>
  <c r="O30" i="107"/>
  <c r="P30" i="107"/>
  <c r="Q30" i="107"/>
  <c r="R30" i="107"/>
  <c r="S30" i="107"/>
  <c r="T30" i="107"/>
  <c r="U30" i="107"/>
  <c r="V30" i="107"/>
  <c r="W30" i="107"/>
  <c r="X30" i="107"/>
  <c r="Y30" i="107"/>
  <c r="Z30" i="107"/>
  <c r="O31" i="107"/>
  <c r="O27" i="107" s="1"/>
  <c r="P31" i="107"/>
  <c r="Q31" i="107"/>
  <c r="R31" i="107"/>
  <c r="S31" i="107"/>
  <c r="T31" i="107"/>
  <c r="U31" i="107"/>
  <c r="V31" i="107"/>
  <c r="W31" i="107"/>
  <c r="X31" i="107"/>
  <c r="X27" i="107" s="1"/>
  <c r="Y31" i="107"/>
  <c r="Z31" i="107"/>
  <c r="F32" i="107"/>
  <c r="G32" i="107"/>
  <c r="H14" i="107"/>
  <c r="H32" i="107" s="1"/>
  <c r="I32" i="107"/>
  <c r="J32" i="107"/>
  <c r="K32" i="107"/>
  <c r="L32" i="107"/>
  <c r="M32" i="107"/>
  <c r="N32" i="107"/>
  <c r="O32" i="107"/>
  <c r="P32" i="107"/>
  <c r="Q32" i="107"/>
  <c r="R32" i="107"/>
  <c r="S32" i="107"/>
  <c r="T32" i="107"/>
  <c r="T27" i="107" s="1"/>
  <c r="U32" i="107"/>
  <c r="V32" i="107"/>
  <c r="W32" i="107"/>
  <c r="X32" i="107"/>
  <c r="Y32" i="107"/>
  <c r="Z32" i="107"/>
  <c r="F15" i="107"/>
  <c r="G15" i="107"/>
  <c r="H15" i="107"/>
  <c r="I15" i="107"/>
  <c r="J15" i="107"/>
  <c r="K15" i="107"/>
  <c r="L15" i="107"/>
  <c r="M15" i="107"/>
  <c r="N15" i="107"/>
  <c r="O15" i="107"/>
  <c r="P15" i="107"/>
  <c r="Q15" i="107"/>
  <c r="R15" i="107"/>
  <c r="S15" i="107"/>
  <c r="T15" i="107"/>
  <c r="U15" i="107"/>
  <c r="V15" i="107"/>
  <c r="W15" i="107"/>
  <c r="X15" i="107"/>
  <c r="Y15" i="107"/>
  <c r="Z15" i="107"/>
  <c r="M10" i="107"/>
  <c r="M28" i="107" s="1"/>
  <c r="N10" i="107"/>
  <c r="N28" i="107" s="1"/>
  <c r="M11" i="107"/>
  <c r="M29" i="107" s="1"/>
  <c r="N11" i="107"/>
  <c r="N29" i="107" s="1"/>
  <c r="M12" i="107"/>
  <c r="M30" i="107" s="1"/>
  <c r="N12" i="107"/>
  <c r="N30" i="107" s="1"/>
  <c r="M13" i="107"/>
  <c r="M31" i="107" s="1"/>
  <c r="N13" i="107"/>
  <c r="N31" i="107" s="1"/>
  <c r="J10" i="107"/>
  <c r="J28" i="107"/>
  <c r="K10" i="107"/>
  <c r="K28" i="107"/>
  <c r="L10" i="107"/>
  <c r="L28" i="107"/>
  <c r="D11" i="107"/>
  <c r="D29" i="107" s="1"/>
  <c r="J11" i="107"/>
  <c r="J29" i="107" s="1"/>
  <c r="K11" i="107"/>
  <c r="K29" i="107" s="1"/>
  <c r="L11" i="107"/>
  <c r="L29" i="107" s="1"/>
  <c r="H12" i="107"/>
  <c r="H30" i="107" s="1"/>
  <c r="I12" i="107"/>
  <c r="I30" i="107" s="1"/>
  <c r="J12" i="107"/>
  <c r="J30" i="107" s="1"/>
  <c r="K12" i="107"/>
  <c r="K30" i="107" s="1"/>
  <c r="L12" i="107"/>
  <c r="L30" i="107" s="1"/>
  <c r="D13" i="107"/>
  <c r="D31" i="107" s="1"/>
  <c r="F13" i="107"/>
  <c r="F31" i="107" s="1"/>
  <c r="J13" i="107"/>
  <c r="J31" i="107" s="1"/>
  <c r="K13" i="107"/>
  <c r="K31" i="107" s="1"/>
  <c r="L13" i="107"/>
  <c r="L31" i="107" s="1"/>
  <c r="C13" i="107"/>
  <c r="C31" i="107" s="1"/>
  <c r="C10" i="107"/>
  <c r="C28" i="107" s="1"/>
  <c r="O7" i="107"/>
  <c r="P7" i="107"/>
  <c r="Q7" i="107"/>
  <c r="R7" i="107"/>
  <c r="S7" i="107"/>
  <c r="T7" i="107"/>
  <c r="U7" i="107"/>
  <c r="V7" i="107"/>
  <c r="W7" i="107"/>
  <c r="X7" i="107"/>
  <c r="Y7" i="107"/>
  <c r="Z7" i="107"/>
  <c r="D21" i="107"/>
  <c r="G7" i="107"/>
  <c r="H7" i="107"/>
  <c r="J7" i="107"/>
  <c r="K7" i="107"/>
  <c r="L7" i="107"/>
  <c r="M7" i="107"/>
  <c r="N7" i="107"/>
  <c r="K3" i="107"/>
  <c r="S3" i="107"/>
  <c r="X4" i="107"/>
  <c r="Y4" i="107"/>
  <c r="Z4" i="107"/>
  <c r="D4" i="107"/>
  <c r="E4" i="107"/>
  <c r="F4" i="107"/>
  <c r="G4" i="107"/>
  <c r="H4" i="107"/>
  <c r="I4" i="107"/>
  <c r="J4" i="107"/>
  <c r="K4" i="107"/>
  <c r="L4" i="107"/>
  <c r="M4" i="107"/>
  <c r="N4" i="107"/>
  <c r="O4" i="107"/>
  <c r="P4" i="107"/>
  <c r="Q4" i="107"/>
  <c r="R4" i="107"/>
  <c r="S4" i="107"/>
  <c r="T4" i="107"/>
  <c r="U4" i="107"/>
  <c r="V4" i="107"/>
  <c r="W4" i="107"/>
  <c r="C4" i="107"/>
  <c r="C5" i="42"/>
  <c r="C2" i="96" s="1"/>
  <c r="H21" i="107"/>
  <c r="C21" i="107"/>
  <c r="AA21" i="107" s="1"/>
  <c r="AA8" i="107"/>
  <c r="E21" i="107"/>
  <c r="C32" i="107"/>
  <c r="B20" i="107"/>
  <c r="B26" i="107"/>
  <c r="B32" i="107" s="1"/>
  <c r="E15" i="107"/>
  <c r="AA18" i="107"/>
  <c r="AA17" i="107"/>
  <c r="C15" i="107"/>
  <c r="R42" i="8"/>
  <c r="T42" i="8"/>
  <c r="I31" i="8"/>
  <c r="B14" i="13"/>
  <c r="N42" i="8"/>
  <c r="L42" i="8"/>
  <c r="P42" i="8"/>
  <c r="V42" i="8"/>
  <c r="X42" i="8"/>
  <c r="Z42" i="8"/>
  <c r="AB42" i="8"/>
  <c r="AD42" i="8"/>
  <c r="AF42" i="8"/>
  <c r="AH42" i="8"/>
  <c r="AJ42" i="8"/>
  <c r="AL42" i="8"/>
  <c r="AN42" i="8"/>
  <c r="AP42" i="8"/>
  <c r="AR42" i="8"/>
  <c r="AT42" i="8"/>
  <c r="AV42" i="8"/>
  <c r="AX42" i="8"/>
  <c r="AZ42" i="8"/>
  <c r="BB42" i="8"/>
  <c r="BD42" i="8"/>
  <c r="BF42" i="8"/>
  <c r="BH42" i="8"/>
  <c r="BJ42" i="8"/>
  <c r="BL42" i="8"/>
  <c r="BN42" i="8"/>
  <c r="BP42" i="8"/>
  <c r="J42" i="8"/>
  <c r="BJ3" i="8"/>
  <c r="BB3" i="8"/>
  <c r="AT3" i="8"/>
  <c r="AL3" i="8"/>
  <c r="AD3" i="8"/>
  <c r="V3" i="8"/>
  <c r="N3" i="8"/>
  <c r="F3" i="8"/>
  <c r="D17" i="8"/>
  <c r="D15" i="8"/>
  <c r="D16" i="8"/>
  <c r="C26" i="8"/>
  <c r="E8" i="8"/>
  <c r="E9" i="8"/>
  <c r="E10" i="8"/>
  <c r="E11" i="8"/>
  <c r="E12" i="8"/>
  <c r="I35" i="8"/>
  <c r="K35" i="8"/>
  <c r="M35" i="8" s="1"/>
  <c r="O35" i="8" s="1"/>
  <c r="Q35" i="8" s="1"/>
  <c r="S35" i="8" s="1"/>
  <c r="U35" i="8" s="1"/>
  <c r="W35" i="8" s="1"/>
  <c r="Y35" i="8" s="1"/>
  <c r="AA35" i="8" s="1"/>
  <c r="AC35" i="8" s="1"/>
  <c r="AE35" i="8" s="1"/>
  <c r="AG35" i="8" s="1"/>
  <c r="AI35" i="8" s="1"/>
  <c r="AK35" i="8" s="1"/>
  <c r="AM35" i="8" s="1"/>
  <c r="AO35" i="8" s="1"/>
  <c r="AQ35" i="8" s="1"/>
  <c r="AS35" i="8" s="1"/>
  <c r="AU35" i="8" s="1"/>
  <c r="AW35" i="8" s="1"/>
  <c r="AY35" i="8" s="1"/>
  <c r="BA35" i="8" s="1"/>
  <c r="BC35" i="8" s="1"/>
  <c r="BE35" i="8" s="1"/>
  <c r="BG35" i="8" s="1"/>
  <c r="BI35" i="8" s="1"/>
  <c r="BK35" i="8" s="1"/>
  <c r="BM35" i="8" s="1"/>
  <c r="BO35" i="8" s="1"/>
  <c r="BQ35" i="8" s="1"/>
  <c r="BR35" i="8"/>
  <c r="C37" i="8"/>
  <c r="C38" i="8"/>
  <c r="C39" i="8"/>
  <c r="C40" i="8"/>
  <c r="C41" i="8"/>
  <c r="I32" i="8"/>
  <c r="I33" i="8"/>
  <c r="K33" i="8"/>
  <c r="I34" i="8"/>
  <c r="K34" i="8"/>
  <c r="M34" i="8" s="1"/>
  <c r="O34" i="8" s="1"/>
  <c r="Q34" i="8" s="1"/>
  <c r="S34" i="8" s="1"/>
  <c r="I36" i="8"/>
  <c r="K36" i="8"/>
  <c r="M36" i="8" s="1"/>
  <c r="O36" i="8" s="1"/>
  <c r="Q36" i="8" s="1"/>
  <c r="S36" i="8" s="1"/>
  <c r="U36" i="8" s="1"/>
  <c r="W36" i="8" s="1"/>
  <c r="Y36" i="8" s="1"/>
  <c r="AA36" i="8" s="1"/>
  <c r="AC36" i="8" s="1"/>
  <c r="AE36" i="8" s="1"/>
  <c r="AG36" i="8" s="1"/>
  <c r="AI36" i="8" s="1"/>
  <c r="AK36" i="8" s="1"/>
  <c r="AM36" i="8" s="1"/>
  <c r="AO36" i="8" s="1"/>
  <c r="AQ36" i="8" s="1"/>
  <c r="AS36" i="8" s="1"/>
  <c r="AU36" i="8" s="1"/>
  <c r="AW36" i="8" s="1"/>
  <c r="AY36" i="8" s="1"/>
  <c r="BA36" i="8" s="1"/>
  <c r="BC36" i="8" s="1"/>
  <c r="BE36" i="8" s="1"/>
  <c r="BG36" i="8" s="1"/>
  <c r="BI36" i="8" s="1"/>
  <c r="BK36" i="8" s="1"/>
  <c r="BM36" i="8" s="1"/>
  <c r="BO36" i="8" s="1"/>
  <c r="BQ36" i="8" s="1"/>
  <c r="I37" i="8"/>
  <c r="K37" i="8" s="1"/>
  <c r="M37" i="8" s="1"/>
  <c r="AG37" i="8" s="1"/>
  <c r="AQ27" i="14"/>
  <c r="AQ9" i="14"/>
  <c r="AQ19" i="14"/>
  <c r="AQ23" i="14"/>
  <c r="S3" i="14"/>
  <c r="AM3" i="14"/>
  <c r="S4" i="14"/>
  <c r="T4" i="14"/>
  <c r="U4" i="14"/>
  <c r="V4" i="14"/>
  <c r="AM4" i="14"/>
  <c r="AN4" i="14"/>
  <c r="AO4" i="14"/>
  <c r="AP4" i="14"/>
  <c r="T4" i="11"/>
  <c r="U4" i="11"/>
  <c r="V4" i="11"/>
  <c r="W4" i="11"/>
  <c r="AN4" i="11"/>
  <c r="AO4" i="11"/>
  <c r="AP4" i="11"/>
  <c r="AQ4" i="11"/>
  <c r="N3" i="13"/>
  <c r="R3" i="13"/>
  <c r="AL3" i="13"/>
  <c r="R4" i="13"/>
  <c r="S4" i="13"/>
  <c r="T4" i="13"/>
  <c r="U4" i="13"/>
  <c r="AL4" i="13"/>
  <c r="AM4" i="13"/>
  <c r="AN4" i="13"/>
  <c r="AO4" i="13"/>
  <c r="B17" i="21"/>
  <c r="Q4" i="13"/>
  <c r="P4" i="13"/>
  <c r="O4" i="13"/>
  <c r="N4" i="13"/>
  <c r="AO21" i="8"/>
  <c r="AP21" i="8"/>
  <c r="AQ21" i="8"/>
  <c r="AR21" i="8"/>
  <c r="AS21" i="8"/>
  <c r="AT21" i="8"/>
  <c r="AU21" i="8"/>
  <c r="AV21" i="8"/>
  <c r="AW21" i="8"/>
  <c r="AX21" i="8"/>
  <c r="AY21" i="8"/>
  <c r="AZ21" i="8"/>
  <c r="BA21" i="8"/>
  <c r="BB21" i="8"/>
  <c r="BC21" i="8"/>
  <c r="BD21" i="8"/>
  <c r="BE21" i="8"/>
  <c r="BF21" i="8"/>
  <c r="BG21" i="8"/>
  <c r="BH21" i="8"/>
  <c r="BI21" i="8"/>
  <c r="AO22" i="8"/>
  <c r="AP22" i="8"/>
  <c r="AQ22" i="8"/>
  <c r="AR22" i="8"/>
  <c r="AS22" i="8"/>
  <c r="AT22" i="8"/>
  <c r="AU22" i="8"/>
  <c r="AV22" i="8"/>
  <c r="AW22" i="8"/>
  <c r="AX22" i="8"/>
  <c r="AY22" i="8"/>
  <c r="AZ22" i="8"/>
  <c r="BA22" i="8"/>
  <c r="BB22" i="8"/>
  <c r="BC22" i="8"/>
  <c r="BD22" i="8"/>
  <c r="BE22" i="8"/>
  <c r="BF22" i="8"/>
  <c r="BG22" i="8"/>
  <c r="BH22" i="8"/>
  <c r="BI22" i="8"/>
  <c r="AO23" i="8"/>
  <c r="AP23" i="8"/>
  <c r="AQ23" i="8"/>
  <c r="AR23" i="8"/>
  <c r="AS23" i="8"/>
  <c r="AT23" i="8"/>
  <c r="AU23" i="8"/>
  <c r="AV23" i="8"/>
  <c r="AW23" i="8"/>
  <c r="AX23" i="8"/>
  <c r="AY23" i="8"/>
  <c r="AZ23" i="8"/>
  <c r="BA23" i="8"/>
  <c r="BB23" i="8"/>
  <c r="BC23" i="8"/>
  <c r="BD23" i="8"/>
  <c r="BE23" i="8"/>
  <c r="BF23" i="8"/>
  <c r="BG23" i="8"/>
  <c r="BH23" i="8"/>
  <c r="BI23" i="8"/>
  <c r="AO24" i="8"/>
  <c r="AP24" i="8"/>
  <c r="AQ24" i="8"/>
  <c r="AR24" i="8"/>
  <c r="AS24" i="8"/>
  <c r="AT24" i="8"/>
  <c r="AU24" i="8"/>
  <c r="AV24" i="8"/>
  <c r="AW24" i="8"/>
  <c r="AX24" i="8"/>
  <c r="AY24" i="8"/>
  <c r="AZ24" i="8"/>
  <c r="BA24" i="8"/>
  <c r="BB24" i="8"/>
  <c r="BC24" i="8"/>
  <c r="BD24" i="8"/>
  <c r="BE24" i="8"/>
  <c r="BF24" i="8"/>
  <c r="BG24" i="8"/>
  <c r="BH24" i="8"/>
  <c r="BI24" i="8"/>
  <c r="AO27" i="8"/>
  <c r="AP27" i="8"/>
  <c r="AQ27" i="8"/>
  <c r="AR27" i="8"/>
  <c r="AS27" i="8"/>
  <c r="AT27" i="8"/>
  <c r="AU27" i="8"/>
  <c r="AV27" i="8"/>
  <c r="AW27" i="8"/>
  <c r="AX27" i="8"/>
  <c r="AY27" i="8"/>
  <c r="AZ27" i="8"/>
  <c r="BA27" i="8"/>
  <c r="BB27" i="8"/>
  <c r="BC27" i="8"/>
  <c r="BD27" i="8"/>
  <c r="BE27" i="8"/>
  <c r="BF27" i="8"/>
  <c r="BG27" i="8"/>
  <c r="BH27" i="8"/>
  <c r="BI27" i="8"/>
  <c r="AO28" i="8"/>
  <c r="AP28" i="8"/>
  <c r="AQ28" i="8"/>
  <c r="AR28" i="8"/>
  <c r="AS28" i="8"/>
  <c r="AT28" i="8"/>
  <c r="AU28" i="8"/>
  <c r="AV28" i="8"/>
  <c r="AW28" i="8"/>
  <c r="AX28" i="8"/>
  <c r="AY28" i="8"/>
  <c r="AZ28" i="8"/>
  <c r="BA28" i="8"/>
  <c r="BB28" i="8"/>
  <c r="BC28" i="8"/>
  <c r="BD28" i="8"/>
  <c r="BE28" i="8"/>
  <c r="BF28" i="8"/>
  <c r="BG28" i="8"/>
  <c r="BH28" i="8"/>
  <c r="BI28" i="8"/>
  <c r="BR34" i="8"/>
  <c r="BR33" i="8"/>
  <c r="BR36" i="8"/>
  <c r="BR32" i="8"/>
  <c r="BR31" i="8"/>
  <c r="E7" i="8"/>
  <c r="BJ21" i="8"/>
  <c r="BK21" i="8"/>
  <c r="BL21" i="8"/>
  <c r="BM21" i="8"/>
  <c r="BN21" i="8"/>
  <c r="BO21" i="8"/>
  <c r="BP21" i="8"/>
  <c r="BQ21" i="8"/>
  <c r="BR21" i="8"/>
  <c r="BS21" i="8"/>
  <c r="BJ22" i="8"/>
  <c r="BK22" i="8"/>
  <c r="BL22" i="8"/>
  <c r="BM22" i="8"/>
  <c r="BN22" i="8"/>
  <c r="BO22" i="8"/>
  <c r="BP22" i="8"/>
  <c r="BQ22" i="8"/>
  <c r="BR22" i="8"/>
  <c r="BS22" i="8"/>
  <c r="BJ23" i="8"/>
  <c r="BK23" i="8"/>
  <c r="BL23" i="8"/>
  <c r="BM23" i="8"/>
  <c r="BN23" i="8"/>
  <c r="BO23" i="8"/>
  <c r="BP23" i="8"/>
  <c r="BQ23" i="8"/>
  <c r="BR23" i="8"/>
  <c r="BS23" i="8"/>
  <c r="BJ27" i="8"/>
  <c r="BK27" i="8"/>
  <c r="BL27" i="8"/>
  <c r="BM27" i="8"/>
  <c r="BN27" i="8"/>
  <c r="BO27" i="8"/>
  <c r="BP27" i="8"/>
  <c r="BQ27" i="8"/>
  <c r="BR27" i="8"/>
  <c r="BS27" i="8"/>
  <c r="BJ28" i="8"/>
  <c r="BK28" i="8"/>
  <c r="BL28" i="8"/>
  <c r="BM28" i="8"/>
  <c r="BN28" i="8"/>
  <c r="BO28" i="8"/>
  <c r="BP28" i="8"/>
  <c r="BQ28" i="8"/>
  <c r="BR28" i="8"/>
  <c r="BS28" i="8"/>
  <c r="W37" i="8"/>
  <c r="W38" i="8"/>
  <c r="W39" i="8"/>
  <c r="W40" i="8"/>
  <c r="W41" i="8"/>
  <c r="AB13" i="8"/>
  <c r="K23" i="86"/>
  <c r="K23" i="95"/>
  <c r="D15" i="95"/>
  <c r="E15" i="95"/>
  <c r="G15" i="95"/>
  <c r="H15" i="95"/>
  <c r="I15" i="95"/>
  <c r="K15" i="95"/>
  <c r="L15" i="95"/>
  <c r="M15" i="95"/>
  <c r="O15" i="95"/>
  <c r="P15" i="95"/>
  <c r="Q15" i="95"/>
  <c r="C15" i="95"/>
  <c r="S20" i="96"/>
  <c r="S8" i="96"/>
  <c r="R4" i="96"/>
  <c r="Q4" i="96"/>
  <c r="P4" i="96"/>
  <c r="O4" i="96"/>
  <c r="N4" i="96"/>
  <c r="M4" i="96"/>
  <c r="L4" i="96"/>
  <c r="K4" i="96"/>
  <c r="J4" i="96"/>
  <c r="I4" i="96"/>
  <c r="H4" i="96"/>
  <c r="G4" i="96"/>
  <c r="F4" i="96"/>
  <c r="E4" i="96"/>
  <c r="D4" i="96"/>
  <c r="C4" i="96"/>
  <c r="O3" i="96"/>
  <c r="K3" i="96"/>
  <c r="G3" i="96"/>
  <c r="F27" i="95"/>
  <c r="G27" i="95"/>
  <c r="H27" i="95" s="1"/>
  <c r="I27" i="95"/>
  <c r="J27" i="95" s="1"/>
  <c r="K27" i="95" s="1"/>
  <c r="L27" i="95" s="1"/>
  <c r="M27" i="95" s="1"/>
  <c r="N27" i="95" s="1"/>
  <c r="O27" i="95" s="1"/>
  <c r="P27" i="95" s="1"/>
  <c r="Q27" i="95" s="1"/>
  <c r="R27" i="95" s="1"/>
  <c r="C22" i="95"/>
  <c r="S16" i="95"/>
  <c r="S12" i="95"/>
  <c r="S9" i="95"/>
  <c r="S8" i="95"/>
  <c r="S7" i="95"/>
  <c r="R4" i="95"/>
  <c r="Q4" i="95"/>
  <c r="P4" i="95"/>
  <c r="O4" i="95"/>
  <c r="N4" i="95"/>
  <c r="M4" i="95"/>
  <c r="L4" i="95"/>
  <c r="K4" i="95"/>
  <c r="J4" i="95"/>
  <c r="I4" i="95"/>
  <c r="H4" i="95"/>
  <c r="G4" i="95"/>
  <c r="F4" i="95"/>
  <c r="E4" i="95"/>
  <c r="D4" i="95"/>
  <c r="C4" i="95"/>
  <c r="O3" i="95"/>
  <c r="K3" i="95"/>
  <c r="G3" i="95"/>
  <c r="K23" i="91"/>
  <c r="K23" i="79"/>
  <c r="D15" i="91"/>
  <c r="E15" i="91"/>
  <c r="G15" i="91"/>
  <c r="H15" i="91"/>
  <c r="I15" i="91"/>
  <c r="K15" i="91"/>
  <c r="L15" i="91"/>
  <c r="M15" i="91"/>
  <c r="O15" i="91"/>
  <c r="P15" i="91"/>
  <c r="Q15" i="91"/>
  <c r="C15" i="91"/>
  <c r="S20" i="94"/>
  <c r="S8" i="94"/>
  <c r="R4" i="94"/>
  <c r="Q4" i="94"/>
  <c r="P4" i="94"/>
  <c r="O4" i="94"/>
  <c r="N4" i="94"/>
  <c r="M4" i="94"/>
  <c r="L4" i="94"/>
  <c r="K4" i="94"/>
  <c r="J4" i="94"/>
  <c r="I4" i="94"/>
  <c r="H4" i="94"/>
  <c r="G4" i="94"/>
  <c r="F4" i="94"/>
  <c r="E4" i="94"/>
  <c r="D4" i="94"/>
  <c r="C4" i="94"/>
  <c r="K3" i="94"/>
  <c r="F27" i="91"/>
  <c r="G27" i="91" s="1"/>
  <c r="H27" i="91"/>
  <c r="I27" i="91" s="1"/>
  <c r="J27" i="91" s="1"/>
  <c r="K27" i="91" s="1"/>
  <c r="L27" i="91" s="1"/>
  <c r="M27" i="91" s="1"/>
  <c r="N27" i="91" s="1"/>
  <c r="O27" i="91" s="1"/>
  <c r="P27" i="91" s="1"/>
  <c r="Q27" i="91" s="1"/>
  <c r="R27" i="91" s="1"/>
  <c r="C22" i="91"/>
  <c r="S16" i="91"/>
  <c r="S12" i="91"/>
  <c r="S9" i="91"/>
  <c r="S8" i="91"/>
  <c r="S7" i="91"/>
  <c r="R4" i="91"/>
  <c r="Q4" i="91"/>
  <c r="P4" i="91"/>
  <c r="O4" i="91"/>
  <c r="N4" i="91"/>
  <c r="M4" i="91"/>
  <c r="L4" i="91"/>
  <c r="K4" i="91"/>
  <c r="J4" i="91"/>
  <c r="I4" i="91"/>
  <c r="H4" i="91"/>
  <c r="G4" i="91"/>
  <c r="F4" i="91"/>
  <c r="E4" i="91"/>
  <c r="D4" i="91"/>
  <c r="C4" i="91"/>
  <c r="K3" i="91"/>
  <c r="G3" i="78"/>
  <c r="K3" i="78"/>
  <c r="O3" i="78"/>
  <c r="C4" i="78"/>
  <c r="D4" i="78"/>
  <c r="E4" i="78"/>
  <c r="F4" i="78"/>
  <c r="G4" i="78"/>
  <c r="H4" i="78"/>
  <c r="I4" i="78"/>
  <c r="J4" i="78"/>
  <c r="K4" i="78"/>
  <c r="L4" i="78"/>
  <c r="M4" i="78"/>
  <c r="N4" i="78"/>
  <c r="O4" i="78"/>
  <c r="P4" i="78"/>
  <c r="Q4" i="78"/>
  <c r="R4" i="78"/>
  <c r="S8" i="78"/>
  <c r="S20" i="78"/>
  <c r="K3" i="79"/>
  <c r="C4" i="79"/>
  <c r="D4" i="79"/>
  <c r="E4" i="79"/>
  <c r="F4" i="79"/>
  <c r="G4" i="79"/>
  <c r="H4" i="79"/>
  <c r="I4" i="79"/>
  <c r="J4" i="79"/>
  <c r="K4" i="79"/>
  <c r="L4" i="79"/>
  <c r="M4" i="79"/>
  <c r="N4" i="79"/>
  <c r="O4" i="79"/>
  <c r="P4" i="79"/>
  <c r="Q4" i="79"/>
  <c r="R4" i="79"/>
  <c r="S7" i="79"/>
  <c r="S8" i="79"/>
  <c r="S9" i="79"/>
  <c r="S12" i="79"/>
  <c r="C15" i="79"/>
  <c r="D15" i="79"/>
  <c r="E15" i="79"/>
  <c r="G15" i="79"/>
  <c r="H15" i="79"/>
  <c r="I15" i="79"/>
  <c r="K15" i="79"/>
  <c r="L15" i="79"/>
  <c r="M15" i="79"/>
  <c r="O15" i="79"/>
  <c r="P15" i="79"/>
  <c r="Q15" i="79"/>
  <c r="S16" i="79"/>
  <c r="C22" i="79"/>
  <c r="F27" i="79"/>
  <c r="G27" i="79" s="1"/>
  <c r="H27" i="79"/>
  <c r="I27" i="79" s="1"/>
  <c r="J27" i="79" s="1"/>
  <c r="K27" i="79" s="1"/>
  <c r="L27" i="79" s="1"/>
  <c r="M27" i="79" s="1"/>
  <c r="N27" i="79" s="1"/>
  <c r="O27" i="79" s="1"/>
  <c r="P27" i="79" s="1"/>
  <c r="Q27" i="79" s="1"/>
  <c r="R27" i="79" s="1"/>
  <c r="K3" i="77"/>
  <c r="C4" i="77"/>
  <c r="D4" i="77"/>
  <c r="E4" i="77"/>
  <c r="F4" i="77"/>
  <c r="G4" i="77"/>
  <c r="H4" i="77"/>
  <c r="I4" i="77"/>
  <c r="J4" i="77"/>
  <c r="K4" i="77"/>
  <c r="L4" i="77"/>
  <c r="M4" i="77"/>
  <c r="N4" i="77"/>
  <c r="O4" i="77"/>
  <c r="P4" i="77"/>
  <c r="Q4" i="77"/>
  <c r="R4" i="77"/>
  <c r="S8" i="77"/>
  <c r="S20" i="77"/>
  <c r="G3" i="76"/>
  <c r="K3" i="76"/>
  <c r="O3" i="76"/>
  <c r="C4" i="76"/>
  <c r="D4" i="76"/>
  <c r="E4" i="76"/>
  <c r="F4" i="76"/>
  <c r="G4" i="76"/>
  <c r="H4" i="76"/>
  <c r="I4" i="76"/>
  <c r="J4" i="76"/>
  <c r="K4" i="76"/>
  <c r="L4" i="76"/>
  <c r="M4" i="76"/>
  <c r="N4" i="76"/>
  <c r="O4" i="76"/>
  <c r="P4" i="76"/>
  <c r="Q4" i="76"/>
  <c r="R4" i="76"/>
  <c r="S7" i="76"/>
  <c r="S8" i="76"/>
  <c r="S9" i="76"/>
  <c r="S12" i="76"/>
  <c r="C15" i="76"/>
  <c r="D15" i="76"/>
  <c r="E15" i="76"/>
  <c r="G15" i="76"/>
  <c r="H15" i="76"/>
  <c r="I15" i="76"/>
  <c r="K15" i="76"/>
  <c r="L15" i="76"/>
  <c r="M15" i="76"/>
  <c r="O15" i="76"/>
  <c r="P15" i="76"/>
  <c r="Q15" i="76"/>
  <c r="S16" i="76"/>
  <c r="C22" i="76"/>
  <c r="K23" i="76"/>
  <c r="F27" i="76"/>
  <c r="G27" i="76" s="1"/>
  <c r="H27" i="76" s="1"/>
  <c r="I27" i="76" s="1"/>
  <c r="J27" i="76" s="1"/>
  <c r="K27" i="76" s="1"/>
  <c r="L27" i="76" s="1"/>
  <c r="M27" i="76" s="1"/>
  <c r="N27" i="76" s="1"/>
  <c r="O27" i="76" s="1"/>
  <c r="P27" i="76" s="1"/>
  <c r="Q27" i="76" s="1"/>
  <c r="R27" i="76" s="1"/>
  <c r="K3" i="74"/>
  <c r="C4" i="74"/>
  <c r="D4" i="74"/>
  <c r="E4" i="74"/>
  <c r="F4" i="74"/>
  <c r="G4" i="74"/>
  <c r="H4" i="74"/>
  <c r="I4" i="74"/>
  <c r="J4" i="74"/>
  <c r="K4" i="74"/>
  <c r="L4" i="74"/>
  <c r="M4" i="74"/>
  <c r="N4" i="74"/>
  <c r="O4" i="74"/>
  <c r="P4" i="74"/>
  <c r="Q4" i="74"/>
  <c r="R4" i="74"/>
  <c r="S7" i="74"/>
  <c r="S8" i="74"/>
  <c r="S9" i="74"/>
  <c r="S12" i="74"/>
  <c r="C15" i="74"/>
  <c r="S15" i="74" s="1"/>
  <c r="D15" i="74"/>
  <c r="E15" i="74"/>
  <c r="G15" i="74"/>
  <c r="H15" i="74"/>
  <c r="I15" i="74"/>
  <c r="K15" i="74"/>
  <c r="L15" i="74"/>
  <c r="M15" i="74"/>
  <c r="O15" i="74"/>
  <c r="P15" i="74"/>
  <c r="Q15" i="74"/>
  <c r="S16" i="74"/>
  <c r="C22" i="74"/>
  <c r="K23" i="74"/>
  <c r="F27" i="74"/>
  <c r="G27" i="74" s="1"/>
  <c r="H27" i="74" s="1"/>
  <c r="I27" i="74" s="1"/>
  <c r="J27" i="74" s="1"/>
  <c r="K27" i="74" s="1"/>
  <c r="L27" i="74" s="1"/>
  <c r="M27" i="74" s="1"/>
  <c r="N27" i="74" s="1"/>
  <c r="O27" i="74" s="1"/>
  <c r="P27" i="74" s="1"/>
  <c r="Q27" i="74" s="1"/>
  <c r="R27" i="74" s="1"/>
  <c r="K3" i="88"/>
  <c r="C4" i="88"/>
  <c r="D4" i="88"/>
  <c r="E4" i="88"/>
  <c r="F4" i="88"/>
  <c r="G4" i="88"/>
  <c r="H4" i="88"/>
  <c r="I4" i="88"/>
  <c r="J4" i="88"/>
  <c r="K4" i="88"/>
  <c r="L4" i="88"/>
  <c r="M4" i="88"/>
  <c r="N4" i="88"/>
  <c r="O4" i="88"/>
  <c r="P4" i="88"/>
  <c r="Q4" i="88"/>
  <c r="R4" i="88"/>
  <c r="S8" i="88"/>
  <c r="S20" i="88"/>
  <c r="G3" i="86"/>
  <c r="K3" i="86"/>
  <c r="O3" i="86"/>
  <c r="C4" i="86"/>
  <c r="D4" i="86"/>
  <c r="E4" i="86"/>
  <c r="F4" i="86"/>
  <c r="G4" i="86"/>
  <c r="H4" i="86"/>
  <c r="I4" i="86"/>
  <c r="J4" i="86"/>
  <c r="K4" i="86"/>
  <c r="L4" i="86"/>
  <c r="M4" i="86"/>
  <c r="N4" i="86"/>
  <c r="O4" i="86"/>
  <c r="P4" i="86"/>
  <c r="Q4" i="86"/>
  <c r="R4" i="86"/>
  <c r="S7" i="86"/>
  <c r="S8" i="86"/>
  <c r="S9" i="86"/>
  <c r="S12" i="86"/>
  <c r="C15" i="86"/>
  <c r="D15" i="86"/>
  <c r="E15" i="86"/>
  <c r="G15" i="86"/>
  <c r="H15" i="86"/>
  <c r="I15" i="86"/>
  <c r="K15" i="86"/>
  <c r="L15" i="86"/>
  <c r="M15" i="86"/>
  <c r="O15" i="86"/>
  <c r="P15" i="86"/>
  <c r="Q15" i="86"/>
  <c r="S16" i="86"/>
  <c r="C22" i="86"/>
  <c r="F27" i="86"/>
  <c r="G27" i="86"/>
  <c r="H27" i="86" s="1"/>
  <c r="I27" i="86" s="1"/>
  <c r="J27" i="86" s="1"/>
  <c r="K27" i="86" s="1"/>
  <c r="L27" i="86" s="1"/>
  <c r="M27" i="86" s="1"/>
  <c r="N27" i="86" s="1"/>
  <c r="O27" i="86" s="1"/>
  <c r="P27" i="86" s="1"/>
  <c r="Q27" i="86" s="1"/>
  <c r="R27" i="86" s="1"/>
  <c r="G3" i="84"/>
  <c r="K3" i="84"/>
  <c r="O3" i="84"/>
  <c r="C4" i="84"/>
  <c r="D4" i="84"/>
  <c r="E4" i="84"/>
  <c r="F4" i="84"/>
  <c r="G4" i="84"/>
  <c r="H4" i="84"/>
  <c r="I4" i="84"/>
  <c r="J4" i="84"/>
  <c r="K4" i="84"/>
  <c r="L4" i="84"/>
  <c r="M4" i="84"/>
  <c r="N4" i="84"/>
  <c r="O4" i="84"/>
  <c r="P4" i="84"/>
  <c r="Q4" i="84"/>
  <c r="R4" i="84"/>
  <c r="S8" i="84"/>
  <c r="S20" i="84"/>
  <c r="K3" i="83"/>
  <c r="C4" i="83"/>
  <c r="D4" i="83"/>
  <c r="E4" i="83"/>
  <c r="F4" i="83"/>
  <c r="G4" i="83"/>
  <c r="H4" i="83"/>
  <c r="I4" i="83"/>
  <c r="J4" i="83"/>
  <c r="K4" i="83"/>
  <c r="L4" i="83"/>
  <c r="M4" i="83"/>
  <c r="N4" i="83"/>
  <c r="O4" i="83"/>
  <c r="P4" i="83"/>
  <c r="Q4" i="83"/>
  <c r="R4" i="83"/>
  <c r="S7" i="83"/>
  <c r="S8" i="83"/>
  <c r="S9" i="83"/>
  <c r="S12" i="83"/>
  <c r="C15" i="83"/>
  <c r="D15" i="83"/>
  <c r="E15" i="83"/>
  <c r="G15" i="83"/>
  <c r="H15" i="83"/>
  <c r="I15" i="83"/>
  <c r="K15" i="83"/>
  <c r="L15" i="83"/>
  <c r="M15" i="83"/>
  <c r="O15" i="83"/>
  <c r="P15" i="83"/>
  <c r="Q15" i="83"/>
  <c r="S16" i="83"/>
  <c r="C22" i="83"/>
  <c r="K23" i="83"/>
  <c r="F27" i="83"/>
  <c r="G27" i="83"/>
  <c r="H27" i="83" s="1"/>
  <c r="I27" i="83" s="1"/>
  <c r="J27" i="83" s="1"/>
  <c r="K27" i="83" s="1"/>
  <c r="L27" i="83" s="1"/>
  <c r="M27" i="83" s="1"/>
  <c r="N27" i="83" s="1"/>
  <c r="O27" i="83" s="1"/>
  <c r="P27" i="83" s="1"/>
  <c r="Q27" i="83" s="1"/>
  <c r="R27" i="83" s="1"/>
  <c r="G3" i="82"/>
  <c r="K3" i="82"/>
  <c r="O3" i="82"/>
  <c r="C4" i="82"/>
  <c r="D4" i="82"/>
  <c r="E4" i="82"/>
  <c r="F4" i="82"/>
  <c r="G4" i="82"/>
  <c r="H4" i="82"/>
  <c r="I4" i="82"/>
  <c r="J4" i="82"/>
  <c r="K4" i="82"/>
  <c r="L4" i="82"/>
  <c r="M4" i="82"/>
  <c r="N4" i="82"/>
  <c r="O4" i="82"/>
  <c r="P4" i="82"/>
  <c r="Q4" i="82"/>
  <c r="R4" i="82"/>
  <c r="S8" i="82"/>
  <c r="S20" i="82"/>
  <c r="K3" i="80"/>
  <c r="C4" i="80"/>
  <c r="D4" i="80"/>
  <c r="E4" i="80"/>
  <c r="F4" i="80"/>
  <c r="G4" i="80"/>
  <c r="H4" i="80"/>
  <c r="I4" i="80"/>
  <c r="J4" i="80"/>
  <c r="K4" i="80"/>
  <c r="L4" i="80"/>
  <c r="M4" i="80"/>
  <c r="N4" i="80"/>
  <c r="O4" i="80"/>
  <c r="P4" i="80"/>
  <c r="Q4" i="80"/>
  <c r="R4" i="80"/>
  <c r="S7" i="80"/>
  <c r="S8" i="80"/>
  <c r="S9" i="80"/>
  <c r="S12" i="80"/>
  <c r="C15" i="80"/>
  <c r="D15" i="80"/>
  <c r="E15" i="80"/>
  <c r="G15" i="80"/>
  <c r="H15" i="80"/>
  <c r="I15" i="80"/>
  <c r="K15" i="80"/>
  <c r="L15" i="80"/>
  <c r="M15" i="80"/>
  <c r="O15" i="80"/>
  <c r="P15" i="80"/>
  <c r="Q15" i="80"/>
  <c r="S16" i="80"/>
  <c r="C22" i="80"/>
  <c r="K23" i="80"/>
  <c r="F27" i="80"/>
  <c r="G27" i="80" s="1"/>
  <c r="H27" i="80" s="1"/>
  <c r="I27" i="80" s="1"/>
  <c r="J27" i="80" s="1"/>
  <c r="K27" i="80" s="1"/>
  <c r="L27" i="80" s="1"/>
  <c r="M27" i="80" s="1"/>
  <c r="N27" i="80" s="1"/>
  <c r="O27" i="80" s="1"/>
  <c r="P27" i="80" s="1"/>
  <c r="Q27" i="80" s="1"/>
  <c r="R27" i="80" s="1"/>
  <c r="G3" i="14"/>
  <c r="K3" i="14"/>
  <c r="O3" i="14"/>
  <c r="C4" i="14"/>
  <c r="D4" i="14"/>
  <c r="E4" i="14"/>
  <c r="F4" i="14"/>
  <c r="G4" i="14"/>
  <c r="H4" i="14"/>
  <c r="I4" i="14"/>
  <c r="J4" i="14"/>
  <c r="K4" i="14"/>
  <c r="L4" i="14"/>
  <c r="M4" i="14"/>
  <c r="N4" i="14"/>
  <c r="O4" i="14"/>
  <c r="P4" i="14"/>
  <c r="Q4" i="14"/>
  <c r="R4" i="14"/>
  <c r="M8" i="14"/>
  <c r="AQ8" i="14"/>
  <c r="B11" i="14"/>
  <c r="D4" i="11"/>
  <c r="E4" i="11"/>
  <c r="F4" i="11"/>
  <c r="G4" i="11"/>
  <c r="H4" i="11"/>
  <c r="I4" i="11"/>
  <c r="J4" i="11"/>
  <c r="K4" i="11"/>
  <c r="L4" i="11"/>
  <c r="M4" i="11"/>
  <c r="N4" i="11"/>
  <c r="O4" i="11"/>
  <c r="P4" i="11"/>
  <c r="Q4" i="11"/>
  <c r="R4" i="11"/>
  <c r="S4" i="11"/>
  <c r="J3" i="13"/>
  <c r="B4" i="13"/>
  <c r="C4" i="13"/>
  <c r="D4" i="13"/>
  <c r="E4" i="13"/>
  <c r="F4" i="13"/>
  <c r="G4" i="13"/>
  <c r="H4" i="13"/>
  <c r="I4" i="13"/>
  <c r="J4" i="13"/>
  <c r="K4" i="13"/>
  <c r="L4" i="13"/>
  <c r="M4" i="13"/>
  <c r="AP7" i="13"/>
  <c r="AP8" i="13"/>
  <c r="C3" i="88"/>
  <c r="A16" i="21"/>
  <c r="A32" i="21"/>
  <c r="A33" i="21"/>
  <c r="A34" i="21"/>
  <c r="A35" i="21"/>
  <c r="A36" i="21"/>
  <c r="A44" i="21"/>
  <c r="A63" i="21"/>
  <c r="A64" i="21"/>
  <c r="C27" i="8"/>
  <c r="C28" i="8"/>
  <c r="BR37" i="8"/>
  <c r="I38" i="8"/>
  <c r="K38" i="8"/>
  <c r="M38" i="8" s="1"/>
  <c r="AG38" i="8" s="1"/>
  <c r="BR38" i="8"/>
  <c r="I39" i="8"/>
  <c r="K39" i="8" s="1"/>
  <c r="M39" i="8" s="1"/>
  <c r="AG39" i="8" s="1"/>
  <c r="BR39" i="8"/>
  <c r="I40" i="8"/>
  <c r="K40" i="8"/>
  <c r="M40" i="8" s="1"/>
  <c r="AG40" i="8" s="1"/>
  <c r="BR40" i="8"/>
  <c r="I41" i="8"/>
  <c r="K41" i="8" s="1"/>
  <c r="M41" i="8" s="1"/>
  <c r="AG41" i="8" s="1"/>
  <c r="BR41" i="8"/>
  <c r="E5" i="45"/>
  <c r="B6" i="45"/>
  <c r="E6" i="45"/>
  <c r="B7" i="53"/>
  <c r="B8" i="53"/>
  <c r="E15" i="53"/>
  <c r="F15" i="53"/>
  <c r="E16" i="53"/>
  <c r="F16" i="53"/>
  <c r="E17" i="53"/>
  <c r="F17" i="53"/>
  <c r="E18" i="53"/>
  <c r="F18" i="53"/>
  <c r="E19" i="53"/>
  <c r="F19" i="53"/>
  <c r="E20" i="53"/>
  <c r="F20" i="53"/>
  <c r="E21" i="53"/>
  <c r="F21" i="53"/>
  <c r="E22" i="53"/>
  <c r="F22" i="53"/>
  <c r="E23" i="53"/>
  <c r="F23" i="53"/>
  <c r="B4" i="45"/>
  <c r="C14" i="53"/>
  <c r="B2" i="53"/>
  <c r="N14" i="74"/>
  <c r="O14" i="74"/>
  <c r="D14" i="74"/>
  <c r="H14" i="74"/>
  <c r="K14" i="74"/>
  <c r="J14" i="74"/>
  <c r="C14" i="74"/>
  <c r="S14" i="74"/>
  <c r="M14" i="74"/>
  <c r="G14" i="74"/>
  <c r="L14" i="74"/>
  <c r="I14" i="74"/>
  <c r="F14" i="74"/>
  <c r="Q14" i="74"/>
  <c r="R14" i="74"/>
  <c r="P14" i="74"/>
  <c r="E14" i="74"/>
  <c r="F15" i="74"/>
  <c r="J15" i="74"/>
  <c r="N15" i="74"/>
  <c r="R15" i="74"/>
  <c r="D42" i="8"/>
  <c r="E13" i="107"/>
  <c r="E31" i="107"/>
  <c r="K31" i="8"/>
  <c r="R11" i="8"/>
  <c r="S11" i="8" s="1"/>
  <c r="L25" i="8" s="1"/>
  <c r="P11" i="8"/>
  <c r="Q11" i="8"/>
  <c r="N11" i="8"/>
  <c r="O11" i="8"/>
  <c r="J25" i="8" s="1"/>
  <c r="L11" i="8"/>
  <c r="M11" i="8" s="1"/>
  <c r="I25" i="8" s="1"/>
  <c r="F11" i="8"/>
  <c r="G11" i="8" s="1"/>
  <c r="BP11" i="8"/>
  <c r="BQ11" i="8"/>
  <c r="AK25" i="8" s="1"/>
  <c r="BN11" i="8"/>
  <c r="BO11" i="8" s="1"/>
  <c r="AJ25" i="8" s="1"/>
  <c r="BL11" i="8"/>
  <c r="BM11" i="8"/>
  <c r="AI25" i="8" s="1"/>
  <c r="BJ11" i="8"/>
  <c r="BK11" i="8" s="1"/>
  <c r="AH25" i="8" s="1"/>
  <c r="BH11" i="8"/>
  <c r="BI11" i="8"/>
  <c r="AG25" i="8" s="1"/>
  <c r="BF11" i="8"/>
  <c r="BG11" i="8" s="1"/>
  <c r="AF25" i="8" s="1"/>
  <c r="BD11" i="8"/>
  <c r="BE11" i="8"/>
  <c r="AE25" i="8" s="1"/>
  <c r="BB11" i="8"/>
  <c r="BC11" i="8" s="1"/>
  <c r="AD25" i="8" s="1"/>
  <c r="J11" i="8"/>
  <c r="BT8" i="8"/>
  <c r="BB8" i="8" s="1"/>
  <c r="C36" i="8"/>
  <c r="H12" i="8"/>
  <c r="I12" i="8"/>
  <c r="G26" i="8" s="1"/>
  <c r="BB12" i="8"/>
  <c r="BC12" i="8" s="1"/>
  <c r="AD26" i="8" s="1"/>
  <c r="F12" i="8"/>
  <c r="G12" i="8"/>
  <c r="F26" i="8" s="1"/>
  <c r="J12" i="8"/>
  <c r="L12" i="8"/>
  <c r="M12" i="8"/>
  <c r="N12" i="8"/>
  <c r="O12" i="8"/>
  <c r="J26" i="8" s="1"/>
  <c r="P12" i="8"/>
  <c r="Q12" i="8" s="1"/>
  <c r="R12" i="8"/>
  <c r="S12" i="8"/>
  <c r="L26" i="8" s="1"/>
  <c r="T12" i="8"/>
  <c r="U12" i="8" s="1"/>
  <c r="M26" i="8" s="1"/>
  <c r="V12" i="8"/>
  <c r="W12" i="8"/>
  <c r="N26" i="8" s="1"/>
  <c r="X12" i="8"/>
  <c r="Y12" i="8" s="1"/>
  <c r="O26" i="8" s="1"/>
  <c r="Z12" i="8"/>
  <c r="AA12" i="8"/>
  <c r="P26" i="8" s="1"/>
  <c r="AB12" i="8"/>
  <c r="AC12" i="8" s="1"/>
  <c r="Q26" i="8" s="1"/>
  <c r="AD12" i="8"/>
  <c r="AE12" i="8"/>
  <c r="R26" i="8" s="1"/>
  <c r="AF12" i="8"/>
  <c r="AG12" i="8" s="1"/>
  <c r="S26" i="8" s="1"/>
  <c r="AH12" i="8"/>
  <c r="AI12" i="8"/>
  <c r="T26" i="8" s="1"/>
  <c r="AJ12" i="8"/>
  <c r="AK12" i="8" s="1"/>
  <c r="U26" i="8" s="1"/>
  <c r="AL12" i="8"/>
  <c r="AM12" i="8"/>
  <c r="V26" i="8" s="1"/>
  <c r="AN12" i="8"/>
  <c r="AO12" i="8" s="1"/>
  <c r="W26" i="8" s="1"/>
  <c r="AP12" i="8"/>
  <c r="AQ12" i="8"/>
  <c r="X26" i="8" s="1"/>
  <c r="AR12" i="8"/>
  <c r="AS12" i="8" s="1"/>
  <c r="Y26" i="8" s="1"/>
  <c r="AT12" i="8"/>
  <c r="AU12" i="8"/>
  <c r="Z26" i="8" s="1"/>
  <c r="AV12" i="8"/>
  <c r="AW12" i="8" s="1"/>
  <c r="AA26" i="8" s="1"/>
  <c r="AX12" i="8"/>
  <c r="AY12" i="8"/>
  <c r="AB26" i="8" s="1"/>
  <c r="AZ12" i="8"/>
  <c r="BA12" i="8" s="1"/>
  <c r="AC26" i="8" s="1"/>
  <c r="BD12" i="8"/>
  <c r="BE12" i="8"/>
  <c r="AE26" i="8" s="1"/>
  <c r="BF12" i="8"/>
  <c r="BG12" i="8" s="1"/>
  <c r="AF26" i="8" s="1"/>
  <c r="BH12" i="8"/>
  <c r="BI12" i="8"/>
  <c r="AG26" i="8" s="1"/>
  <c r="BJ12" i="8"/>
  <c r="BK12" i="8" s="1"/>
  <c r="AH26" i="8" s="1"/>
  <c r="BL12" i="8"/>
  <c r="BM12" i="8"/>
  <c r="AI26" i="8" s="1"/>
  <c r="BN12" i="8"/>
  <c r="BO12" i="8" s="1"/>
  <c r="AJ26" i="8" s="1"/>
  <c r="BP12" i="8"/>
  <c r="BQ12" i="8"/>
  <c r="AK26" i="8" s="1"/>
  <c r="AH11" i="8"/>
  <c r="AI11" i="8" s="1"/>
  <c r="T25" i="8" s="1"/>
  <c r="AF11" i="8"/>
  <c r="AG11" i="8"/>
  <c r="S25" i="8" s="1"/>
  <c r="AD11" i="8"/>
  <c r="AE11" i="8" s="1"/>
  <c r="R25" i="8" s="1"/>
  <c r="AB11" i="8"/>
  <c r="AC11" i="8"/>
  <c r="Q25" i="8" s="1"/>
  <c r="Z11" i="8"/>
  <c r="AA11" i="8" s="1"/>
  <c r="P25" i="8" s="1"/>
  <c r="X11" i="8"/>
  <c r="Y11" i="8"/>
  <c r="O25" i="8" s="1"/>
  <c r="V11" i="8"/>
  <c r="W11" i="8" s="1"/>
  <c r="N25" i="8" s="1"/>
  <c r="H11" i="8"/>
  <c r="I11" i="8"/>
  <c r="G25" i="8" s="1"/>
  <c r="K32" i="8"/>
  <c r="M32" i="8" s="1"/>
  <c r="O32" i="8" s="1"/>
  <c r="Q32" i="8" s="1"/>
  <c r="M33" i="8"/>
  <c r="O33" i="8" s="1"/>
  <c r="AZ11" i="8"/>
  <c r="BA11" i="8" s="1"/>
  <c r="AC25" i="8" s="1"/>
  <c r="AV11" i="8"/>
  <c r="AW11" i="8"/>
  <c r="AA25" i="8" s="1"/>
  <c r="AR11" i="8"/>
  <c r="AS11" i="8" s="1"/>
  <c r="Y25" i="8" s="1"/>
  <c r="AN11" i="8"/>
  <c r="AO11" i="8"/>
  <c r="W25" i="8" s="1"/>
  <c r="AL11" i="8"/>
  <c r="AM11" i="8" s="1"/>
  <c r="V25" i="8" s="1"/>
  <c r="AX11" i="8"/>
  <c r="AY11" i="8"/>
  <c r="AB25" i="8" s="1"/>
  <c r="AP11" i="8"/>
  <c r="AQ11" i="8" s="1"/>
  <c r="X25" i="8" s="1"/>
  <c r="BT10" i="8"/>
  <c r="BH10" i="8"/>
  <c r="D15" i="107"/>
  <c r="AA15" i="107" s="1"/>
  <c r="AA20" i="107"/>
  <c r="AA19" i="107"/>
  <c r="BH8" i="8"/>
  <c r="AT11" i="8"/>
  <c r="AU11" i="8" s="1"/>
  <c r="Z25" i="8" s="1"/>
  <c r="K12" i="8"/>
  <c r="D32" i="107"/>
  <c r="C9" i="8"/>
  <c r="C33" i="8"/>
  <c r="BT7" i="8"/>
  <c r="J7" i="8" s="1"/>
  <c r="K7" i="8" s="1"/>
  <c r="H21" i="8" s="1"/>
  <c r="AJ11" i="8"/>
  <c r="AK11" i="8"/>
  <c r="C10" i="8"/>
  <c r="G10" i="107"/>
  <c r="G28" i="107" s="1"/>
  <c r="H10" i="107"/>
  <c r="I10" i="107"/>
  <c r="I28" i="107"/>
  <c r="K25" i="8"/>
  <c r="B93" i="21"/>
  <c r="B91" i="21"/>
  <c r="BT9" i="8"/>
  <c r="BJ9" i="8" s="1"/>
  <c r="B90" i="21"/>
  <c r="B89" i="21"/>
  <c r="E9" i="108"/>
  <c r="BJ8" i="8"/>
  <c r="Z8" i="8"/>
  <c r="AV8" i="8"/>
  <c r="C35" i="8"/>
  <c r="B12" i="14"/>
  <c r="B41" i="108"/>
  <c r="D7" i="53"/>
  <c r="C7" i="8"/>
  <c r="C21" i="8"/>
  <c r="C8" i="8"/>
  <c r="C32" i="8"/>
  <c r="E11" i="107"/>
  <c r="H13" i="107"/>
  <c r="H31" i="107" s="1"/>
  <c r="E10" i="107"/>
  <c r="E28" i="107" s="1"/>
  <c r="F10" i="107"/>
  <c r="F28" i="107" s="1"/>
  <c r="AQ14" i="115"/>
  <c r="BW10" i="8"/>
  <c r="BW8" i="8"/>
  <c r="BW11" i="8"/>
  <c r="BX11" i="8" s="1"/>
  <c r="BW7" i="8"/>
  <c r="BW12" i="8"/>
  <c r="BX12" i="8"/>
  <c r="BW9" i="8"/>
  <c r="BX9" i="8"/>
  <c r="B11" i="115"/>
  <c r="B26" i="115"/>
  <c r="B12" i="115"/>
  <c r="B17" i="115"/>
  <c r="E14" i="107"/>
  <c r="C56" i="108"/>
  <c r="C77" i="108"/>
  <c r="G22" i="102"/>
  <c r="G20" i="102"/>
  <c r="G19" i="102"/>
  <c r="G22" i="117"/>
  <c r="O14" i="45"/>
  <c r="D42" i="108"/>
  <c r="AQ14" i="108"/>
  <c r="AQ15" i="108" s="1"/>
  <c r="BB9" i="8"/>
  <c r="AX9" i="8"/>
  <c r="Z7" i="8"/>
  <c r="B48" i="108"/>
  <c r="B118" i="108"/>
  <c r="B142" i="108" s="1"/>
  <c r="B158" i="108" s="1"/>
  <c r="AF10" i="8"/>
  <c r="AT8" i="8"/>
  <c r="G20" i="117"/>
  <c r="B16" i="115"/>
  <c r="E3" i="45"/>
  <c r="C3" i="77"/>
  <c r="C3" i="95"/>
  <c r="C3" i="91"/>
  <c r="D3" i="115"/>
  <c r="B12" i="107"/>
  <c r="B18" i="107"/>
  <c r="B24" i="107" s="1"/>
  <c r="B30" i="107" s="1"/>
  <c r="B10" i="115"/>
  <c r="B25" i="115"/>
  <c r="C3" i="86"/>
  <c r="D12" i="107"/>
  <c r="D30" i="107" s="1"/>
  <c r="B11" i="107"/>
  <c r="B17" i="107"/>
  <c r="B23" i="107" s="1"/>
  <c r="B29" i="107" s="1"/>
  <c r="R14" i="115"/>
  <c r="I14" i="115"/>
  <c r="G11" i="107"/>
  <c r="G29" i="107" s="1"/>
  <c r="C2" i="91"/>
  <c r="D2" i="8"/>
  <c r="C2" i="86"/>
  <c r="C2" i="88"/>
  <c r="C2" i="74"/>
  <c r="C2" i="76"/>
  <c r="C2" i="77"/>
  <c r="C2" i="94"/>
  <c r="C2" i="95"/>
  <c r="B2" i="107"/>
  <c r="C2" i="80"/>
  <c r="C2" i="82"/>
  <c r="C2" i="83"/>
  <c r="C2" i="84"/>
  <c r="C2" i="79"/>
  <c r="C2" i="78"/>
  <c r="E29" i="107"/>
  <c r="C3" i="14"/>
  <c r="BR12" i="8"/>
  <c r="M31" i="8"/>
  <c r="U34" i="8"/>
  <c r="W34" i="8" s="1"/>
  <c r="Y34" i="8" s="1"/>
  <c r="AA34" i="8" s="1"/>
  <c r="K11" i="8"/>
  <c r="H25" i="8"/>
  <c r="C3" i="78"/>
  <c r="C3" i="94"/>
  <c r="C3" i="74"/>
  <c r="O31" i="8"/>
  <c r="Q31" i="8"/>
  <c r="S31" i="8" s="1"/>
  <c r="U31" i="8" s="1"/>
  <c r="W31" i="8" s="1"/>
  <c r="Y31" i="8" s="1"/>
  <c r="AA31" i="8" s="1"/>
  <c r="G12" i="107"/>
  <c r="G30" i="107" s="1"/>
  <c r="G13" i="107"/>
  <c r="AR9" i="8"/>
  <c r="BP9" i="8"/>
  <c r="E32" i="107"/>
  <c r="AA32" i="107"/>
  <c r="AA14" i="107"/>
  <c r="C22" i="8"/>
  <c r="R9" i="8"/>
  <c r="L9" i="8"/>
  <c r="M9" i="8" s="1"/>
  <c r="I23" i="8" s="1"/>
  <c r="BN9" i="8"/>
  <c r="J9" i="8"/>
  <c r="K9" i="8" s="1"/>
  <c r="H23" i="8" s="1"/>
  <c r="AB9" i="8"/>
  <c r="AD9" i="8"/>
  <c r="BH9" i="8"/>
  <c r="AV9" i="8"/>
  <c r="AF9" i="8"/>
  <c r="N9" i="8"/>
  <c r="H9" i="8"/>
  <c r="I9" i="8"/>
  <c r="G23" i="8" s="1"/>
  <c r="AT9" i="8"/>
  <c r="Z9" i="8"/>
  <c r="BF9" i="8"/>
  <c r="T9" i="8"/>
  <c r="F9" i="8"/>
  <c r="G9" i="8" s="1"/>
  <c r="AP9" i="8"/>
  <c r="BL9" i="8"/>
  <c r="X9" i="8"/>
  <c r="H28" i="107"/>
  <c r="H26" i="8"/>
  <c r="C34" i="8"/>
  <c r="C24" i="8"/>
  <c r="AD8" i="8"/>
  <c r="AZ8" i="8"/>
  <c r="P8" i="8"/>
  <c r="D8" i="53"/>
  <c r="Z27" i="107"/>
  <c r="V27" i="107"/>
  <c r="I23" i="103"/>
  <c r="H21" i="103"/>
  <c r="K23" i="103"/>
  <c r="G19" i="103"/>
  <c r="AQ26" i="14"/>
  <c r="I26" i="8"/>
  <c r="G23" i="49"/>
  <c r="AH9" i="8"/>
  <c r="AR7" i="8"/>
  <c r="R7" i="8"/>
  <c r="S7" i="8" s="1"/>
  <c r="L21" i="8" s="1"/>
  <c r="BP7" i="8"/>
  <c r="BX7" i="8"/>
  <c r="T7" i="8"/>
  <c r="U7" i="8" s="1"/>
  <c r="M21" i="8" s="1"/>
  <c r="AZ7" i="8"/>
  <c r="L7" i="8"/>
  <c r="M7" i="8" s="1"/>
  <c r="I21" i="8" s="1"/>
  <c r="AX7" i="8"/>
  <c r="BN7" i="8"/>
  <c r="V7" i="8"/>
  <c r="W7" i="8" s="1"/>
  <c r="AB7" i="8"/>
  <c r="AP7" i="8"/>
  <c r="AN7" i="8"/>
  <c r="N7" i="8"/>
  <c r="O7" i="8" s="1"/>
  <c r="J21" i="8" s="1"/>
  <c r="X7" i="8"/>
  <c r="AL7" i="8"/>
  <c r="AJ7" i="8"/>
  <c r="BF7" i="8"/>
  <c r="AF7" i="8"/>
  <c r="Z10" i="8"/>
  <c r="AZ10" i="8"/>
  <c r="AJ10" i="8"/>
  <c r="BP10" i="8"/>
  <c r="N10" i="8"/>
  <c r="O10" i="8"/>
  <c r="BD10" i="8"/>
  <c r="H7" i="8"/>
  <c r="I7" i="8" s="1"/>
  <c r="G21" i="8" s="1"/>
  <c r="AX10" i="8"/>
  <c r="BL7" i="8"/>
  <c r="AT7" i="8"/>
  <c r="AD7" i="8"/>
  <c r="AV7" i="8"/>
  <c r="AH7" i="8"/>
  <c r="AR10" i="8"/>
  <c r="BD7" i="8"/>
  <c r="U25" i="8"/>
  <c r="F7" i="8"/>
  <c r="G7" i="8" s="1"/>
  <c r="BJ7" i="8"/>
  <c r="U11" i="8"/>
  <c r="M25" i="8"/>
  <c r="BR11" i="8"/>
  <c r="F7" i="108"/>
  <c r="F8" i="108" s="1"/>
  <c r="H7" i="108"/>
  <c r="H8" i="108" s="1"/>
  <c r="J7" i="108"/>
  <c r="J8" i="108" s="1"/>
  <c r="L7" i="108"/>
  <c r="L8" i="108" s="1"/>
  <c r="N7" i="108"/>
  <c r="N8" i="108" s="1"/>
  <c r="P7" i="108"/>
  <c r="P8" i="108" s="1"/>
  <c r="R7" i="108"/>
  <c r="R8" i="108" s="1"/>
  <c r="T7" i="108"/>
  <c r="T8" i="108" s="1"/>
  <c r="V7" i="108"/>
  <c r="V8" i="108" s="1"/>
  <c r="X7" i="108"/>
  <c r="X8" i="108" s="1"/>
  <c r="Z7" i="108"/>
  <c r="Z8" i="108" s="1"/>
  <c r="AB7" i="108"/>
  <c r="AB8" i="108" s="1"/>
  <c r="AD7" i="108"/>
  <c r="AD8" i="108" s="1"/>
  <c r="AF7" i="108"/>
  <c r="AF8" i="108" s="1"/>
  <c r="AH7" i="108"/>
  <c r="AH8" i="108" s="1"/>
  <c r="AJ7" i="108"/>
  <c r="AJ8" i="108" s="1"/>
  <c r="AL7" i="108"/>
  <c r="AL8" i="108" s="1"/>
  <c r="AN7" i="108"/>
  <c r="AN8" i="108" s="1"/>
  <c r="AP7" i="108"/>
  <c r="AP8" i="108" s="1"/>
  <c r="D7" i="108"/>
  <c r="D8" i="108" s="1"/>
  <c r="E7" i="108"/>
  <c r="E8" i="108" s="1"/>
  <c r="G7" i="108"/>
  <c r="G8" i="108" s="1"/>
  <c r="I7" i="108"/>
  <c r="I8" i="108" s="1"/>
  <c r="K7" i="108"/>
  <c r="K8" i="108" s="1"/>
  <c r="M7" i="108"/>
  <c r="M8" i="108" s="1"/>
  <c r="O7" i="108"/>
  <c r="O8" i="108" s="1"/>
  <c r="Q7" i="108"/>
  <c r="Q8" i="108" s="1"/>
  <c r="S7" i="108"/>
  <c r="S8" i="108" s="1"/>
  <c r="U7" i="108"/>
  <c r="U8" i="108" s="1"/>
  <c r="W7" i="108"/>
  <c r="W8" i="108" s="1"/>
  <c r="Y7" i="108"/>
  <c r="Y8" i="108" s="1"/>
  <c r="AA7" i="108"/>
  <c r="AA8" i="108" s="1"/>
  <c r="AC7" i="108"/>
  <c r="AC8" i="108" s="1"/>
  <c r="AE7" i="108"/>
  <c r="AE8" i="108" s="1"/>
  <c r="AG7" i="108"/>
  <c r="AG8" i="108" s="1"/>
  <c r="AI7" i="108"/>
  <c r="AI8" i="108" s="1"/>
  <c r="AK7" i="108"/>
  <c r="AK8" i="108" s="1"/>
  <c r="AM7" i="108"/>
  <c r="AM8" i="108" s="1"/>
  <c r="AO7" i="108"/>
  <c r="AO8" i="108" s="1"/>
  <c r="AQ7" i="108"/>
  <c r="AQ8" i="108" s="1"/>
  <c r="F9" i="108"/>
  <c r="G9" i="108" s="1"/>
  <c r="B140" i="108"/>
  <c r="B156" i="108" s="1"/>
  <c r="B138" i="108"/>
  <c r="B154" i="108" s="1"/>
  <c r="B117" i="108"/>
  <c r="B32" i="42" s="1"/>
  <c r="D154" i="108"/>
  <c r="D23" i="108" s="1"/>
  <c r="C84" i="108"/>
  <c r="H3" i="115"/>
  <c r="C98" i="108"/>
  <c r="C91" i="108"/>
  <c r="C35" i="108"/>
  <c r="C63" i="108"/>
  <c r="C49" i="108"/>
  <c r="C70" i="108"/>
  <c r="C79" i="118"/>
  <c r="C86" i="118"/>
  <c r="C16" i="118"/>
  <c r="E15" i="118"/>
  <c r="E115" i="118" s="1"/>
  <c r="C72" i="118"/>
  <c r="F11" i="118"/>
  <c r="G11" i="118" s="1"/>
  <c r="H11" i="118" s="1"/>
  <c r="H8" i="118" s="1"/>
  <c r="H114" i="118" s="1"/>
  <c r="E8" i="118"/>
  <c r="E114" i="118" s="1"/>
  <c r="D156" i="118"/>
  <c r="D25" i="118"/>
  <c r="E25" i="118" s="1"/>
  <c r="C23" i="118"/>
  <c r="C30" i="118"/>
  <c r="D73" i="118"/>
  <c r="C73" i="118" s="1"/>
  <c r="D80" i="118"/>
  <c r="C80" i="118" s="1"/>
  <c r="D87" i="118"/>
  <c r="C87" i="118" s="1"/>
  <c r="D8" i="118"/>
  <c r="D114" i="118" s="1"/>
  <c r="C9" i="118"/>
  <c r="D15" i="118"/>
  <c r="D115" i="118" s="1"/>
  <c r="D17" i="118"/>
  <c r="C17" i="118" s="1"/>
  <c r="F18" i="118"/>
  <c r="D22" i="118"/>
  <c r="D116" i="118" s="1"/>
  <c r="D24" i="118"/>
  <c r="D31" i="118"/>
  <c r="C31" i="118" s="1"/>
  <c r="C37" i="118"/>
  <c r="C44" i="118"/>
  <c r="C51" i="118"/>
  <c r="C58" i="118"/>
  <c r="C65" i="118"/>
  <c r="C93" i="118"/>
  <c r="C100" i="118"/>
  <c r="B39" i="42"/>
  <c r="B37" i="42"/>
  <c r="B35" i="42"/>
  <c r="B33" i="42"/>
  <c r="B40" i="42"/>
  <c r="B38" i="42"/>
  <c r="B36" i="42"/>
  <c r="B34" i="42"/>
  <c r="B41" i="42"/>
  <c r="G21" i="117"/>
  <c r="G23" i="117" s="1"/>
  <c r="G23" i="102"/>
  <c r="G22" i="45"/>
  <c r="S17" i="45"/>
  <c r="Z17" i="45" s="1"/>
  <c r="G30" i="45"/>
  <c r="S21" i="45" s="1"/>
  <c r="Z21" i="45" s="1"/>
  <c r="G38" i="45"/>
  <c r="S25" i="45"/>
  <c r="Z25" i="45" s="1"/>
  <c r="G46" i="45"/>
  <c r="S29" i="45" s="1"/>
  <c r="Z29" i="45" s="1"/>
  <c r="AN3" i="11"/>
  <c r="AF3" i="11"/>
  <c r="X3" i="11"/>
  <c r="P3" i="11"/>
  <c r="H3" i="11"/>
  <c r="G34" i="45"/>
  <c r="S23" i="45" s="1"/>
  <c r="Z23" i="45" s="1"/>
  <c r="G42" i="45"/>
  <c r="S27" i="45"/>
  <c r="Z27" i="45" s="1"/>
  <c r="AJ3" i="11"/>
  <c r="AB3" i="11"/>
  <c r="T3" i="11"/>
  <c r="L3" i="11"/>
  <c r="K14" i="115"/>
  <c r="E9" i="107"/>
  <c r="E14" i="115"/>
  <c r="AP14" i="115"/>
  <c r="AN14" i="115"/>
  <c r="T14" i="115"/>
  <c r="P14" i="115"/>
  <c r="F14" i="115"/>
  <c r="B92" i="21"/>
  <c r="B87" i="21" s="1"/>
  <c r="B88" i="21"/>
  <c r="B15" i="115"/>
  <c r="D27" i="115"/>
  <c r="B15" i="14"/>
  <c r="E4" i="45"/>
  <c r="B13" i="107"/>
  <c r="B19" i="107" s="1"/>
  <c r="B25" i="107" s="1"/>
  <c r="B31" i="107" s="1"/>
  <c r="J23" i="103"/>
  <c r="H23" i="103"/>
  <c r="D3" i="108"/>
  <c r="C3" i="76"/>
  <c r="C3" i="80"/>
  <c r="D3" i="11"/>
  <c r="C3" i="96"/>
  <c r="B3" i="13"/>
  <c r="C3" i="107"/>
  <c r="C3" i="79"/>
  <c r="C3" i="83"/>
  <c r="G14" i="45"/>
  <c r="S13" i="45"/>
  <c r="Z13" i="45" s="1"/>
  <c r="C3" i="82"/>
  <c r="C3" i="84"/>
  <c r="H3" i="108"/>
  <c r="G3" i="94"/>
  <c r="G3" i="91"/>
  <c r="G3" i="79"/>
  <c r="G3" i="77"/>
  <c r="G3" i="74"/>
  <c r="G3" i="88"/>
  <c r="G3" i="83"/>
  <c r="G3" i="80"/>
  <c r="F3" i="13"/>
  <c r="P3" i="108"/>
  <c r="O3" i="94"/>
  <c r="O3" i="91"/>
  <c r="O3" i="79"/>
  <c r="O3" i="77"/>
  <c r="O3" i="74"/>
  <c r="O3" i="88"/>
  <c r="O3" i="83"/>
  <c r="O3" i="80"/>
  <c r="AN3" i="108"/>
  <c r="B22" i="115"/>
  <c r="B27" i="115"/>
  <c r="G31" i="107"/>
  <c r="B10" i="107"/>
  <c r="B16" i="107"/>
  <c r="B22" i="107" s="1"/>
  <c r="B28" i="107" s="1"/>
  <c r="AN3" i="115"/>
  <c r="L14" i="115"/>
  <c r="S14" i="115"/>
  <c r="C14" i="108"/>
  <c r="M14" i="115"/>
  <c r="Y27" i="107"/>
  <c r="W27" i="107"/>
  <c r="S27" i="107"/>
  <c r="U27" i="107"/>
  <c r="Q27" i="107"/>
  <c r="AO14" i="115"/>
  <c r="W14" i="115"/>
  <c r="U14" i="115"/>
  <c r="Q14" i="115"/>
  <c r="O14" i="115"/>
  <c r="R27" i="107"/>
  <c r="P27" i="107"/>
  <c r="D64" i="108"/>
  <c r="C64" i="108" s="1"/>
  <c r="B98" i="108"/>
  <c r="B84" i="108"/>
  <c r="B14" i="108"/>
  <c r="B49" i="108"/>
  <c r="B63" i="108"/>
  <c r="B77" i="108"/>
  <c r="B91" i="108"/>
  <c r="AO43" i="108"/>
  <c r="AL43" i="108"/>
  <c r="AJ43" i="108"/>
  <c r="AH43" i="108"/>
  <c r="AF43" i="108"/>
  <c r="AD43" i="108"/>
  <c r="AB43" i="108"/>
  <c r="Z43" i="108"/>
  <c r="X43" i="108"/>
  <c r="V43" i="108"/>
  <c r="T43" i="108"/>
  <c r="R43" i="108"/>
  <c r="P43" i="108"/>
  <c r="N43" i="108"/>
  <c r="L43" i="108"/>
  <c r="J43" i="108"/>
  <c r="H43" i="108"/>
  <c r="F43" i="108"/>
  <c r="AO64" i="108"/>
  <c r="AM64" i="108"/>
  <c r="AK64" i="108"/>
  <c r="AI64" i="108"/>
  <c r="AG64" i="108"/>
  <c r="AE64" i="108"/>
  <c r="AC64" i="108"/>
  <c r="AA64" i="108"/>
  <c r="Y64" i="108"/>
  <c r="W64" i="108"/>
  <c r="U64" i="108"/>
  <c r="S64" i="108"/>
  <c r="Q64" i="108"/>
  <c r="O64" i="108"/>
  <c r="M64" i="108"/>
  <c r="K64" i="108"/>
  <c r="I64" i="108"/>
  <c r="G64" i="108"/>
  <c r="E64" i="108"/>
  <c r="D43" i="108"/>
  <c r="C43" i="108" s="1"/>
  <c r="B28" i="108"/>
  <c r="B35" i="108"/>
  <c r="B56" i="108"/>
  <c r="B70" i="108"/>
  <c r="B105" i="108"/>
  <c r="AP43" i="108"/>
  <c r="AM43" i="108"/>
  <c r="AK43" i="108"/>
  <c r="AI43" i="108"/>
  <c r="AG43" i="108"/>
  <c r="AE43" i="108"/>
  <c r="AC43" i="108"/>
  <c r="AA43" i="108"/>
  <c r="Y43" i="108"/>
  <c r="W43" i="108"/>
  <c r="U43" i="108"/>
  <c r="S43" i="108"/>
  <c r="Q43" i="108"/>
  <c r="O43" i="108"/>
  <c r="M43" i="108"/>
  <c r="K43" i="108"/>
  <c r="I43" i="108"/>
  <c r="G43" i="108"/>
  <c r="E43" i="108"/>
  <c r="AP64" i="108"/>
  <c r="AN64" i="108"/>
  <c r="AL64" i="108"/>
  <c r="AJ64" i="108"/>
  <c r="AH64" i="108"/>
  <c r="AF64" i="108"/>
  <c r="AD64" i="108"/>
  <c r="AB64" i="108"/>
  <c r="Z64" i="108"/>
  <c r="X64" i="108"/>
  <c r="V64" i="108"/>
  <c r="T64" i="108"/>
  <c r="R64" i="108"/>
  <c r="P64" i="108"/>
  <c r="N64" i="108"/>
  <c r="L64" i="108"/>
  <c r="J64" i="108"/>
  <c r="H64" i="108"/>
  <c r="F64" i="108"/>
  <c r="L3" i="115"/>
  <c r="P3" i="115"/>
  <c r="D157" i="118"/>
  <c r="D32" i="118"/>
  <c r="D29" i="118" s="1"/>
  <c r="G8" i="118"/>
  <c r="G114" i="118" s="1"/>
  <c r="G18" i="118"/>
  <c r="F15" i="118"/>
  <c r="F115" i="118"/>
  <c r="B26" i="21"/>
  <c r="I11" i="118"/>
  <c r="J11" i="118" s="1"/>
  <c r="J8" i="118" s="1"/>
  <c r="J114" i="118" s="1"/>
  <c r="D158" i="118"/>
  <c r="D46" i="118" s="1"/>
  <c r="E46" i="118" s="1"/>
  <c r="E43" i="118" s="1"/>
  <c r="D39" i="118"/>
  <c r="G15" i="118"/>
  <c r="G115" i="118" s="1"/>
  <c r="H18" i="118"/>
  <c r="H15" i="118" s="1"/>
  <c r="H115" i="118" s="1"/>
  <c r="D159" i="118"/>
  <c r="D53" i="118" s="1"/>
  <c r="E53" i="118" s="1"/>
  <c r="I8" i="118"/>
  <c r="I114" i="118" s="1"/>
  <c r="E39" i="118"/>
  <c r="D36" i="118"/>
  <c r="D118" i="118" s="1"/>
  <c r="D117" i="118"/>
  <c r="I18" i="118"/>
  <c r="E36" i="118"/>
  <c r="E118" i="118"/>
  <c r="F39" i="118"/>
  <c r="D160" i="118"/>
  <c r="D60" i="118" s="1"/>
  <c r="D57" i="118" s="1"/>
  <c r="K11" i="118"/>
  <c r="K8" i="118" s="1"/>
  <c r="K114" i="118" s="1"/>
  <c r="D43" i="118"/>
  <c r="D119" i="118" s="1"/>
  <c r="L11" i="118"/>
  <c r="M11" i="118" s="1"/>
  <c r="N11" i="118" s="1"/>
  <c r="O11" i="118" s="1"/>
  <c r="P11" i="118" s="1"/>
  <c r="P8" i="118" s="1"/>
  <c r="P114" i="118" s="1"/>
  <c r="D50" i="118"/>
  <c r="D120" i="118" s="1"/>
  <c r="F36" i="118"/>
  <c r="F118" i="118" s="1"/>
  <c r="G39" i="118"/>
  <c r="F46" i="118"/>
  <c r="F43" i="118" s="1"/>
  <c r="D161" i="118"/>
  <c r="D67" i="118" s="1"/>
  <c r="E67" i="118" s="1"/>
  <c r="E64" i="118" s="1"/>
  <c r="E119" i="118"/>
  <c r="E60" i="118"/>
  <c r="D121" i="118"/>
  <c r="F119" i="118"/>
  <c r="L8" i="118"/>
  <c r="L114" i="118" s="1"/>
  <c r="M8" i="118"/>
  <c r="M114" i="118" s="1"/>
  <c r="D64" i="118"/>
  <c r="D122" i="118" s="1"/>
  <c r="F67" i="118"/>
  <c r="G67" i="118" s="1"/>
  <c r="G64" i="118" s="1"/>
  <c r="G122" i="118" s="1"/>
  <c r="N8" i="118"/>
  <c r="N114" i="118" s="1"/>
  <c r="C8" i="103"/>
  <c r="F64" i="118"/>
  <c r="F122" i="118" s="1"/>
  <c r="O8" i="118"/>
  <c r="O114" i="118" s="1"/>
  <c r="E122" i="118"/>
  <c r="Q11" i="118"/>
  <c r="R11" i="118" s="1"/>
  <c r="H67" i="118"/>
  <c r="I67" i="118" s="1"/>
  <c r="E5" i="117"/>
  <c r="C4" i="103"/>
  <c r="C12" i="103"/>
  <c r="D12" i="103" s="1"/>
  <c r="H64" i="118"/>
  <c r="H122" i="118" s="1"/>
  <c r="Q8" i="118"/>
  <c r="Q114" i="118" s="1"/>
  <c r="G5" i="117"/>
  <c r="S11" i="118"/>
  <c r="T11" i="118" s="1"/>
  <c r="R8" i="118"/>
  <c r="R114" i="118" s="1"/>
  <c r="F5" i="117"/>
  <c r="S8" i="118"/>
  <c r="S114" i="118" s="1"/>
  <c r="C7" i="103"/>
  <c r="B112" i="108"/>
  <c r="B27" i="42"/>
  <c r="AN43" i="108"/>
  <c r="C42" i="108"/>
  <c r="B115" i="108"/>
  <c r="B30" i="42"/>
  <c r="B28" i="42"/>
  <c r="C10" i="118"/>
  <c r="V9" i="8"/>
  <c r="BD9" i="8"/>
  <c r="AJ9" i="8"/>
  <c r="AZ9" i="8"/>
  <c r="D6" i="108"/>
  <c r="D112" i="108" s="1"/>
  <c r="E6" i="108"/>
  <c r="C31" i="8"/>
  <c r="C23" i="8"/>
  <c r="E106" i="108"/>
  <c r="I106" i="108"/>
  <c r="M106" i="108"/>
  <c r="Q106" i="108"/>
  <c r="U106" i="108"/>
  <c r="Y106" i="108"/>
  <c r="AC106" i="108"/>
  <c r="AG106" i="108"/>
  <c r="AK106" i="108"/>
  <c r="AO106" i="108"/>
  <c r="F106" i="108"/>
  <c r="J106" i="108"/>
  <c r="N106" i="108"/>
  <c r="R106" i="108"/>
  <c r="V106" i="108"/>
  <c r="Z106" i="108"/>
  <c r="AD106" i="108"/>
  <c r="AH106" i="108"/>
  <c r="AL106" i="108"/>
  <c r="AP106" i="108"/>
  <c r="Q29" i="108"/>
  <c r="D107" i="118"/>
  <c r="C7" i="108"/>
  <c r="H29" i="108"/>
  <c r="V3" i="13"/>
  <c r="AD3" i="13"/>
  <c r="AA3" i="14"/>
  <c r="AI3" i="14"/>
  <c r="H3" i="118"/>
  <c r="P3" i="118"/>
  <c r="X3" i="118"/>
  <c r="AF3" i="118"/>
  <c r="AN3" i="118"/>
  <c r="L3" i="108"/>
  <c r="T3" i="108"/>
  <c r="X3" i="108"/>
  <c r="AB3" i="108"/>
  <c r="AF3" i="108"/>
  <c r="AJ3" i="108"/>
  <c r="Z3" i="13"/>
  <c r="AH3" i="13"/>
  <c r="D155" i="108"/>
  <c r="J107" i="118"/>
  <c r="R107" i="118"/>
  <c r="Z107" i="118"/>
  <c r="Z108" i="118" s="1"/>
  <c r="AH107" i="118"/>
  <c r="AP107" i="118"/>
  <c r="F23" i="8"/>
  <c r="B137" i="108"/>
  <c r="B153" i="108" s="1"/>
  <c r="AL107" i="118"/>
  <c r="AD107" i="118"/>
  <c r="V107" i="118"/>
  <c r="V108" i="118" s="1"/>
  <c r="N107" i="118"/>
  <c r="F107" i="118"/>
  <c r="AN107" i="118"/>
  <c r="AN108" i="118" s="1"/>
  <c r="AJ107" i="118"/>
  <c r="AF107" i="118"/>
  <c r="AB107" i="118"/>
  <c r="X107" i="118"/>
  <c r="T107" i="118"/>
  <c r="T108" i="118" s="1"/>
  <c r="P107" i="118"/>
  <c r="L107" i="118"/>
  <c r="H107" i="118"/>
  <c r="M105" i="108"/>
  <c r="F105" i="108"/>
  <c r="H105" i="108"/>
  <c r="J105" i="108"/>
  <c r="L105" i="108"/>
  <c r="O105" i="108"/>
  <c r="Q105" i="108"/>
  <c r="S105" i="108"/>
  <c r="U105" i="108"/>
  <c r="W105" i="108"/>
  <c r="Y105" i="108"/>
  <c r="AA105" i="108"/>
  <c r="AC105" i="108"/>
  <c r="AE105" i="108"/>
  <c r="AG105" i="108"/>
  <c r="AI105" i="108"/>
  <c r="AK105" i="108"/>
  <c r="AM105" i="108"/>
  <c r="AO105" i="108"/>
  <c r="AQ105" i="108"/>
  <c r="E105" i="108"/>
  <c r="G105" i="108"/>
  <c r="I105" i="108"/>
  <c r="K105" i="108"/>
  <c r="N105" i="108"/>
  <c r="P105" i="108"/>
  <c r="R105" i="108"/>
  <c r="T105" i="108"/>
  <c r="V105" i="108"/>
  <c r="X105" i="108"/>
  <c r="Z105" i="108"/>
  <c r="AB105" i="108"/>
  <c r="AD105" i="108"/>
  <c r="AF105" i="108"/>
  <c r="AH105" i="108"/>
  <c r="AJ105" i="108"/>
  <c r="AL105" i="108"/>
  <c r="AN105" i="108"/>
  <c r="AP105" i="108"/>
  <c r="D105" i="108"/>
  <c r="C102" i="21"/>
  <c r="B102" i="21" s="1"/>
  <c r="G19" i="49"/>
  <c r="AQ107" i="118"/>
  <c r="O28" i="45"/>
  <c r="AO107" i="118"/>
  <c r="AO108" i="118"/>
  <c r="AM107" i="118"/>
  <c r="AK107" i="118"/>
  <c r="AK108" i="118" s="1"/>
  <c r="AI107" i="118"/>
  <c r="AG107" i="118"/>
  <c r="AE107" i="118"/>
  <c r="AC107" i="118"/>
  <c r="AA107" i="118"/>
  <c r="Y107" i="118"/>
  <c r="Y108" i="118"/>
  <c r="W107" i="118"/>
  <c r="U107" i="118"/>
  <c r="U108" i="118" s="1"/>
  <c r="S107" i="118"/>
  <c r="Q107" i="118"/>
  <c r="O107" i="118"/>
  <c r="M107" i="118"/>
  <c r="K107" i="118"/>
  <c r="K108" i="118" s="1"/>
  <c r="I107" i="118"/>
  <c r="G107" i="118"/>
  <c r="E107" i="118"/>
  <c r="D30" i="108"/>
  <c r="E30" i="108" s="1"/>
  <c r="D156" i="108"/>
  <c r="AC108" i="118"/>
  <c r="AA108" i="118"/>
  <c r="S108" i="118"/>
  <c r="Q108" i="118"/>
  <c r="O108" i="118"/>
  <c r="M108" i="118"/>
  <c r="I108" i="118"/>
  <c r="G108" i="118"/>
  <c r="E108" i="118"/>
  <c r="AP108" i="118"/>
  <c r="AL108" i="118"/>
  <c r="AJ108" i="118"/>
  <c r="AF108" i="118"/>
  <c r="AD108" i="118"/>
  <c r="X108" i="118"/>
  <c r="P108" i="118"/>
  <c r="N108" i="118"/>
  <c r="J108" i="118"/>
  <c r="H108" i="118"/>
  <c r="F108" i="118"/>
  <c r="D108" i="118"/>
  <c r="C108" i="118"/>
  <c r="C107" i="118"/>
  <c r="C87" i="21"/>
  <c r="D37" i="108"/>
  <c r="E37" i="108" s="1"/>
  <c r="D157" i="108"/>
  <c r="D44" i="108"/>
  <c r="D41" i="108" s="1"/>
  <c r="D158" i="108"/>
  <c r="D159" i="108" s="1"/>
  <c r="D51" i="108"/>
  <c r="D48" i="108" s="1"/>
  <c r="C24" i="118"/>
  <c r="AN9" i="8"/>
  <c r="AL9" i="8"/>
  <c r="P9" i="8"/>
  <c r="BR9" i="8" s="1"/>
  <c r="X10" i="8"/>
  <c r="Y10" i="8"/>
  <c r="E16" i="108"/>
  <c r="F16" i="108" s="1"/>
  <c r="D13" i="108"/>
  <c r="D113" i="108" s="1"/>
  <c r="D20" i="108"/>
  <c r="E23" i="108"/>
  <c r="E20" i="108" s="1"/>
  <c r="E114" i="108" s="1"/>
  <c r="B47" i="21"/>
  <c r="F23" i="108"/>
  <c r="F20" i="108" s="1"/>
  <c r="F114" i="108" s="1"/>
  <c r="D114" i="108"/>
  <c r="B48" i="21"/>
  <c r="G23" i="108"/>
  <c r="G20" i="108" s="1"/>
  <c r="F12" i="107"/>
  <c r="F30" i="107" s="1"/>
  <c r="F14" i="14"/>
  <c r="V24" i="14"/>
  <c r="U14" i="13"/>
  <c r="Z24" i="14"/>
  <c r="Y14" i="13"/>
  <c r="AD24" i="14"/>
  <c r="AC14" i="13"/>
  <c r="AG14" i="13"/>
  <c r="AH24" i="14"/>
  <c r="AL24" i="14"/>
  <c r="AK14" i="13"/>
  <c r="L23" i="103"/>
  <c r="M23" i="103"/>
  <c r="N14" i="115"/>
  <c r="E27" i="115"/>
  <c r="B17" i="49"/>
  <c r="B74" i="21" s="1"/>
  <c r="P19" i="115"/>
  <c r="B75" i="21"/>
  <c r="F11" i="107"/>
  <c r="B10" i="21"/>
  <c r="G4" i="45"/>
  <c r="I13" i="107"/>
  <c r="I31" i="107"/>
  <c r="N9" i="103"/>
  <c r="AB23" i="103"/>
  <c r="J14" i="115"/>
  <c r="C17" i="115"/>
  <c r="C22" i="115"/>
  <c r="V23" i="103"/>
  <c r="AD23" i="103"/>
  <c r="AE23" i="103"/>
  <c r="T23" i="103"/>
  <c r="R23" i="103"/>
  <c r="J29" i="108"/>
  <c r="G14" i="115"/>
  <c r="O19" i="115"/>
  <c r="F13" i="14"/>
  <c r="B21" i="115"/>
  <c r="B20" i="115"/>
  <c r="B139" i="108"/>
  <c r="B155" i="108" s="1"/>
  <c r="E51" i="108"/>
  <c r="D36" i="108"/>
  <c r="D34" i="108"/>
  <c r="E44" i="108"/>
  <c r="D116" i="108"/>
  <c r="Y23" i="103"/>
  <c r="S23" i="103"/>
  <c r="U23" i="103"/>
  <c r="O23" i="103"/>
  <c r="G9" i="103"/>
  <c r="P23" i="103"/>
  <c r="AA23" i="103"/>
  <c r="AC23" i="103"/>
  <c r="W23" i="103"/>
  <c r="N21" i="108"/>
  <c r="C24" i="108"/>
  <c r="P16" i="45" s="1"/>
  <c r="N29" i="108"/>
  <c r="L29" i="108"/>
  <c r="W3" i="107"/>
  <c r="O3" i="107"/>
  <c r="G3" i="107"/>
  <c r="T3" i="115"/>
  <c r="AJ3" i="118"/>
  <c r="BF8" i="8"/>
  <c r="H8" i="8"/>
  <c r="I8" i="8"/>
  <c r="G22" i="8" s="1"/>
  <c r="BP8" i="8"/>
  <c r="AJ8" i="8"/>
  <c r="AF8" i="8"/>
  <c r="BL8" i="8"/>
  <c r="AB8" i="8"/>
  <c r="AH8" i="8"/>
  <c r="AP8" i="8"/>
  <c r="R8" i="8"/>
  <c r="L8" i="8"/>
  <c r="M8" i="8" s="1"/>
  <c r="V8" i="8"/>
  <c r="T8" i="8"/>
  <c r="BD8" i="8"/>
  <c r="AX8" i="8"/>
  <c r="J8" i="8"/>
  <c r="K8" i="8" s="1"/>
  <c r="BX8" i="8"/>
  <c r="X8" i="8"/>
  <c r="AN8" i="8"/>
  <c r="AL8" i="8"/>
  <c r="F8" i="8"/>
  <c r="N8" i="8"/>
  <c r="O8" i="8" s="1"/>
  <c r="J22" i="8" s="1"/>
  <c r="AR8" i="8"/>
  <c r="BN8" i="8"/>
  <c r="O24" i="8"/>
  <c r="T10" i="8"/>
  <c r="U10" i="8"/>
  <c r="M24" i="8" s="1"/>
  <c r="R10" i="8"/>
  <c r="S10" i="8" s="1"/>
  <c r="L24" i="8" s="1"/>
  <c r="BB10" i="8"/>
  <c r="BL10" i="8"/>
  <c r="AN10" i="8"/>
  <c r="J10" i="8"/>
  <c r="K10" i="8" s="1"/>
  <c r="H24" i="8" s="1"/>
  <c r="AB10" i="8"/>
  <c r="BF10" i="8"/>
  <c r="P10" i="8"/>
  <c r="Q10" i="8" s="1"/>
  <c r="K24" i="8" s="1"/>
  <c r="AQ108" i="118"/>
  <c r="L108" i="118"/>
  <c r="R108" i="118"/>
  <c r="AB108" i="118"/>
  <c r="AH108" i="118"/>
  <c r="AI108" i="118"/>
  <c r="AE108" i="118"/>
  <c r="C105" i="108"/>
  <c r="W108" i="118"/>
  <c r="AG108" i="118"/>
  <c r="AM108" i="118"/>
  <c r="D106" i="108"/>
  <c r="AN106" i="108"/>
  <c r="AJ106" i="108"/>
  <c r="AF106" i="108"/>
  <c r="AB106" i="108"/>
  <c r="X106" i="108"/>
  <c r="T106" i="108"/>
  <c r="P106" i="108"/>
  <c r="L106" i="108"/>
  <c r="H106" i="108"/>
  <c r="AQ106" i="108"/>
  <c r="AM106" i="108"/>
  <c r="AI106" i="108"/>
  <c r="AE106" i="108"/>
  <c r="AA106" i="108"/>
  <c r="W106" i="108"/>
  <c r="S106" i="108"/>
  <c r="O106" i="108"/>
  <c r="K106" i="108"/>
  <c r="AH10" i="8"/>
  <c r="AP10" i="8"/>
  <c r="F10" i="8"/>
  <c r="G10" i="8" s="1"/>
  <c r="F24" i="8" s="1"/>
  <c r="H10" i="8"/>
  <c r="I10" i="8" s="1"/>
  <c r="AL10" i="8"/>
  <c r="BJ10" i="8"/>
  <c r="L10" i="8"/>
  <c r="M10" i="8" s="1"/>
  <c r="I24" i="8" s="1"/>
  <c r="BN10" i="8"/>
  <c r="BX10" i="8"/>
  <c r="AT10" i="8"/>
  <c r="AD10" i="8"/>
  <c r="V10" i="8"/>
  <c r="W10" i="8"/>
  <c r="N24" i="8" s="1"/>
  <c r="J24" i="8"/>
  <c r="AV10" i="8"/>
  <c r="B136" i="108"/>
  <c r="B152" i="108" s="1"/>
  <c r="B70" i="21"/>
  <c r="D16" i="21" s="1"/>
  <c r="B14" i="49"/>
  <c r="F51" i="108"/>
  <c r="E48" i="108"/>
  <c r="F44" i="108"/>
  <c r="E41" i="108"/>
  <c r="N22" i="108"/>
  <c r="C21" i="108"/>
  <c r="K29" i="108"/>
  <c r="G8" i="8"/>
  <c r="BR8" i="8"/>
  <c r="C106" i="108"/>
  <c r="BR10" i="8"/>
  <c r="B72" i="21"/>
  <c r="E18" i="21" s="1"/>
  <c r="B18" i="21" s="1"/>
  <c r="F48" i="108"/>
  <c r="F118" i="108" s="1"/>
  <c r="G51" i="108"/>
  <c r="F41" i="108"/>
  <c r="G44" i="108"/>
  <c r="F22" i="8"/>
  <c r="G48" i="108"/>
  <c r="G118" i="108" s="1"/>
  <c r="H51" i="108"/>
  <c r="H48" i="108" s="1"/>
  <c r="G41" i="108"/>
  <c r="G117" i="108"/>
  <c r="H44" i="108"/>
  <c r="I51" i="108"/>
  <c r="H41" i="108"/>
  <c r="H117" i="108"/>
  <c r="I44" i="108"/>
  <c r="J51" i="108"/>
  <c r="K51" i="108" s="1"/>
  <c r="I48" i="108"/>
  <c r="I41" i="108"/>
  <c r="I117" i="108" s="1"/>
  <c r="J44" i="108"/>
  <c r="K44" i="108" s="1"/>
  <c r="J48" i="108"/>
  <c r="J118" i="108" s="1"/>
  <c r="J41" i="108"/>
  <c r="F29" i="107"/>
  <c r="B104" i="21"/>
  <c r="B105" i="21"/>
  <c r="C77" i="21"/>
  <c r="C85" i="21" s="1"/>
  <c r="B85" i="21" s="1"/>
  <c r="I32" i="103"/>
  <c r="G13" i="14"/>
  <c r="H14" i="115"/>
  <c r="C107" i="21"/>
  <c r="B107" i="21" s="1"/>
  <c r="R30" i="21" s="1"/>
  <c r="H22" i="21"/>
  <c r="G16" i="108"/>
  <c r="F13" i="108"/>
  <c r="F6" i="108"/>
  <c r="AC26" i="45"/>
  <c r="P28" i="108"/>
  <c r="C31" i="108"/>
  <c r="P17" i="45" s="1"/>
  <c r="G10" i="115"/>
  <c r="H10" i="115" s="1"/>
  <c r="F27" i="115"/>
  <c r="B141" i="108"/>
  <c r="B157" i="108" s="1"/>
  <c r="J117" i="108"/>
  <c r="AQ15" i="14"/>
  <c r="AA31" i="107"/>
  <c r="AA13" i="107"/>
  <c r="N23" i="103"/>
  <c r="X23" i="103"/>
  <c r="Q23" i="103"/>
  <c r="Z23" i="103"/>
  <c r="C8" i="108"/>
  <c r="C22" i="108"/>
  <c r="B77" i="21"/>
  <c r="E20" i="21" s="1"/>
  <c r="B20" i="21" s="1"/>
  <c r="H22" i="8"/>
  <c r="E9" i="94" s="1"/>
  <c r="E14" i="91" s="1"/>
  <c r="K6" i="8"/>
  <c r="D117" i="108"/>
  <c r="F117" i="108"/>
  <c r="E117" i="108"/>
  <c r="Y30" i="21"/>
  <c r="L30" i="21"/>
  <c r="F30" i="21"/>
  <c r="AL30" i="21"/>
  <c r="W30" i="21"/>
  <c r="AE30" i="21"/>
  <c r="AM30" i="21"/>
  <c r="K30" i="21"/>
  <c r="AN30" i="21"/>
  <c r="AF30" i="21"/>
  <c r="AJ30" i="21"/>
  <c r="V30" i="21"/>
  <c r="E30" i="21"/>
  <c r="C30" i="21"/>
  <c r="AP30" i="21"/>
  <c r="G30" i="21"/>
  <c r="O30" i="21"/>
  <c r="G15" i="21"/>
  <c r="G26" i="49"/>
  <c r="G24" i="49"/>
  <c r="H16" i="108"/>
  <c r="G13" i="108"/>
  <c r="F112" i="108"/>
  <c r="C28" i="108"/>
  <c r="P29" i="108"/>
  <c r="G27" i="115"/>
  <c r="E9" i="82"/>
  <c r="E14" i="80" s="1"/>
  <c r="E9" i="88"/>
  <c r="E14" i="86" s="1"/>
  <c r="E9" i="77"/>
  <c r="E9" i="78"/>
  <c r="E14" i="79" s="1"/>
  <c r="H27" i="8"/>
  <c r="K14" i="8"/>
  <c r="K15" i="8" s="1"/>
  <c r="H15" i="49"/>
  <c r="H14" i="49"/>
  <c r="H4" i="49"/>
  <c r="H9" i="49"/>
  <c r="C7" i="42"/>
  <c r="B14" i="53" s="1"/>
  <c r="B1" i="53" s="1"/>
  <c r="H6" i="49"/>
  <c r="H17" i="49"/>
  <c r="H12" i="49"/>
  <c r="H13" i="49"/>
  <c r="H18" i="49"/>
  <c r="H22" i="49"/>
  <c r="H23" i="49"/>
  <c r="C43" i="42"/>
  <c r="H8" i="49"/>
  <c r="H7" i="49"/>
  <c r="H21" i="49"/>
  <c r="H16" i="49"/>
  <c r="H19" i="49"/>
  <c r="H20" i="49"/>
  <c r="H5" i="49"/>
  <c r="H10" i="49"/>
  <c r="H11" i="49"/>
  <c r="H13" i="108"/>
  <c r="I16" i="108"/>
  <c r="H27" i="115"/>
  <c r="E5" i="88"/>
  <c r="E5" i="94"/>
  <c r="E6" i="95"/>
  <c r="E5" i="95" s="1"/>
  <c r="E6" i="74"/>
  <c r="E5" i="74" s="1"/>
  <c r="E6" i="86"/>
  <c r="E5" i="86" s="1"/>
  <c r="E5" i="96"/>
  <c r="E5" i="78"/>
  <c r="E6" i="91"/>
  <c r="E5" i="91" s="1"/>
  <c r="E6" i="83"/>
  <c r="E5" i="83" s="1"/>
  <c r="E5" i="84"/>
  <c r="E6" i="79"/>
  <c r="E5" i="79" s="1"/>
  <c r="E6" i="80"/>
  <c r="E5" i="80" s="1"/>
  <c r="E6" i="76"/>
  <c r="E5" i="76" s="1"/>
  <c r="E5" i="82"/>
  <c r="E5" i="77"/>
  <c r="K17" i="8"/>
  <c r="K16" i="8"/>
  <c r="E14" i="76"/>
  <c r="G22" i="21"/>
  <c r="I13" i="108"/>
  <c r="J16" i="108"/>
  <c r="K16" i="108" s="1"/>
  <c r="I27" i="115"/>
  <c r="J13" i="108"/>
  <c r="J27" i="115"/>
  <c r="K27" i="115"/>
  <c r="L27" i="115"/>
  <c r="M27" i="115"/>
  <c r="N27" i="115"/>
  <c r="O27" i="115"/>
  <c r="P27" i="115"/>
  <c r="Q27" i="115"/>
  <c r="R27" i="115"/>
  <c r="S27" i="115"/>
  <c r="T27" i="115"/>
  <c r="U27" i="115"/>
  <c r="V27" i="115"/>
  <c r="W27" i="115"/>
  <c r="X27" i="115"/>
  <c r="Y27" i="115"/>
  <c r="Z27" i="115"/>
  <c r="AA27" i="115"/>
  <c r="AB27" i="115"/>
  <c r="AC27" i="115"/>
  <c r="AD27" i="115"/>
  <c r="AE27" i="115"/>
  <c r="AF27" i="115"/>
  <c r="AG27" i="115"/>
  <c r="AH27" i="115"/>
  <c r="AI27" i="115"/>
  <c r="AJ27" i="115"/>
  <c r="AK27" i="115"/>
  <c r="AL27" i="115"/>
  <c r="AM27" i="115"/>
  <c r="AN27" i="115"/>
  <c r="AO27" i="115"/>
  <c r="AP27" i="115"/>
  <c r="AQ27" i="115"/>
  <c r="H15" i="21"/>
  <c r="H8" i="103"/>
  <c r="AC22" i="103" s="1"/>
  <c r="B9" i="21"/>
  <c r="G3" i="45" s="1"/>
  <c r="C12" i="107"/>
  <c r="AA12" i="107" s="1"/>
  <c r="C11" i="107"/>
  <c r="C29" i="107" s="1"/>
  <c r="D25" i="115"/>
  <c r="C30" i="107"/>
  <c r="C16" i="115"/>
  <c r="C14" i="14"/>
  <c r="AQ14" i="14" s="1"/>
  <c r="D26" i="115"/>
  <c r="D24" i="115" s="1"/>
  <c r="C34" i="21" s="1"/>
  <c r="D14" i="115"/>
  <c r="C15" i="115"/>
  <c r="J20" i="115" s="1"/>
  <c r="C13" i="14"/>
  <c r="AQ13" i="14" s="1"/>
  <c r="Z22" i="103"/>
  <c r="M22" i="103"/>
  <c r="L22" i="103"/>
  <c r="G8" i="103"/>
  <c r="U22" i="103"/>
  <c r="T22" i="103"/>
  <c r="O22" i="103"/>
  <c r="N22" i="103"/>
  <c r="AB22" i="103"/>
  <c r="AE22" i="103"/>
  <c r="V22" i="103"/>
  <c r="J22" i="103"/>
  <c r="I22" i="103"/>
  <c r="AD22" i="103"/>
  <c r="Q22" i="103"/>
  <c r="P22" i="103"/>
  <c r="AA22" i="103"/>
  <c r="Y22" i="103"/>
  <c r="X22" i="103"/>
  <c r="R22" i="103"/>
  <c r="K22" i="103"/>
  <c r="W22" i="103"/>
  <c r="S22" i="103"/>
  <c r="H22" i="103"/>
  <c r="E9" i="115"/>
  <c r="E25" i="115"/>
  <c r="C14" i="115"/>
  <c r="M19" i="115"/>
  <c r="C21" i="115"/>
  <c r="E26" i="115"/>
  <c r="E24" i="115" s="1"/>
  <c r="D34" i="21" s="1"/>
  <c r="F26" i="115"/>
  <c r="N19" i="115"/>
  <c r="F9" i="115"/>
  <c r="F25" i="115"/>
  <c r="G9" i="115"/>
  <c r="G25" i="115"/>
  <c r="K5" i="103"/>
  <c r="F11" i="14"/>
  <c r="F10" i="14"/>
  <c r="G11" i="14"/>
  <c r="G10" i="14"/>
  <c r="L5" i="103"/>
  <c r="N5" i="103"/>
  <c r="I11" i="14"/>
  <c r="I10" i="14"/>
  <c r="H11" i="14"/>
  <c r="H10" i="14"/>
  <c r="M5" i="103"/>
  <c r="K11" i="14"/>
  <c r="K10" i="14" s="1"/>
  <c r="J11" i="14"/>
  <c r="J10" i="14" s="1"/>
  <c r="O5" i="103"/>
  <c r="L11" i="14"/>
  <c r="L10" i="14"/>
  <c r="M11" i="14"/>
  <c r="M10" i="14"/>
  <c r="O11" i="14"/>
  <c r="O10" i="14"/>
  <c r="N11" i="14"/>
  <c r="N10" i="14"/>
  <c r="P11" i="14"/>
  <c r="P10" i="14" s="1"/>
  <c r="Q11" i="14"/>
  <c r="Q10" i="14"/>
  <c r="R11" i="14"/>
  <c r="R10" i="14"/>
  <c r="S11" i="14"/>
  <c r="S10" i="14"/>
  <c r="T11" i="14"/>
  <c r="T10" i="14"/>
  <c r="V11" i="14"/>
  <c r="V10" i="14"/>
  <c r="U11" i="14"/>
  <c r="U10" i="14"/>
  <c r="W11" i="14"/>
  <c r="W10" i="14"/>
  <c r="Y11" i="14"/>
  <c r="Y10" i="14" s="1"/>
  <c r="X11" i="14"/>
  <c r="X10" i="14" s="1"/>
  <c r="Z11" i="14"/>
  <c r="Z10" i="14" s="1"/>
  <c r="AA11" i="14"/>
  <c r="AA10" i="14" s="1"/>
  <c r="AB11" i="14"/>
  <c r="AB10" i="14" s="1"/>
  <c r="AC11" i="14"/>
  <c r="AC10" i="14" s="1"/>
  <c r="AD11" i="14"/>
  <c r="AD10" i="14" s="1"/>
  <c r="AE11" i="14"/>
  <c r="AE10" i="14"/>
  <c r="AG11" i="14"/>
  <c r="AG10" i="14" s="1"/>
  <c r="AF11" i="14"/>
  <c r="AF10" i="14" s="1"/>
  <c r="AH11" i="14"/>
  <c r="AH10" i="14" s="1"/>
  <c r="AI11" i="14"/>
  <c r="AI10" i="14" s="1"/>
  <c r="AJ11" i="14"/>
  <c r="AJ10" i="14" s="1"/>
  <c r="AK11" i="14"/>
  <c r="AK10" i="14"/>
  <c r="AL11" i="14"/>
  <c r="AL10" i="14" s="1"/>
  <c r="AM11" i="14"/>
  <c r="AM10" i="14" s="1"/>
  <c r="AN11" i="14"/>
  <c r="AN10" i="14" s="1"/>
  <c r="AO11" i="14"/>
  <c r="AO10" i="14" s="1"/>
  <c r="AP11" i="14"/>
  <c r="AP10" i="14" s="1"/>
  <c r="Q14" i="13"/>
  <c r="R24" i="14"/>
  <c r="B82" i="21" l="1"/>
  <c r="E23" i="21" s="1"/>
  <c r="D87" i="21"/>
  <c r="C17" i="45"/>
  <c r="E17" i="45" s="1"/>
  <c r="K31" i="103"/>
  <c r="I35" i="103"/>
  <c r="K15" i="108"/>
  <c r="AB24" i="45" s="1"/>
  <c r="K13" i="108"/>
  <c r="J113" i="108"/>
  <c r="K13" i="8"/>
  <c r="H28" i="8" s="1"/>
  <c r="E13" i="79" s="1"/>
  <c r="E9" i="84"/>
  <c r="E14" i="83" s="1"/>
  <c r="E9" i="96"/>
  <c r="E14" i="95" s="1"/>
  <c r="H113" i="108"/>
  <c r="I113" i="108"/>
  <c r="C9" i="107"/>
  <c r="I7" i="103"/>
  <c r="D12" i="14"/>
  <c r="AQ12" i="14" s="1"/>
  <c r="D10" i="107"/>
  <c r="U30" i="21"/>
  <c r="AA30" i="21"/>
  <c r="Q30" i="21"/>
  <c r="AO30" i="21"/>
  <c r="I30" i="21"/>
  <c r="AG30" i="21"/>
  <c r="Z30" i="21"/>
  <c r="AI30" i="21"/>
  <c r="S30" i="21"/>
  <c r="X30" i="21"/>
  <c r="N30" i="21"/>
  <c r="J30" i="21"/>
  <c r="AB30" i="21"/>
  <c r="AD30" i="21"/>
  <c r="AH30" i="21"/>
  <c r="D30" i="21"/>
  <c r="T30" i="21"/>
  <c r="AK30" i="21"/>
  <c r="M30" i="21"/>
  <c r="H30" i="21"/>
  <c r="AC30" i="21"/>
  <c r="C106" i="21"/>
  <c r="B106" i="21" s="1"/>
  <c r="R29" i="21" s="1"/>
  <c r="C27" i="107"/>
  <c r="C27" i="115"/>
  <c r="K113" i="108"/>
  <c r="L16" i="108"/>
  <c r="K48" i="108"/>
  <c r="K118" i="108" s="1"/>
  <c r="L51" i="108"/>
  <c r="H118" i="108"/>
  <c r="F24" i="115"/>
  <c r="E34" i="21" s="1"/>
  <c r="K41" i="108"/>
  <c r="L44" i="108"/>
  <c r="I118" i="108"/>
  <c r="I22" i="8"/>
  <c r="M6" i="8"/>
  <c r="D58" i="108"/>
  <c r="D160" i="108"/>
  <c r="I6" i="8"/>
  <c r="G24" i="8"/>
  <c r="D9" i="82"/>
  <c r="D14" i="80" s="1"/>
  <c r="D9" i="88"/>
  <c r="D14" i="86" s="1"/>
  <c r="D9" i="94"/>
  <c r="D14" i="91" s="1"/>
  <c r="D9" i="96"/>
  <c r="D14" i="95" s="1"/>
  <c r="D9" i="78"/>
  <c r="D14" i="79" s="1"/>
  <c r="D9" i="77"/>
  <c r="D14" i="76" s="1"/>
  <c r="D118" i="108"/>
  <c r="E118" i="108"/>
  <c r="E34" i="108"/>
  <c r="E116" i="108" s="1"/>
  <c r="F37" i="108"/>
  <c r="T8" i="118"/>
  <c r="U11" i="118"/>
  <c r="H23" i="108"/>
  <c r="E13" i="108"/>
  <c r="D27" i="108"/>
  <c r="I64" i="118"/>
  <c r="J67" i="118"/>
  <c r="E57" i="118"/>
  <c r="F60" i="118"/>
  <c r="E32" i="118"/>
  <c r="AC31" i="8"/>
  <c r="AE31" i="8" s="1"/>
  <c r="AG31" i="8" s="1"/>
  <c r="AI31" i="8" s="1"/>
  <c r="AK31" i="8" s="1"/>
  <c r="AM31" i="8" s="1"/>
  <c r="AO31" i="8" s="1"/>
  <c r="AQ31" i="8" s="1"/>
  <c r="AS31" i="8" s="1"/>
  <c r="AU31" i="8" s="1"/>
  <c r="AW31" i="8" s="1"/>
  <c r="AY31" i="8" s="1"/>
  <c r="BA31" i="8" s="1"/>
  <c r="AA7" i="8"/>
  <c r="Q33" i="8"/>
  <c r="O9" i="8"/>
  <c r="BS12" i="8"/>
  <c r="K26" i="8"/>
  <c r="BS11" i="8"/>
  <c r="F25" i="8"/>
  <c r="G46" i="118"/>
  <c r="D162" i="118"/>
  <c r="G36" i="118"/>
  <c r="H39" i="118"/>
  <c r="I15" i="118"/>
  <c r="J18" i="118"/>
  <c r="E50" i="118"/>
  <c r="F53" i="118"/>
  <c r="E22" i="118"/>
  <c r="F25" i="118"/>
  <c r="AC34" i="8"/>
  <c r="AA10" i="8"/>
  <c r="P24" i="8" s="1"/>
  <c r="S32" i="8"/>
  <c r="Q8" i="8"/>
  <c r="K22" i="8" s="1"/>
  <c r="F8" i="118"/>
  <c r="AI7" i="8"/>
  <c r="AE7" i="8"/>
  <c r="AG7" i="8"/>
  <c r="AK7" i="8"/>
  <c r="Y7" i="8"/>
  <c r="AO7" i="8"/>
  <c r="AC7" i="8"/>
  <c r="AS7" i="8"/>
  <c r="AW7" i="8"/>
  <c r="AU7" i="8"/>
  <c r="AM7" i="8"/>
  <c r="AQ7" i="8"/>
  <c r="AY7" i="8"/>
  <c r="G26" i="115"/>
  <c r="G24" i="115" s="1"/>
  <c r="F34" i="21" s="1"/>
  <c r="H11" i="115"/>
  <c r="E137" i="108"/>
  <c r="E138" i="108" s="1"/>
  <c r="E139" i="108" s="1"/>
  <c r="E150" i="108" s="1"/>
  <c r="F30" i="108"/>
  <c r="E27" i="108"/>
  <c r="G114" i="108"/>
  <c r="R29" i="108"/>
  <c r="C29" i="108" s="1"/>
  <c r="C36" i="108"/>
  <c r="G27" i="107"/>
  <c r="E44" i="21"/>
  <c r="E28" i="21" s="1"/>
  <c r="AP44" i="21"/>
  <c r="AP28" i="21" s="1"/>
  <c r="AN44" i="21"/>
  <c r="AN28" i="21" s="1"/>
  <c r="AL44" i="21"/>
  <c r="AL28" i="21" s="1"/>
  <c r="AJ44" i="21"/>
  <c r="AJ28" i="21" s="1"/>
  <c r="AH44" i="21"/>
  <c r="AH28" i="21" s="1"/>
  <c r="AF44" i="21"/>
  <c r="AF28" i="21" s="1"/>
  <c r="AD44" i="21"/>
  <c r="AD28" i="21" s="1"/>
  <c r="AB44" i="21"/>
  <c r="AB28" i="21" s="1"/>
  <c r="Z44" i="21"/>
  <c r="Z28" i="21" s="1"/>
  <c r="X44" i="21"/>
  <c r="X28" i="21" s="1"/>
  <c r="V44" i="21"/>
  <c r="V28" i="21" s="1"/>
  <c r="T44" i="21"/>
  <c r="T28" i="21" s="1"/>
  <c r="R44" i="21"/>
  <c r="P44" i="21"/>
  <c r="P28" i="21" s="1"/>
  <c r="N44" i="21"/>
  <c r="N28" i="21" s="1"/>
  <c r="L44" i="21"/>
  <c r="L28" i="21" s="1"/>
  <c r="J44" i="21"/>
  <c r="J28" i="21" s="1"/>
  <c r="H44" i="21"/>
  <c r="H28" i="21" s="1"/>
  <c r="F44" i="21"/>
  <c r="F28" i="21" s="1"/>
  <c r="R28" i="21"/>
  <c r="AO44" i="21"/>
  <c r="AO28" i="21" s="1"/>
  <c r="AM44" i="21"/>
  <c r="AM28" i="21" s="1"/>
  <c r="AK44" i="21"/>
  <c r="AK28" i="21" s="1"/>
  <c r="AI44" i="21"/>
  <c r="AI28" i="21" s="1"/>
  <c r="AG44" i="21"/>
  <c r="AG28" i="21" s="1"/>
  <c r="AE44" i="21"/>
  <c r="AE28" i="21" s="1"/>
  <c r="AC44" i="21"/>
  <c r="AC28" i="21" s="1"/>
  <c r="AA44" i="21"/>
  <c r="AA28" i="21" s="1"/>
  <c r="Y44" i="21"/>
  <c r="Y28" i="21" s="1"/>
  <c r="W44" i="21"/>
  <c r="W28" i="21" s="1"/>
  <c r="U44" i="21"/>
  <c r="U28" i="21" s="1"/>
  <c r="S44" i="21"/>
  <c r="S28" i="21" s="1"/>
  <c r="Q44" i="21"/>
  <c r="Q28" i="21" s="1"/>
  <c r="O44" i="21"/>
  <c r="O28" i="21" s="1"/>
  <c r="M44" i="21"/>
  <c r="M28" i="21" s="1"/>
  <c r="K44" i="21"/>
  <c r="K28" i="21" s="1"/>
  <c r="I44" i="21"/>
  <c r="I28" i="21" s="1"/>
  <c r="G44" i="21"/>
  <c r="G28" i="21" s="1"/>
  <c r="B73" i="21"/>
  <c r="E19" i="21" s="1"/>
  <c r="B19" i="21" s="1"/>
  <c r="D15" i="21"/>
  <c r="B16" i="21"/>
  <c r="C20" i="115"/>
  <c r="C19" i="115" s="1"/>
  <c r="L27" i="107"/>
  <c r="F27" i="107"/>
  <c r="J27" i="107"/>
  <c r="I19" i="115"/>
  <c r="H8" i="21"/>
  <c r="H25" i="115"/>
  <c r="H9" i="115"/>
  <c r="I10" i="115"/>
  <c r="K27" i="107"/>
  <c r="M27" i="107"/>
  <c r="N27" i="107"/>
  <c r="AA30" i="107"/>
  <c r="E27" i="107"/>
  <c r="G35" i="103"/>
  <c r="K35" i="103"/>
  <c r="E21" i="14"/>
  <c r="F13" i="11"/>
  <c r="D21" i="14"/>
  <c r="E13" i="11"/>
  <c r="C12" i="96"/>
  <c r="D13" i="11"/>
  <c r="C12" i="88"/>
  <c r="C12" i="77"/>
  <c r="C21" i="14"/>
  <c r="C12" i="94"/>
  <c r="C12" i="84"/>
  <c r="C12" i="82"/>
  <c r="C12" i="78"/>
  <c r="G6" i="108"/>
  <c r="G112" i="108" s="1"/>
  <c r="H9" i="108"/>
  <c r="C15" i="108"/>
  <c r="B49" i="21"/>
  <c r="E13" i="80"/>
  <c r="E7" i="84"/>
  <c r="AA21" i="8"/>
  <c r="E7" i="82"/>
  <c r="E13" i="74"/>
  <c r="N21" i="8"/>
  <c r="F21" i="8"/>
  <c r="C9" i="82" s="1"/>
  <c r="C14" i="80" s="1"/>
  <c r="G6" i="8"/>
  <c r="O21" i="8"/>
  <c r="D9" i="84"/>
  <c r="D14" i="83" s="1"/>
  <c r="BH7" i="8"/>
  <c r="I27" i="8"/>
  <c r="M14" i="8"/>
  <c r="E112" i="108"/>
  <c r="BB7" i="8"/>
  <c r="C7" i="53"/>
  <c r="C8" i="53"/>
  <c r="F23" i="21"/>
  <c r="B23" i="21" s="1"/>
  <c r="E7" i="77"/>
  <c r="E7" i="94"/>
  <c r="E13" i="76"/>
  <c r="C84" i="21"/>
  <c r="B84" i="21" s="1"/>
  <c r="C80" i="21"/>
  <c r="B80" i="21" s="1"/>
  <c r="C9" i="88"/>
  <c r="C9" i="84"/>
  <c r="C9" i="96"/>
  <c r="P7" i="8"/>
  <c r="R27" i="21" l="1"/>
  <c r="E13" i="86"/>
  <c r="E7" i="78"/>
  <c r="E7" i="96"/>
  <c r="E13" i="91"/>
  <c r="E7" i="88"/>
  <c r="E13" i="83"/>
  <c r="E13" i="95"/>
  <c r="P30" i="21"/>
  <c r="B30" i="21" s="1"/>
  <c r="D28" i="107"/>
  <c r="AA10" i="107"/>
  <c r="D9" i="107"/>
  <c r="S21" i="103"/>
  <c r="G7" i="103"/>
  <c r="X21" i="103"/>
  <c r="P21" i="103"/>
  <c r="I21" i="103"/>
  <c r="Q21" i="103"/>
  <c r="M21" i="103"/>
  <c r="W21" i="103"/>
  <c r="L21" i="103"/>
  <c r="Z21" i="103"/>
  <c r="R21" i="103"/>
  <c r="U21" i="103"/>
  <c r="AA21" i="103"/>
  <c r="K21" i="103"/>
  <c r="AB21" i="103"/>
  <c r="T21" i="103"/>
  <c r="Y21" i="103"/>
  <c r="J21" i="103"/>
  <c r="AC21" i="103"/>
  <c r="AE21" i="103"/>
  <c r="O21" i="103"/>
  <c r="AD21" i="103"/>
  <c r="V21" i="103"/>
  <c r="N21" i="103"/>
  <c r="H29" i="21"/>
  <c r="AP29" i="21"/>
  <c r="AP27" i="21" s="1"/>
  <c r="O29" i="21"/>
  <c r="O27" i="21" s="1"/>
  <c r="F29" i="21"/>
  <c r="F27" i="21" s="1"/>
  <c r="Y29" i="21"/>
  <c r="Y27" i="21" s="1"/>
  <c r="L29" i="21"/>
  <c r="X29" i="21"/>
  <c r="X27" i="21" s="1"/>
  <c r="D29" i="21"/>
  <c r="AI29" i="21"/>
  <c r="AI27" i="21" s="1"/>
  <c r="AL29" i="21"/>
  <c r="AL27" i="21" s="1"/>
  <c r="AB29" i="21"/>
  <c r="AB27" i="21" s="1"/>
  <c r="AJ29" i="21"/>
  <c r="AF29" i="21"/>
  <c r="Q29" i="21"/>
  <c r="Q27" i="21" s="1"/>
  <c r="E29" i="21"/>
  <c r="E27" i="21" s="1"/>
  <c r="AD29" i="21"/>
  <c r="AD27" i="21" s="1"/>
  <c r="W29" i="21"/>
  <c r="W27" i="21" s="1"/>
  <c r="M29" i="21"/>
  <c r="M27" i="21" s="1"/>
  <c r="AN29" i="21"/>
  <c r="K29" i="21"/>
  <c r="AC29" i="21"/>
  <c r="AC27" i="21" s="1"/>
  <c r="AO29" i="21"/>
  <c r="AO27" i="21" s="1"/>
  <c r="U29" i="21"/>
  <c r="U27" i="21" s="1"/>
  <c r="C29" i="21"/>
  <c r="AM29" i="21"/>
  <c r="AM27" i="21" s="1"/>
  <c r="J29" i="21"/>
  <c r="J27" i="21" s="1"/>
  <c r="AH29" i="21"/>
  <c r="AH27" i="21" s="1"/>
  <c r="N29" i="21"/>
  <c r="N27" i="21" s="1"/>
  <c r="V29" i="21"/>
  <c r="V27" i="21" s="1"/>
  <c r="I29" i="21"/>
  <c r="I27" i="21" s="1"/>
  <c r="S29" i="21"/>
  <c r="S27" i="21" s="1"/>
  <c r="AA29" i="21"/>
  <c r="Z29" i="21"/>
  <c r="Z27" i="21" s="1"/>
  <c r="AG29" i="21"/>
  <c r="AG27" i="21" s="1"/>
  <c r="AK29" i="21"/>
  <c r="AK27" i="21" s="1"/>
  <c r="G29" i="21"/>
  <c r="AE29" i="21"/>
  <c r="AE27" i="21" s="1"/>
  <c r="T29" i="21"/>
  <c r="B86" i="21"/>
  <c r="G27" i="21"/>
  <c r="K27" i="21"/>
  <c r="AA27" i="21"/>
  <c r="H27" i="21"/>
  <c r="H65" i="21" s="1"/>
  <c r="L27" i="21"/>
  <c r="T27" i="21"/>
  <c r="AF27" i="21"/>
  <c r="AJ27" i="21"/>
  <c r="AN27" i="21"/>
  <c r="AN65" i="21" s="1"/>
  <c r="F21" i="14"/>
  <c r="G13" i="11"/>
  <c r="H26" i="115"/>
  <c r="I11" i="115"/>
  <c r="X21" i="8"/>
  <c r="Y21" i="8"/>
  <c r="Q21" i="8"/>
  <c r="S21" i="8"/>
  <c r="R21" i="8"/>
  <c r="G25" i="118"/>
  <c r="F22" i="118"/>
  <c r="F116" i="118" s="1"/>
  <c r="G53" i="118"/>
  <c r="F50" i="118"/>
  <c r="F120" i="118" s="1"/>
  <c r="K18" i="118"/>
  <c r="J15" i="118"/>
  <c r="G118" i="118"/>
  <c r="G43" i="118"/>
  <c r="H46" i="118"/>
  <c r="J23" i="8"/>
  <c r="O6" i="8"/>
  <c r="P21" i="8"/>
  <c r="E29" i="118"/>
  <c r="F32" i="118"/>
  <c r="E121" i="118"/>
  <c r="J64" i="118"/>
  <c r="J122" i="118" s="1"/>
  <c r="K67" i="118"/>
  <c r="D115" i="108"/>
  <c r="I23" i="108"/>
  <c r="H20" i="108"/>
  <c r="H114" i="108" s="1"/>
  <c r="T114" i="118"/>
  <c r="D65" i="108"/>
  <c r="D161" i="108"/>
  <c r="K117" i="108"/>
  <c r="AB21" i="8"/>
  <c r="V21" i="8"/>
  <c r="Z21" i="8"/>
  <c r="W21" i="8"/>
  <c r="U21" i="8"/>
  <c r="T21" i="8"/>
  <c r="F114" i="118"/>
  <c r="U32" i="8"/>
  <c r="S8" i="8"/>
  <c r="AE34" i="8"/>
  <c r="AC10" i="8"/>
  <c r="Q24" i="8" s="1"/>
  <c r="E116" i="118"/>
  <c r="E120" i="118"/>
  <c r="I115" i="118"/>
  <c r="H36" i="118"/>
  <c r="H118" i="118" s="1"/>
  <c r="I39" i="118"/>
  <c r="D74" i="118"/>
  <c r="D163" i="118"/>
  <c r="S33" i="8"/>
  <c r="Q9" i="8"/>
  <c r="K23" i="8" s="1"/>
  <c r="BC31" i="8"/>
  <c r="BE31" i="8" s="1"/>
  <c r="BA7" i="8"/>
  <c r="G60" i="118"/>
  <c r="F57" i="118"/>
  <c r="F121" i="118" s="1"/>
  <c r="I122" i="118"/>
  <c r="E113" i="108"/>
  <c r="F113" i="108"/>
  <c r="G113" i="108"/>
  <c r="V11" i="118"/>
  <c r="U8" i="118"/>
  <c r="F34" i="108"/>
  <c r="F116" i="108" s="1"/>
  <c r="G37" i="108"/>
  <c r="I14" i="8"/>
  <c r="G27" i="8"/>
  <c r="D55" i="108"/>
  <c r="E58" i="108"/>
  <c r="F9" i="82"/>
  <c r="F14" i="80" s="1"/>
  <c r="F9" i="77"/>
  <c r="F14" i="76" s="1"/>
  <c r="F9" i="88"/>
  <c r="F14" i="86" s="1"/>
  <c r="F9" i="84"/>
  <c r="F14" i="83" s="1"/>
  <c r="F9" i="94"/>
  <c r="F14" i="91" s="1"/>
  <c r="F9" i="96"/>
  <c r="F14" i="95" s="1"/>
  <c r="F9" i="78"/>
  <c r="F14" i="79" s="1"/>
  <c r="M44" i="108"/>
  <c r="L41" i="108"/>
  <c r="L117" i="108" s="1"/>
  <c r="L48" i="108"/>
  <c r="L118" i="108" s="1"/>
  <c r="M51" i="108"/>
  <c r="L13" i="108"/>
  <c r="L113" i="108" s="1"/>
  <c r="M16" i="108"/>
  <c r="E115" i="108"/>
  <c r="G30" i="108"/>
  <c r="F27" i="108"/>
  <c r="E11" i="102"/>
  <c r="E11" i="117"/>
  <c r="I8" i="21"/>
  <c r="I11" i="107" s="1"/>
  <c r="I29" i="107" s="1"/>
  <c r="I27" i="107" s="1"/>
  <c r="J19" i="115"/>
  <c r="J10" i="115"/>
  <c r="I9" i="115"/>
  <c r="I25" i="115"/>
  <c r="H24" i="115"/>
  <c r="G34" i="21" s="1"/>
  <c r="B8" i="21"/>
  <c r="D6" i="45" s="1"/>
  <c r="H11" i="107"/>
  <c r="C18" i="103"/>
  <c r="D18" i="103"/>
  <c r="H6" i="108"/>
  <c r="I9" i="108"/>
  <c r="B50" i="21"/>
  <c r="C9" i="77"/>
  <c r="C14" i="76" s="1"/>
  <c r="C9" i="94"/>
  <c r="C14" i="91" s="1"/>
  <c r="C9" i="78"/>
  <c r="C14" i="79" s="1"/>
  <c r="F27" i="8"/>
  <c r="BS6" i="8"/>
  <c r="G14" i="8"/>
  <c r="F6" i="83"/>
  <c r="F5" i="83" s="1"/>
  <c r="F5" i="77"/>
  <c r="F6" i="95"/>
  <c r="F5" i="95" s="1"/>
  <c r="F5" i="88"/>
  <c r="F6" i="80"/>
  <c r="F5" i="80" s="1"/>
  <c r="F6" i="79"/>
  <c r="F5" i="79" s="1"/>
  <c r="F5" i="94"/>
  <c r="F6" i="76"/>
  <c r="F5" i="76" s="1"/>
  <c r="F6" i="86"/>
  <c r="F5" i="86" s="1"/>
  <c r="F5" i="84"/>
  <c r="F6" i="74"/>
  <c r="F5" i="74" s="1"/>
  <c r="F5" i="82"/>
  <c r="F5" i="96"/>
  <c r="F6" i="91"/>
  <c r="F5" i="91" s="1"/>
  <c r="F5" i="78"/>
  <c r="E10" i="11"/>
  <c r="M13" i="8"/>
  <c r="I28" i="8" s="1"/>
  <c r="M16" i="8"/>
  <c r="M17" i="8"/>
  <c r="M15" i="8"/>
  <c r="C14" i="95"/>
  <c r="C14" i="83"/>
  <c r="E25" i="21"/>
  <c r="F25" i="21" s="1"/>
  <c r="Q7" i="8"/>
  <c r="BR7" i="8"/>
  <c r="C14" i="86"/>
  <c r="F21" i="21"/>
  <c r="F15" i="21" s="1"/>
  <c r="E21" i="21"/>
  <c r="B69" i="21"/>
  <c r="AE65" i="21" l="1"/>
  <c r="AI65" i="21"/>
  <c r="X65" i="21"/>
  <c r="AF65" i="21"/>
  <c r="AA65" i="21"/>
  <c r="AA28" i="107"/>
  <c r="D27" i="107"/>
  <c r="AK65" i="21"/>
  <c r="AM65" i="21"/>
  <c r="W65" i="21"/>
  <c r="E65" i="21"/>
  <c r="O65" i="21"/>
  <c r="F65" i="21"/>
  <c r="AP65" i="21"/>
  <c r="Z65" i="21"/>
  <c r="AH65" i="21"/>
  <c r="AC65" i="21"/>
  <c r="AB65" i="21"/>
  <c r="Y65" i="21"/>
  <c r="Q65" i="21"/>
  <c r="S65" i="21"/>
  <c r="K65" i="21"/>
  <c r="V65" i="21"/>
  <c r="AJ65" i="21"/>
  <c r="T65" i="21"/>
  <c r="L65" i="21"/>
  <c r="G65" i="21"/>
  <c r="J65" i="21"/>
  <c r="P29" i="21"/>
  <c r="M65" i="21"/>
  <c r="B108" i="21"/>
  <c r="B83" i="21"/>
  <c r="C16" i="45"/>
  <c r="E16" i="45" s="1"/>
  <c r="B113" i="21"/>
  <c r="C23" i="45" s="1"/>
  <c r="E23" i="45" s="1"/>
  <c r="R65" i="21"/>
  <c r="U65" i="21"/>
  <c r="U36" i="21" s="1"/>
  <c r="AL65" i="21"/>
  <c r="AD65" i="21"/>
  <c r="AD36" i="21" s="1"/>
  <c r="N65" i="21"/>
  <c r="AO65" i="21"/>
  <c r="AO36" i="21" s="1"/>
  <c r="AG65" i="21"/>
  <c r="I65" i="21"/>
  <c r="I36" i="21" s="1"/>
  <c r="F58" i="108"/>
  <c r="E55" i="108"/>
  <c r="D6" i="91"/>
  <c r="D5" i="91" s="1"/>
  <c r="D5" i="77"/>
  <c r="D5" i="96"/>
  <c r="D5" i="94"/>
  <c r="D5" i="84"/>
  <c r="D5" i="78"/>
  <c r="D6" i="83"/>
  <c r="D5" i="83" s="1"/>
  <c r="D6" i="95"/>
  <c r="D5" i="95" s="1"/>
  <c r="D6" i="79"/>
  <c r="D5" i="79" s="1"/>
  <c r="D6" i="80"/>
  <c r="D5" i="80" s="1"/>
  <c r="D5" i="88"/>
  <c r="D6" i="74"/>
  <c r="D5" i="74" s="1"/>
  <c r="D6" i="76"/>
  <c r="D5" i="76" s="1"/>
  <c r="D6" i="86"/>
  <c r="D5" i="86" s="1"/>
  <c r="D5" i="82"/>
  <c r="W11" i="118"/>
  <c r="V8" i="118"/>
  <c r="G57" i="118"/>
  <c r="G121" i="118" s="1"/>
  <c r="H60" i="118"/>
  <c r="BG31" i="8"/>
  <c r="BE7" i="8"/>
  <c r="S9" i="8"/>
  <c r="L23" i="8" s="1"/>
  <c r="U33" i="8"/>
  <c r="D71" i="118"/>
  <c r="E74" i="118"/>
  <c r="AG34" i="8"/>
  <c r="AE10" i="8"/>
  <c r="W32" i="8"/>
  <c r="U8" i="8"/>
  <c r="E65" i="108"/>
  <c r="D62" i="108"/>
  <c r="K64" i="118"/>
  <c r="L67" i="118"/>
  <c r="F29" i="118"/>
  <c r="G32" i="118"/>
  <c r="J27" i="8"/>
  <c r="O14" i="8"/>
  <c r="G9" i="84"/>
  <c r="G14" i="83" s="1"/>
  <c r="G9" i="96"/>
  <c r="G14" i="95" s="1"/>
  <c r="G9" i="82"/>
  <c r="G14" i="80" s="1"/>
  <c r="G9" i="88"/>
  <c r="G14" i="86" s="1"/>
  <c r="G9" i="94"/>
  <c r="G14" i="91" s="1"/>
  <c r="G9" i="78"/>
  <c r="G14" i="79" s="1"/>
  <c r="G9" i="77"/>
  <c r="G14" i="76" s="1"/>
  <c r="G119" i="118"/>
  <c r="K15" i="118"/>
  <c r="L18" i="118"/>
  <c r="G50" i="118"/>
  <c r="H53" i="118"/>
  <c r="G22" i="118"/>
  <c r="H25" i="118"/>
  <c r="M13" i="108"/>
  <c r="M113" i="108" s="1"/>
  <c r="N16" i="108"/>
  <c r="N51" i="108"/>
  <c r="M48" i="108"/>
  <c r="M118" i="108" s="1"/>
  <c r="M41" i="108"/>
  <c r="M117" i="108" s="1"/>
  <c r="N44" i="108"/>
  <c r="D119" i="108"/>
  <c r="I17" i="8"/>
  <c r="I16" i="8"/>
  <c r="I15" i="8"/>
  <c r="I13" i="8"/>
  <c r="G28" i="8" s="1"/>
  <c r="H37" i="108"/>
  <c r="G34" i="108"/>
  <c r="U114" i="118"/>
  <c r="AC21" i="8"/>
  <c r="D81" i="118"/>
  <c r="D164" i="118"/>
  <c r="J39" i="118"/>
  <c r="I36" i="118"/>
  <c r="I118" i="118" s="1"/>
  <c r="L22" i="8"/>
  <c r="S6" i="8"/>
  <c r="D162" i="108"/>
  <c r="D72" i="108"/>
  <c r="J23" i="108"/>
  <c r="I20" i="108"/>
  <c r="I114" i="108" s="1"/>
  <c r="D10" i="11"/>
  <c r="E117" i="118"/>
  <c r="H43" i="118"/>
  <c r="H119" i="118" s="1"/>
  <c r="I46" i="118"/>
  <c r="J115" i="118"/>
  <c r="I26" i="115"/>
  <c r="I24" i="115" s="1"/>
  <c r="H34" i="21" s="1"/>
  <c r="J11" i="115"/>
  <c r="BC7" i="8"/>
  <c r="G27" i="108"/>
  <c r="H30" i="108"/>
  <c r="F115" i="108"/>
  <c r="G11" i="117"/>
  <c r="F11" i="117" s="1"/>
  <c r="G11" i="102"/>
  <c r="F11" i="102" s="1"/>
  <c r="H29" i="107"/>
  <c r="H9" i="107"/>
  <c r="AA9" i="107" s="1"/>
  <c r="AA11" i="107"/>
  <c r="G21" i="14"/>
  <c r="H13" i="11"/>
  <c r="J25" i="115"/>
  <c r="J9" i="115"/>
  <c r="K10" i="115"/>
  <c r="I6" i="108"/>
  <c r="J9" i="108"/>
  <c r="H112" i="108"/>
  <c r="B51" i="21"/>
  <c r="BS14" i="8"/>
  <c r="G16" i="8"/>
  <c r="BS16" i="8" s="1"/>
  <c r="G15" i="8"/>
  <c r="BS15" i="8" s="1"/>
  <c r="G13" i="8"/>
  <c r="G17" i="8"/>
  <c r="BS17" i="8" s="1"/>
  <c r="C6" i="80"/>
  <c r="C6" i="76"/>
  <c r="C6" i="95"/>
  <c r="C5" i="88"/>
  <c r="S5" i="88" s="1"/>
  <c r="C6" i="83"/>
  <c r="C5" i="78"/>
  <c r="S5" i="78" s="1"/>
  <c r="C6" i="74"/>
  <c r="C5" i="77"/>
  <c r="S5" i="77" s="1"/>
  <c r="C5" i="96"/>
  <c r="S5" i="96" s="1"/>
  <c r="C5" i="84"/>
  <c r="S5" i="84" s="1"/>
  <c r="C5" i="94"/>
  <c r="S5" i="94" s="1"/>
  <c r="C6" i="91"/>
  <c r="C5" i="82"/>
  <c r="S5" i="82" s="1"/>
  <c r="C6" i="79"/>
  <c r="C6" i="86"/>
  <c r="T6" i="91"/>
  <c r="T6" i="80"/>
  <c r="T6" i="95"/>
  <c r="T5" i="78"/>
  <c r="T5" i="84"/>
  <c r="B4" i="103"/>
  <c r="B12" i="103" s="1"/>
  <c r="BV12" i="8"/>
  <c r="T5" i="77"/>
  <c r="T6" i="76"/>
  <c r="T6" i="83"/>
  <c r="T6" i="86"/>
  <c r="T5" i="94"/>
  <c r="T6" i="74"/>
  <c r="T6" i="79"/>
  <c r="T5" i="88"/>
  <c r="T5" i="82"/>
  <c r="T5" i="96"/>
  <c r="BV11" i="8"/>
  <c r="F7" i="77"/>
  <c r="F13" i="83"/>
  <c r="F7" i="82"/>
  <c r="F13" i="79"/>
  <c r="F7" i="94"/>
  <c r="F13" i="80"/>
  <c r="F7" i="88"/>
  <c r="F13" i="86"/>
  <c r="F13" i="76"/>
  <c r="F13" i="74"/>
  <c r="F7" i="78"/>
  <c r="F7" i="96"/>
  <c r="F13" i="95"/>
  <c r="F7" i="84"/>
  <c r="F13" i="91"/>
  <c r="C13" i="13"/>
  <c r="D22" i="14"/>
  <c r="E15" i="21"/>
  <c r="B21" i="21"/>
  <c r="C14" i="45"/>
  <c r="K21" i="8"/>
  <c r="Q6" i="8"/>
  <c r="B25" i="21"/>
  <c r="AG36" i="21" l="1"/>
  <c r="N36" i="21"/>
  <c r="AL36" i="21"/>
  <c r="R36" i="21"/>
  <c r="C18" i="45"/>
  <c r="E18" i="45" s="1"/>
  <c r="AD31" i="21"/>
  <c r="AI31" i="21"/>
  <c r="L31" i="21"/>
  <c r="Q31" i="21"/>
  <c r="N31" i="21"/>
  <c r="AL31" i="21"/>
  <c r="Y31" i="21"/>
  <c r="F31" i="21"/>
  <c r="V31" i="21"/>
  <c r="H31" i="21"/>
  <c r="S31" i="21"/>
  <c r="AB31" i="21"/>
  <c r="O31" i="21"/>
  <c r="R31" i="21"/>
  <c r="AA31" i="21"/>
  <c r="J31" i="21"/>
  <c r="E31" i="21"/>
  <c r="T31" i="21"/>
  <c r="AC31" i="21"/>
  <c r="AM31" i="21"/>
  <c r="AF31" i="21"/>
  <c r="AO31" i="21"/>
  <c r="AE31" i="21"/>
  <c r="W31" i="21"/>
  <c r="I31" i="21"/>
  <c r="AG31" i="21"/>
  <c r="Z31" i="21"/>
  <c r="AP31" i="21"/>
  <c r="AK31" i="21"/>
  <c r="K31" i="21"/>
  <c r="M31" i="21"/>
  <c r="AN31" i="21"/>
  <c r="X31" i="21"/>
  <c r="U31" i="21"/>
  <c r="AH31" i="21"/>
  <c r="G31" i="21"/>
  <c r="AJ31" i="21"/>
  <c r="H36" i="21"/>
  <c r="M36" i="21"/>
  <c r="J36" i="21"/>
  <c r="L36" i="21"/>
  <c r="AJ36" i="21"/>
  <c r="V36" i="21"/>
  <c r="S36" i="21"/>
  <c r="X36" i="21"/>
  <c r="F36" i="21"/>
  <c r="Y36" i="21"/>
  <c r="E36" i="21"/>
  <c r="AC36" i="21"/>
  <c r="AH36" i="21"/>
  <c r="AK36" i="21"/>
  <c r="E24" i="21"/>
  <c r="E22" i="21" s="1"/>
  <c r="E33" i="21" s="1"/>
  <c r="B81" i="21"/>
  <c r="AA36" i="21"/>
  <c r="AN36" i="21"/>
  <c r="P27" i="21"/>
  <c r="P65" i="21" s="1"/>
  <c r="B29" i="21"/>
  <c r="G36" i="21"/>
  <c r="T36" i="21"/>
  <c r="K36" i="21"/>
  <c r="AI36" i="21"/>
  <c r="AF36" i="21"/>
  <c r="AP36" i="21"/>
  <c r="Q36" i="21"/>
  <c r="O36" i="21"/>
  <c r="AB36" i="21"/>
  <c r="W36" i="21"/>
  <c r="AM36" i="21"/>
  <c r="Z36" i="21"/>
  <c r="AE36" i="21"/>
  <c r="I13" i="11"/>
  <c r="H21" i="14"/>
  <c r="J26" i="115"/>
  <c r="K11" i="115"/>
  <c r="D79" i="108"/>
  <c r="D163" i="108"/>
  <c r="S14" i="8"/>
  <c r="L27" i="8"/>
  <c r="K39" i="118"/>
  <c r="J36" i="118"/>
  <c r="J118" i="118" s="1"/>
  <c r="E81" i="118"/>
  <c r="D78" i="118"/>
  <c r="G116" i="108"/>
  <c r="D13" i="83"/>
  <c r="D7" i="77"/>
  <c r="D7" i="82"/>
  <c r="D13" i="95"/>
  <c r="D7" i="84"/>
  <c r="D7" i="78"/>
  <c r="D13" i="74"/>
  <c r="D13" i="76"/>
  <c r="D13" i="86"/>
  <c r="D7" i="94"/>
  <c r="D13" i="79"/>
  <c r="D13" i="80"/>
  <c r="D7" i="96"/>
  <c r="D13" i="91"/>
  <c r="D7" i="88"/>
  <c r="N41" i="108"/>
  <c r="N117" i="108" s="1"/>
  <c r="O44" i="108"/>
  <c r="O51" i="108"/>
  <c r="N48" i="108"/>
  <c r="N118" i="108" s="1"/>
  <c r="I25" i="118"/>
  <c r="H22" i="118"/>
  <c r="H50" i="118"/>
  <c r="H120" i="118" s="1"/>
  <c r="I53" i="118"/>
  <c r="M18" i="118"/>
  <c r="L15" i="118"/>
  <c r="O17" i="8"/>
  <c r="O16" i="8"/>
  <c r="O15" i="8"/>
  <c r="O13" i="8"/>
  <c r="J28" i="8" s="1"/>
  <c r="G29" i="118"/>
  <c r="H32" i="118"/>
  <c r="K122" i="118"/>
  <c r="E62" i="108"/>
  <c r="E120" i="108" s="1"/>
  <c r="F65" i="108"/>
  <c r="M22" i="8"/>
  <c r="R24" i="8"/>
  <c r="F74" i="118"/>
  <c r="E71" i="118"/>
  <c r="W33" i="8"/>
  <c r="U9" i="8"/>
  <c r="U6" i="8" s="1"/>
  <c r="AE21" i="8"/>
  <c r="H57" i="118"/>
  <c r="H121" i="118" s="1"/>
  <c r="I60" i="118"/>
  <c r="V114" i="118"/>
  <c r="F55" i="108"/>
  <c r="G58" i="108"/>
  <c r="AD21" i="8"/>
  <c r="J46" i="118"/>
  <c r="I43" i="118"/>
  <c r="C22" i="14"/>
  <c r="B13" i="13"/>
  <c r="J20" i="108"/>
  <c r="J114" i="108" s="1"/>
  <c r="K23" i="108"/>
  <c r="E72" i="108"/>
  <c r="D69" i="108"/>
  <c r="I9" i="96"/>
  <c r="I14" i="95" s="1"/>
  <c r="I9" i="88"/>
  <c r="I14" i="86" s="1"/>
  <c r="I9" i="82"/>
  <c r="I14" i="80" s="1"/>
  <c r="I9" i="78"/>
  <c r="I14" i="79" s="1"/>
  <c r="I9" i="77"/>
  <c r="I14" i="76" s="1"/>
  <c r="I9" i="94"/>
  <c r="I14" i="91" s="1"/>
  <c r="I9" i="84"/>
  <c r="I14" i="83" s="1"/>
  <c r="D165" i="118"/>
  <c r="D88" i="118"/>
  <c r="I37" i="108"/>
  <c r="H34" i="108"/>
  <c r="H116" i="108" s="1"/>
  <c r="N13" i="108"/>
  <c r="O16" i="108"/>
  <c r="G116" i="118"/>
  <c r="G120" i="118"/>
  <c r="K115" i="118"/>
  <c r="G5" i="96"/>
  <c r="G6" i="95"/>
  <c r="G5" i="95" s="1"/>
  <c r="G5" i="88"/>
  <c r="G6" i="74"/>
  <c r="G5" i="74" s="1"/>
  <c r="G5" i="82"/>
  <c r="G6" i="91"/>
  <c r="G5" i="91" s="1"/>
  <c r="G6" i="83"/>
  <c r="G5" i="83" s="1"/>
  <c r="G6" i="86"/>
  <c r="G5" i="86" s="1"/>
  <c r="G5" i="77"/>
  <c r="G6" i="79"/>
  <c r="G5" i="79" s="1"/>
  <c r="G5" i="78"/>
  <c r="G6" i="80"/>
  <c r="G5" i="80" s="1"/>
  <c r="G5" i="94"/>
  <c r="G5" i="84"/>
  <c r="G6" i="76"/>
  <c r="G5" i="76" s="1"/>
  <c r="F117" i="118"/>
  <c r="L64" i="118"/>
  <c r="L122" i="118" s="1"/>
  <c r="M67" i="118"/>
  <c r="D120" i="108"/>
  <c r="Y32" i="8"/>
  <c r="W8" i="8"/>
  <c r="AG10" i="8"/>
  <c r="S24" i="8" s="1"/>
  <c r="AI34" i="8"/>
  <c r="D123" i="118"/>
  <c r="BI31" i="8"/>
  <c r="BG7" i="8"/>
  <c r="W8" i="118"/>
  <c r="X11" i="118"/>
  <c r="E119" i="108"/>
  <c r="F10" i="11"/>
  <c r="G115" i="108"/>
  <c r="I30" i="108"/>
  <c r="H27" i="108"/>
  <c r="L10" i="115"/>
  <c r="K25" i="115"/>
  <c r="K9" i="115"/>
  <c r="J24" i="115"/>
  <c r="I34" i="21" s="1"/>
  <c r="H27" i="107"/>
  <c r="AA27" i="107" s="1"/>
  <c r="AA29" i="107"/>
  <c r="K9" i="108"/>
  <c r="J6" i="108"/>
  <c r="I112" i="108"/>
  <c r="B52" i="21"/>
  <c r="C5" i="79"/>
  <c r="S5" i="79" s="1"/>
  <c r="S6" i="79"/>
  <c r="C5" i="91"/>
  <c r="S5" i="91" s="1"/>
  <c r="S6" i="91"/>
  <c r="S6" i="76"/>
  <c r="C5" i="76"/>
  <c r="S5" i="76" s="1"/>
  <c r="C5" i="86"/>
  <c r="S5" i="86" s="1"/>
  <c r="S6" i="86"/>
  <c r="C5" i="74"/>
  <c r="S5" i="74" s="1"/>
  <c r="S6" i="74"/>
  <c r="S6" i="83"/>
  <c r="C5" i="83"/>
  <c r="S5" i="83" s="1"/>
  <c r="S6" i="95"/>
  <c r="C5" i="95"/>
  <c r="S5" i="95" s="1"/>
  <c r="C5" i="80"/>
  <c r="S5" i="80" s="1"/>
  <c r="S6" i="80"/>
  <c r="BS13" i="8"/>
  <c r="F28" i="8"/>
  <c r="H9" i="77"/>
  <c r="H9" i="96"/>
  <c r="H9" i="84"/>
  <c r="H9" i="82"/>
  <c r="H9" i="94"/>
  <c r="H9" i="88"/>
  <c r="H9" i="78"/>
  <c r="E35" i="21"/>
  <c r="E37" i="21" s="1"/>
  <c r="B15" i="21"/>
  <c r="K27" i="8"/>
  <c r="Q14" i="8"/>
  <c r="E14" i="45"/>
  <c r="F24" i="21" l="1"/>
  <c r="AJ35" i="21"/>
  <c r="AJ37" i="21" s="1"/>
  <c r="AJ33" i="21"/>
  <c r="AK12" i="11" s="1"/>
  <c r="AH33" i="21"/>
  <c r="AI12" i="11" s="1"/>
  <c r="AH35" i="21"/>
  <c r="AH37" i="21" s="1"/>
  <c r="X33" i="21"/>
  <c r="Y12" i="11" s="1"/>
  <c r="X35" i="21"/>
  <c r="X37" i="21" s="1"/>
  <c r="M33" i="21"/>
  <c r="M35" i="21"/>
  <c r="M37" i="21" s="1"/>
  <c r="AK35" i="21"/>
  <c r="AK37" i="21" s="1"/>
  <c r="AK33" i="21"/>
  <c r="AL12" i="11" s="1"/>
  <c r="Z35" i="21"/>
  <c r="Z37" i="21" s="1"/>
  <c r="Z33" i="21"/>
  <c r="AA12" i="11" s="1"/>
  <c r="I33" i="21"/>
  <c r="I35" i="21"/>
  <c r="I37" i="21" s="1"/>
  <c r="AE35" i="21"/>
  <c r="AE37" i="21" s="1"/>
  <c r="AE33" i="21"/>
  <c r="AF12" i="11" s="1"/>
  <c r="AF33" i="21"/>
  <c r="AG12" i="11" s="1"/>
  <c r="AF35" i="21"/>
  <c r="AF37" i="21" s="1"/>
  <c r="AC35" i="21"/>
  <c r="AC37" i="21" s="1"/>
  <c r="AC33" i="21"/>
  <c r="AD12" i="11" s="1"/>
  <c r="AA33" i="21"/>
  <c r="AB12" i="11" s="1"/>
  <c r="AA35" i="21"/>
  <c r="AA37" i="21" s="1"/>
  <c r="O33" i="21"/>
  <c r="O35" i="21"/>
  <c r="O37" i="21" s="1"/>
  <c r="S35" i="21"/>
  <c r="S37" i="21" s="1"/>
  <c r="S33" i="21"/>
  <c r="T12" i="11" s="1"/>
  <c r="V35" i="21"/>
  <c r="V33" i="21"/>
  <c r="W12" i="11" s="1"/>
  <c r="V37" i="21"/>
  <c r="Y33" i="21"/>
  <c r="Z12" i="11" s="1"/>
  <c r="Y35" i="21"/>
  <c r="Y37" i="21" s="1"/>
  <c r="N33" i="21"/>
  <c r="N35" i="21"/>
  <c r="N37" i="21" s="1"/>
  <c r="L33" i="21"/>
  <c r="L35" i="21"/>
  <c r="L37" i="21" s="1"/>
  <c r="AD35" i="21"/>
  <c r="AD37" i="21" s="1"/>
  <c r="AD33" i="21"/>
  <c r="AE12" i="11" s="1"/>
  <c r="E10" i="102"/>
  <c r="G10" i="102" s="1"/>
  <c r="F10" i="102" s="1"/>
  <c r="E10" i="117"/>
  <c r="G10" i="117" s="1"/>
  <c r="F10" i="117" s="1"/>
  <c r="C15" i="45"/>
  <c r="E15" i="45" s="1"/>
  <c r="B110" i="21"/>
  <c r="C20" i="45" s="1"/>
  <c r="E20" i="45" s="1"/>
  <c r="B112" i="21"/>
  <c r="C22" i="45" s="1"/>
  <c r="E22" i="45" s="1"/>
  <c r="G33" i="21"/>
  <c r="G35" i="21"/>
  <c r="G37" i="21" s="1"/>
  <c r="U33" i="21"/>
  <c r="V12" i="11" s="1"/>
  <c r="U35" i="21"/>
  <c r="U37" i="21" s="1"/>
  <c r="AN33" i="21"/>
  <c r="AO12" i="11" s="1"/>
  <c r="AN35" i="21"/>
  <c r="AN37" i="21" s="1"/>
  <c r="K33" i="21"/>
  <c r="K35" i="21"/>
  <c r="K37" i="21" s="1"/>
  <c r="AP35" i="21"/>
  <c r="AP37" i="21" s="1"/>
  <c r="AP33" i="21"/>
  <c r="AQ12" i="11" s="1"/>
  <c r="AG35" i="21"/>
  <c r="AG37" i="21" s="1"/>
  <c r="AG33" i="21"/>
  <c r="AH12" i="11" s="1"/>
  <c r="W35" i="21"/>
  <c r="W37" i="21" s="1"/>
  <c r="W33" i="21"/>
  <c r="X12" i="11" s="1"/>
  <c r="AO33" i="21"/>
  <c r="AP12" i="11" s="1"/>
  <c r="AO35" i="21"/>
  <c r="AO37" i="21" s="1"/>
  <c r="AM35" i="21"/>
  <c r="AM37" i="21" s="1"/>
  <c r="AM33" i="21"/>
  <c r="AN12" i="11" s="1"/>
  <c r="T35" i="21"/>
  <c r="T37" i="21" s="1"/>
  <c r="T33" i="21"/>
  <c r="U12" i="11" s="1"/>
  <c r="J35" i="21"/>
  <c r="J37" i="21" s="1"/>
  <c r="J33" i="21"/>
  <c r="R33" i="21"/>
  <c r="R35" i="21"/>
  <c r="R37" i="21" s="1"/>
  <c r="AB35" i="21"/>
  <c r="AB37" i="21" s="1"/>
  <c r="AB33" i="21"/>
  <c r="AC12" i="11" s="1"/>
  <c r="H35" i="21"/>
  <c r="H37" i="21" s="1"/>
  <c r="H33" i="21"/>
  <c r="AL35" i="21"/>
  <c r="AL33" i="21"/>
  <c r="AM12" i="11" s="1"/>
  <c r="Q35" i="21"/>
  <c r="Q37" i="21" s="1"/>
  <c r="Q33" i="21"/>
  <c r="AI33" i="21"/>
  <c r="AJ12" i="11" s="1"/>
  <c r="AI35" i="21"/>
  <c r="AI37" i="21" s="1"/>
  <c r="AL37" i="21"/>
  <c r="M27" i="8"/>
  <c r="U14" i="8"/>
  <c r="X8" i="118"/>
  <c r="Y11" i="118"/>
  <c r="AF21" i="8"/>
  <c r="AK34" i="8"/>
  <c r="AI10" i="8"/>
  <c r="T24" i="8" s="1"/>
  <c r="N22" i="8"/>
  <c r="O13" i="108"/>
  <c r="O113" i="108" s="1"/>
  <c r="P16" i="108"/>
  <c r="J37" i="108"/>
  <c r="I34" i="108"/>
  <c r="I116" i="108" s="1"/>
  <c r="E88" i="118"/>
  <c r="D85" i="118"/>
  <c r="F72" i="108"/>
  <c r="E69" i="108"/>
  <c r="J43" i="118"/>
  <c r="J119" i="118" s="1"/>
  <c r="K46" i="118"/>
  <c r="F119" i="108"/>
  <c r="Y33" i="8"/>
  <c r="W9" i="8"/>
  <c r="N23" i="8" s="1"/>
  <c r="G74" i="118"/>
  <c r="F71" i="118"/>
  <c r="F62" i="108"/>
  <c r="G65" i="108"/>
  <c r="G117" i="118"/>
  <c r="L115" i="118"/>
  <c r="J53" i="118"/>
  <c r="I50" i="118"/>
  <c r="H116" i="118"/>
  <c r="O48" i="108"/>
  <c r="O118" i="108" s="1"/>
  <c r="P51" i="108"/>
  <c r="O41" i="108"/>
  <c r="P44" i="108"/>
  <c r="E78" i="118"/>
  <c r="E124" i="118" s="1"/>
  <c r="F81" i="118"/>
  <c r="K36" i="118"/>
  <c r="K118" i="118" s="1"/>
  <c r="L39" i="118"/>
  <c r="S16" i="8"/>
  <c r="S17" i="8"/>
  <c r="S15" i="8"/>
  <c r="S13" i="8"/>
  <c r="L28" i="8" s="1"/>
  <c r="D76" i="108"/>
  <c r="E79" i="108"/>
  <c r="K24" i="115"/>
  <c r="J34" i="21" s="1"/>
  <c r="K13" i="11" s="1"/>
  <c r="W114" i="118"/>
  <c r="BK31" i="8"/>
  <c r="BI7" i="8"/>
  <c r="AA32" i="8"/>
  <c r="Y8" i="8"/>
  <c r="N67" i="118"/>
  <c r="M64" i="118"/>
  <c r="M122" i="118" s="1"/>
  <c r="N113" i="108"/>
  <c r="D166" i="118"/>
  <c r="D95" i="118"/>
  <c r="D121" i="108"/>
  <c r="K20" i="108"/>
  <c r="K114" i="108" s="1"/>
  <c r="L23" i="108"/>
  <c r="I119" i="118"/>
  <c r="H58" i="108"/>
  <c r="G55" i="108"/>
  <c r="J60" i="118"/>
  <c r="I57" i="118"/>
  <c r="I121" i="118" s="1"/>
  <c r="M23" i="8"/>
  <c r="J9" i="94" s="1"/>
  <c r="E123" i="118"/>
  <c r="J9" i="77"/>
  <c r="J14" i="76" s="1"/>
  <c r="J9" i="84"/>
  <c r="J14" i="83" s="1"/>
  <c r="J9" i="96"/>
  <c r="J14" i="95" s="1"/>
  <c r="I32" i="118"/>
  <c r="H29" i="118"/>
  <c r="H117" i="118" s="1"/>
  <c r="G13" i="76"/>
  <c r="G7" i="94"/>
  <c r="G13" i="79"/>
  <c r="G7" i="84"/>
  <c r="G13" i="74"/>
  <c r="G7" i="82"/>
  <c r="G7" i="77"/>
  <c r="G13" i="91"/>
  <c r="G13" i="83"/>
  <c r="G7" i="96"/>
  <c r="G7" i="78"/>
  <c r="G13" i="86"/>
  <c r="G7" i="88"/>
  <c r="G13" i="95"/>
  <c r="G13" i="80"/>
  <c r="M15" i="118"/>
  <c r="N18" i="118"/>
  <c r="J25" i="118"/>
  <c r="I22" i="118"/>
  <c r="D124" i="118"/>
  <c r="I5" i="88"/>
  <c r="I6" i="76"/>
  <c r="I5" i="76" s="1"/>
  <c r="I5" i="82"/>
  <c r="I6" i="91"/>
  <c r="I5" i="91" s="1"/>
  <c r="I5" i="94"/>
  <c r="I6" i="86"/>
  <c r="I5" i="86" s="1"/>
  <c r="I6" i="83"/>
  <c r="I5" i="83" s="1"/>
  <c r="I5" i="78"/>
  <c r="I5" i="77"/>
  <c r="I5" i="96"/>
  <c r="I6" i="79"/>
  <c r="I5" i="79" s="1"/>
  <c r="I5" i="84"/>
  <c r="I6" i="80"/>
  <c r="I5" i="80" s="1"/>
  <c r="I6" i="95"/>
  <c r="I5" i="95" s="1"/>
  <c r="I6" i="74"/>
  <c r="I5" i="74" s="1"/>
  <c r="D86" i="108"/>
  <c r="D164" i="108"/>
  <c r="K26" i="115"/>
  <c r="L11" i="115"/>
  <c r="L9" i="115" s="1"/>
  <c r="H115" i="108"/>
  <c r="D13" i="13"/>
  <c r="E22" i="14"/>
  <c r="J30" i="108"/>
  <c r="I27" i="108"/>
  <c r="G10" i="11"/>
  <c r="L25" i="115"/>
  <c r="M10" i="115"/>
  <c r="I21" i="14"/>
  <c r="J13" i="11"/>
  <c r="L9" i="108"/>
  <c r="K6" i="108"/>
  <c r="J112" i="108"/>
  <c r="B53" i="21"/>
  <c r="C13" i="91"/>
  <c r="S13" i="91" s="1"/>
  <c r="C7" i="78"/>
  <c r="S7" i="78" s="1"/>
  <c r="C13" i="74"/>
  <c r="S13" i="74" s="1"/>
  <c r="C7" i="84"/>
  <c r="S7" i="84" s="1"/>
  <c r="C7" i="88"/>
  <c r="S7" i="88" s="1"/>
  <c r="C13" i="86"/>
  <c r="S13" i="86" s="1"/>
  <c r="C13" i="83"/>
  <c r="S13" i="83" s="1"/>
  <c r="C13" i="95"/>
  <c r="S13" i="95" s="1"/>
  <c r="C7" i="82"/>
  <c r="S7" i="82" s="1"/>
  <c r="C7" i="77"/>
  <c r="S7" i="77" s="1"/>
  <c r="C7" i="96"/>
  <c r="S7" i="96" s="1"/>
  <c r="C7" i="94"/>
  <c r="S7" i="94" s="1"/>
  <c r="C13" i="80"/>
  <c r="S13" i="80" s="1"/>
  <c r="C13" i="76"/>
  <c r="S13" i="76" s="1"/>
  <c r="C13" i="79"/>
  <c r="S13" i="79" s="1"/>
  <c r="T7" i="84"/>
  <c r="T13" i="74"/>
  <c r="T7" i="78"/>
  <c r="T7" i="88"/>
  <c r="T7" i="94"/>
  <c r="T13" i="79"/>
  <c r="T13" i="83"/>
  <c r="B8" i="103"/>
  <c r="T7" i="77"/>
  <c r="T13" i="80"/>
  <c r="T13" i="91"/>
  <c r="T7" i="82"/>
  <c r="T13" i="76"/>
  <c r="T13" i="86"/>
  <c r="T13" i="95"/>
  <c r="T7" i="96"/>
  <c r="H5" i="84"/>
  <c r="H6" i="91"/>
  <c r="H5" i="91" s="1"/>
  <c r="H5" i="78"/>
  <c r="H6" i="76"/>
  <c r="H5" i="76" s="1"/>
  <c r="H5" i="82"/>
  <c r="H6" i="80"/>
  <c r="H5" i="80" s="1"/>
  <c r="H6" i="79"/>
  <c r="H5" i="79" s="1"/>
  <c r="H6" i="74"/>
  <c r="H5" i="74" s="1"/>
  <c r="H6" i="95"/>
  <c r="H5" i="95" s="1"/>
  <c r="H6" i="86"/>
  <c r="H5" i="86" s="1"/>
  <c r="H5" i="88"/>
  <c r="H6" i="83"/>
  <c r="H5" i="83" s="1"/>
  <c r="H5" i="96"/>
  <c r="H5" i="77"/>
  <c r="H5" i="94"/>
  <c r="E11" i="94"/>
  <c r="E11" i="88"/>
  <c r="E11" i="84"/>
  <c r="E11" i="78"/>
  <c r="E11" i="82"/>
  <c r="E11" i="96"/>
  <c r="F12" i="11"/>
  <c r="E11" i="77"/>
  <c r="H14" i="79"/>
  <c r="H14" i="91"/>
  <c r="H14" i="83"/>
  <c r="H14" i="76"/>
  <c r="Q17" i="8"/>
  <c r="Q15" i="8"/>
  <c r="Q13" i="8"/>
  <c r="K28" i="8" s="1"/>
  <c r="Q16" i="8"/>
  <c r="B6" i="103"/>
  <c r="E6" i="102"/>
  <c r="E6" i="117"/>
  <c r="C6" i="103"/>
  <c r="H14" i="86"/>
  <c r="H14" i="80"/>
  <c r="H14" i="95"/>
  <c r="R11" i="96" l="1"/>
  <c r="R11" i="88"/>
  <c r="R11" i="77"/>
  <c r="R11" i="78"/>
  <c r="R11" i="82"/>
  <c r="R11" i="94"/>
  <c r="R11" i="84"/>
  <c r="S12" i="11"/>
  <c r="K11" i="94"/>
  <c r="K11" i="78"/>
  <c r="K11" i="84"/>
  <c r="K11" i="77"/>
  <c r="K11" i="96"/>
  <c r="K11" i="82"/>
  <c r="L12" i="11"/>
  <c r="K11" i="88"/>
  <c r="H12" i="11"/>
  <c r="G11" i="88"/>
  <c r="G11" i="96"/>
  <c r="G11" i="82"/>
  <c r="G11" i="84"/>
  <c r="G11" i="78"/>
  <c r="G11" i="94"/>
  <c r="G11" i="77"/>
  <c r="O11" i="77"/>
  <c r="O11" i="88"/>
  <c r="O11" i="82"/>
  <c r="O11" i="78"/>
  <c r="O11" i="94"/>
  <c r="O11" i="84"/>
  <c r="O11" i="96"/>
  <c r="P12" i="11"/>
  <c r="I11" i="78"/>
  <c r="I11" i="88"/>
  <c r="I11" i="94"/>
  <c r="J12" i="11"/>
  <c r="I11" i="96"/>
  <c r="I11" i="84"/>
  <c r="I11" i="82"/>
  <c r="I11" i="77"/>
  <c r="M11" i="78"/>
  <c r="M11" i="82"/>
  <c r="M11" i="77"/>
  <c r="N12" i="11"/>
  <c r="M11" i="84"/>
  <c r="M11" i="88"/>
  <c r="M11" i="96"/>
  <c r="M11" i="94"/>
  <c r="Q11" i="77"/>
  <c r="Q11" i="84"/>
  <c r="Q11" i="94"/>
  <c r="Q11" i="78"/>
  <c r="Q11" i="96"/>
  <c r="R12" i="11"/>
  <c r="Q11" i="88"/>
  <c r="Q11" i="82"/>
  <c r="H11" i="94"/>
  <c r="H11" i="77"/>
  <c r="H11" i="88"/>
  <c r="H11" i="96"/>
  <c r="I12" i="11"/>
  <c r="H11" i="78"/>
  <c r="H11" i="84"/>
  <c r="H11" i="82"/>
  <c r="K12" i="11"/>
  <c r="J11" i="84"/>
  <c r="J11" i="96"/>
  <c r="J11" i="88"/>
  <c r="J11" i="77"/>
  <c r="J11" i="82"/>
  <c r="J11" i="78"/>
  <c r="J11" i="94"/>
  <c r="L11" i="82"/>
  <c r="L11" i="78"/>
  <c r="L11" i="88"/>
  <c r="L11" i="96"/>
  <c r="L11" i="84"/>
  <c r="L11" i="94"/>
  <c r="L11" i="77"/>
  <c r="M12" i="11"/>
  <c r="N11" i="94"/>
  <c r="O12" i="11"/>
  <c r="N11" i="78"/>
  <c r="N11" i="82"/>
  <c r="N11" i="96"/>
  <c r="N11" i="84"/>
  <c r="N11" i="88"/>
  <c r="N11" i="77"/>
  <c r="B24" i="21"/>
  <c r="F22" i="21"/>
  <c r="J21" i="14"/>
  <c r="J14" i="91"/>
  <c r="J22" i="118"/>
  <c r="K25" i="118"/>
  <c r="D93" i="108"/>
  <c r="D165" i="108"/>
  <c r="I116" i="118"/>
  <c r="O18" i="118"/>
  <c r="N15" i="118"/>
  <c r="I29" i="118"/>
  <c r="I117" i="118" s="1"/>
  <c r="J32" i="118"/>
  <c r="J9" i="78"/>
  <c r="J9" i="88"/>
  <c r="J9" i="82"/>
  <c r="G119" i="108"/>
  <c r="L20" i="108"/>
  <c r="L114" i="108" s="1"/>
  <c r="M23" i="108"/>
  <c r="D92" i="118"/>
  <c r="E95" i="118"/>
  <c r="O22" i="8"/>
  <c r="AG21" i="8"/>
  <c r="F79" i="108"/>
  <c r="E76" i="108"/>
  <c r="E122" i="108" s="1"/>
  <c r="I7" i="96"/>
  <c r="I13" i="86"/>
  <c r="I7" i="88"/>
  <c r="I13" i="95"/>
  <c r="I7" i="82"/>
  <c r="I7" i="78"/>
  <c r="I13" i="83"/>
  <c r="I13" i="76"/>
  <c r="I13" i="91"/>
  <c r="I7" i="94"/>
  <c r="I13" i="74"/>
  <c r="I13" i="80"/>
  <c r="I7" i="77"/>
  <c r="I13" i="79"/>
  <c r="I7" i="84"/>
  <c r="M39" i="118"/>
  <c r="L36" i="118"/>
  <c r="F78" i="118"/>
  <c r="G81" i="118"/>
  <c r="O117" i="108"/>
  <c r="K53" i="118"/>
  <c r="J50" i="118"/>
  <c r="J120" i="118" s="1"/>
  <c r="F120" i="108"/>
  <c r="G71" i="118"/>
  <c r="H74" i="118"/>
  <c r="AA33" i="8"/>
  <c r="Y9" i="8"/>
  <c r="O23" i="8" s="1"/>
  <c r="L46" i="118"/>
  <c r="K43" i="118"/>
  <c r="K119" i="118" s="1"/>
  <c r="E121" i="108"/>
  <c r="D125" i="118"/>
  <c r="P13" i="108"/>
  <c r="P113" i="108" s="1"/>
  <c r="Q16" i="108"/>
  <c r="K9" i="77"/>
  <c r="K14" i="76" s="1"/>
  <c r="K9" i="94"/>
  <c r="K14" i="91" s="1"/>
  <c r="K9" i="78"/>
  <c r="K14" i="79" s="1"/>
  <c r="K9" i="84"/>
  <c r="K14" i="83" s="1"/>
  <c r="K9" i="88"/>
  <c r="K14" i="86" s="1"/>
  <c r="K9" i="82"/>
  <c r="K14" i="80" s="1"/>
  <c r="K9" i="96"/>
  <c r="AM34" i="8"/>
  <c r="AK10" i="8"/>
  <c r="U24" i="8" s="1"/>
  <c r="Z11" i="118"/>
  <c r="Y8" i="118"/>
  <c r="J6" i="79"/>
  <c r="J5" i="79" s="1"/>
  <c r="J6" i="91"/>
  <c r="J5" i="91" s="1"/>
  <c r="J5" i="96"/>
  <c r="J6" i="74"/>
  <c r="J5" i="74" s="1"/>
  <c r="J5" i="84"/>
  <c r="J5" i="94"/>
  <c r="J6" i="95"/>
  <c r="J5" i="95" s="1"/>
  <c r="J5" i="82"/>
  <c r="J6" i="80"/>
  <c r="J5" i="80" s="1"/>
  <c r="J5" i="78"/>
  <c r="J6" i="76"/>
  <c r="J5" i="76" s="1"/>
  <c r="J6" i="86"/>
  <c r="J5" i="86" s="1"/>
  <c r="J6" i="83"/>
  <c r="J5" i="83" s="1"/>
  <c r="J5" i="77"/>
  <c r="J5" i="88"/>
  <c r="L26" i="115"/>
  <c r="M11" i="115"/>
  <c r="D83" i="108"/>
  <c r="E86" i="108"/>
  <c r="M115" i="118"/>
  <c r="J57" i="118"/>
  <c r="K60" i="118"/>
  <c r="I58" i="108"/>
  <c r="H55" i="108"/>
  <c r="D102" i="118"/>
  <c r="D167" i="118"/>
  <c r="D109" i="118" s="1"/>
  <c r="O67" i="118"/>
  <c r="N64" i="118"/>
  <c r="N122" i="118" s="1"/>
  <c r="AC32" i="8"/>
  <c r="AA8" i="8"/>
  <c r="BM31" i="8"/>
  <c r="BK7" i="8"/>
  <c r="D122" i="108"/>
  <c r="Q44" i="108"/>
  <c r="P41" i="108"/>
  <c r="P117" i="108" s="1"/>
  <c r="Q51" i="108"/>
  <c r="P48" i="108"/>
  <c r="P118" i="108" s="1"/>
  <c r="I120" i="118"/>
  <c r="G62" i="108"/>
  <c r="G120" i="108" s="1"/>
  <c r="H65" i="108"/>
  <c r="F123" i="118"/>
  <c r="F69" i="108"/>
  <c r="G72" i="108"/>
  <c r="E85" i="118"/>
  <c r="E125" i="118" s="1"/>
  <c r="F88" i="118"/>
  <c r="K37" i="108"/>
  <c r="J34" i="108"/>
  <c r="W6" i="8"/>
  <c r="X114" i="118"/>
  <c r="U16" i="8"/>
  <c r="U13" i="8"/>
  <c r="M28" i="8" s="1"/>
  <c r="U17" i="8"/>
  <c r="U15" i="8"/>
  <c r="J27" i="108"/>
  <c r="K30" i="108"/>
  <c r="E13" i="13"/>
  <c r="F22" i="14"/>
  <c r="I115" i="108"/>
  <c r="H10" i="11"/>
  <c r="L24" i="115"/>
  <c r="K34" i="21" s="1"/>
  <c r="N10" i="115"/>
  <c r="M9" i="115"/>
  <c r="M25" i="115"/>
  <c r="L6" i="108"/>
  <c r="M9" i="108"/>
  <c r="K112" i="108"/>
  <c r="B54" i="21"/>
  <c r="D6" i="103"/>
  <c r="G6" i="102"/>
  <c r="F6" i="102" s="1"/>
  <c r="H13" i="76"/>
  <c r="H7" i="96"/>
  <c r="H13" i="79"/>
  <c r="H13" i="74"/>
  <c r="H13" i="95"/>
  <c r="H13" i="91"/>
  <c r="H13" i="83"/>
  <c r="H7" i="84"/>
  <c r="H13" i="80"/>
  <c r="H7" i="78"/>
  <c r="H7" i="88"/>
  <c r="H13" i="86"/>
  <c r="H7" i="94"/>
  <c r="H7" i="77"/>
  <c r="H7" i="82"/>
  <c r="G6" i="117"/>
  <c r="G4" i="117" s="1"/>
  <c r="F35" i="21" l="1"/>
  <c r="F37" i="21" s="1"/>
  <c r="F33" i="21"/>
  <c r="B22" i="21"/>
  <c r="J13" i="86"/>
  <c r="J7" i="82"/>
  <c r="J13" i="74"/>
  <c r="J13" i="79"/>
  <c r="J7" i="96"/>
  <c r="J13" i="95"/>
  <c r="J13" i="76"/>
  <c r="J7" i="88"/>
  <c r="J7" i="78"/>
  <c r="J7" i="84"/>
  <c r="J13" i="83"/>
  <c r="J13" i="91"/>
  <c r="J7" i="94"/>
  <c r="J13" i="80"/>
  <c r="J7" i="77"/>
  <c r="F85" i="118"/>
  <c r="G88" i="118"/>
  <c r="W14" i="8"/>
  <c r="N27" i="8"/>
  <c r="L37" i="108"/>
  <c r="K34" i="108"/>
  <c r="K116" i="108" s="1"/>
  <c r="F121" i="108"/>
  <c r="Q48" i="108"/>
  <c r="Q118" i="108" s="1"/>
  <c r="R51" i="108"/>
  <c r="R44" i="108"/>
  <c r="Q41" i="108"/>
  <c r="Q117" i="108" s="1"/>
  <c r="BO31" i="8"/>
  <c r="BM7" i="8"/>
  <c r="AE32" i="8"/>
  <c r="AC8" i="8"/>
  <c r="O64" i="118"/>
  <c r="O122" i="118" s="1"/>
  <c r="P67" i="118"/>
  <c r="E109" i="118"/>
  <c r="D106" i="118"/>
  <c r="H119" i="108"/>
  <c r="K57" i="118"/>
  <c r="K121" i="118" s="1"/>
  <c r="L60" i="118"/>
  <c r="E83" i="108"/>
  <c r="F86" i="108"/>
  <c r="M26" i="115"/>
  <c r="N11" i="115"/>
  <c r="AA11" i="118"/>
  <c r="Z8" i="118"/>
  <c r="AO34" i="8"/>
  <c r="AM10" i="8"/>
  <c r="V24" i="8" s="1"/>
  <c r="Q13" i="108"/>
  <c r="Q113" i="108" s="1"/>
  <c r="R16" i="108"/>
  <c r="L43" i="118"/>
  <c r="L119" i="118" s="1"/>
  <c r="M46" i="118"/>
  <c r="H71" i="118"/>
  <c r="I74" i="118"/>
  <c r="F124" i="118"/>
  <c r="M36" i="118"/>
  <c r="M118" i="118" s="1"/>
  <c r="N39" i="118"/>
  <c r="L9" i="96"/>
  <c r="L14" i="95" s="1"/>
  <c r="L9" i="88"/>
  <c r="L14" i="86" s="1"/>
  <c r="L9" i="84"/>
  <c r="L14" i="83" s="1"/>
  <c r="L9" i="82"/>
  <c r="L14" i="80" s="1"/>
  <c r="L9" i="94"/>
  <c r="L14" i="91" s="1"/>
  <c r="L9" i="78"/>
  <c r="L14" i="79" s="1"/>
  <c r="L9" i="77"/>
  <c r="L14" i="76" s="1"/>
  <c r="E92" i="118"/>
  <c r="E126" i="118" s="1"/>
  <c r="F95" i="118"/>
  <c r="N23" i="108"/>
  <c r="M20" i="108"/>
  <c r="M114" i="108" s="1"/>
  <c r="J14" i="86"/>
  <c r="J29" i="118"/>
  <c r="K32" i="118"/>
  <c r="N115" i="118"/>
  <c r="D100" i="108"/>
  <c r="D166" i="108"/>
  <c r="D107" i="108" s="1"/>
  <c r="K22" i="118"/>
  <c r="L25" i="118"/>
  <c r="M24" i="115"/>
  <c r="L34" i="21" s="1"/>
  <c r="M13" i="11" s="1"/>
  <c r="J116" i="108"/>
  <c r="G69" i="108"/>
  <c r="G121" i="108" s="1"/>
  <c r="H72" i="108"/>
  <c r="I65" i="108"/>
  <c r="H62" i="108"/>
  <c r="H120" i="108" s="1"/>
  <c r="AH21" i="8"/>
  <c r="P22" i="8"/>
  <c r="D99" i="118"/>
  <c r="E102" i="118"/>
  <c r="I55" i="108"/>
  <c r="J58" i="108"/>
  <c r="J121" i="118"/>
  <c r="D123" i="108"/>
  <c r="Y114" i="118"/>
  <c r="K14" i="95"/>
  <c r="AA9" i="8"/>
  <c r="P23" i="8" s="1"/>
  <c r="AC33" i="8"/>
  <c r="G123" i="118"/>
  <c r="L53" i="118"/>
  <c r="K50" i="118"/>
  <c r="G78" i="118"/>
  <c r="G124" i="118" s="1"/>
  <c r="H81" i="118"/>
  <c r="L118" i="118"/>
  <c r="F76" i="108"/>
  <c r="G79" i="108"/>
  <c r="Y6" i="8"/>
  <c r="D126" i="118"/>
  <c r="J14" i="80"/>
  <c r="J14" i="79"/>
  <c r="O15" i="118"/>
  <c r="P18" i="118"/>
  <c r="D90" i="108"/>
  <c r="E93" i="108"/>
  <c r="J116" i="118"/>
  <c r="F13" i="13"/>
  <c r="G22" i="14"/>
  <c r="J115" i="108"/>
  <c r="I10" i="11"/>
  <c r="L30" i="108"/>
  <c r="K27" i="108"/>
  <c r="L21" i="14"/>
  <c r="N25" i="115"/>
  <c r="N9" i="115"/>
  <c r="O10" i="115"/>
  <c r="K21" i="14"/>
  <c r="L13" i="11"/>
  <c r="M6" i="108"/>
  <c r="N9" i="108"/>
  <c r="L112" i="108"/>
  <c r="B55" i="21"/>
  <c r="M4" i="117"/>
  <c r="F6" i="117"/>
  <c r="E8" i="102" l="1"/>
  <c r="G8" i="102" s="1"/>
  <c r="F8" i="102" s="1"/>
  <c r="E8" i="117"/>
  <c r="G8" i="117" s="1"/>
  <c r="F8" i="117" s="1"/>
  <c r="F11" i="88"/>
  <c r="F11" i="84"/>
  <c r="F11" i="96"/>
  <c r="F11" i="77"/>
  <c r="G12" i="11"/>
  <c r="F11" i="78"/>
  <c r="F11" i="82"/>
  <c r="F11" i="94"/>
  <c r="E90" i="108"/>
  <c r="E124" i="108" s="1"/>
  <c r="F93" i="108"/>
  <c r="O115" i="118"/>
  <c r="G76" i="108"/>
  <c r="H79" i="108"/>
  <c r="I81" i="118"/>
  <c r="H78" i="118"/>
  <c r="H124" i="118" s="1"/>
  <c r="M53" i="118"/>
  <c r="L50" i="118"/>
  <c r="L120" i="118" s="1"/>
  <c r="I119" i="108"/>
  <c r="D127" i="118"/>
  <c r="D7" i="118"/>
  <c r="AA6" i="8"/>
  <c r="H69" i="108"/>
  <c r="H121" i="108" s="1"/>
  <c r="I72" i="108"/>
  <c r="K116" i="118"/>
  <c r="E107" i="108"/>
  <c r="D104" i="108"/>
  <c r="L32" i="118"/>
  <c r="K29" i="118"/>
  <c r="K117" i="118" s="1"/>
  <c r="N20" i="108"/>
  <c r="N114" i="108" s="1"/>
  <c r="O23" i="108"/>
  <c r="N36" i="118"/>
  <c r="N118" i="118" s="1"/>
  <c r="O39" i="118"/>
  <c r="J74" i="118"/>
  <c r="I71" i="118"/>
  <c r="M43" i="118"/>
  <c r="M119" i="118" s="1"/>
  <c r="N46" i="118"/>
  <c r="R13" i="108"/>
  <c r="R113" i="108" s="1"/>
  <c r="S16" i="108"/>
  <c r="Z114" i="118"/>
  <c r="N26" i="115"/>
  <c r="N24" i="115" s="1"/>
  <c r="M34" i="21" s="1"/>
  <c r="O11" i="115"/>
  <c r="F83" i="108"/>
  <c r="G86" i="108"/>
  <c r="L57" i="118"/>
  <c r="L121" i="118" s="1"/>
  <c r="M60" i="118"/>
  <c r="D128" i="118"/>
  <c r="Q67" i="118"/>
  <c r="P64" i="118"/>
  <c r="P122" i="118" s="1"/>
  <c r="Q22" i="8"/>
  <c r="AI21" i="8"/>
  <c r="S51" i="108"/>
  <c r="R48" i="108"/>
  <c r="R118" i="108" s="1"/>
  <c r="K6" i="74"/>
  <c r="K5" i="74" s="1"/>
  <c r="K5" i="84"/>
  <c r="K6" i="91"/>
  <c r="K5" i="91" s="1"/>
  <c r="K5" i="94"/>
  <c r="K5" i="78"/>
  <c r="K6" i="83"/>
  <c r="K5" i="83" s="1"/>
  <c r="K6" i="86"/>
  <c r="K5" i="86" s="1"/>
  <c r="K5" i="96"/>
  <c r="K6" i="80"/>
  <c r="K5" i="80" s="1"/>
  <c r="K5" i="82"/>
  <c r="K5" i="77"/>
  <c r="K5" i="88"/>
  <c r="K6" i="76"/>
  <c r="K5" i="76" s="1"/>
  <c r="K6" i="79"/>
  <c r="K5" i="79" s="1"/>
  <c r="K6" i="95"/>
  <c r="K5" i="95" s="1"/>
  <c r="F125" i="118"/>
  <c r="D124" i="108"/>
  <c r="D5" i="108"/>
  <c r="U14" i="45" s="1"/>
  <c r="Q18" i="118"/>
  <c r="P15" i="118"/>
  <c r="D113" i="118"/>
  <c r="Y14" i="8"/>
  <c r="O27" i="8"/>
  <c r="F122" i="108"/>
  <c r="K120" i="118"/>
  <c r="AC9" i="8"/>
  <c r="Q23" i="8" s="1"/>
  <c r="AE33" i="8"/>
  <c r="J55" i="108"/>
  <c r="K58" i="108"/>
  <c r="E99" i="118"/>
  <c r="F102" i="118"/>
  <c r="M9" i="88"/>
  <c r="M9" i="96"/>
  <c r="M9" i="94"/>
  <c r="M9" i="84"/>
  <c r="M9" i="82"/>
  <c r="M9" i="78"/>
  <c r="M9" i="77"/>
  <c r="I62" i="108"/>
  <c r="J65" i="108"/>
  <c r="L22" i="118"/>
  <c r="M25" i="118"/>
  <c r="E100" i="108"/>
  <c r="D97" i="108"/>
  <c r="J117" i="118"/>
  <c r="F92" i="118"/>
  <c r="G95" i="118"/>
  <c r="H123" i="118"/>
  <c r="AQ34" i="8"/>
  <c r="AO10" i="8"/>
  <c r="W24" i="8" s="1"/>
  <c r="AA8" i="118"/>
  <c r="AB11" i="118"/>
  <c r="E123" i="108"/>
  <c r="F109" i="118"/>
  <c r="E106" i="118"/>
  <c r="E128" i="118" s="1"/>
  <c r="AG32" i="8"/>
  <c r="AE8" i="8"/>
  <c r="BQ31" i="8"/>
  <c r="BQ7" i="8" s="1"/>
  <c r="BO7" i="8"/>
  <c r="S44" i="108"/>
  <c r="R41" i="108"/>
  <c r="R117" i="108" s="1"/>
  <c r="M37" i="108"/>
  <c r="L34" i="108"/>
  <c r="W17" i="8"/>
  <c r="W13" i="8"/>
  <c r="N28" i="8" s="1"/>
  <c r="W15" i="8"/>
  <c r="W16" i="8"/>
  <c r="H88" i="118"/>
  <c r="G85" i="118"/>
  <c r="L27" i="108"/>
  <c r="M30" i="108"/>
  <c r="K115" i="108"/>
  <c r="G13" i="13"/>
  <c r="H22" i="14"/>
  <c r="J10" i="11"/>
  <c r="P10" i="115"/>
  <c r="O25" i="115"/>
  <c r="O9" i="115"/>
  <c r="M112" i="108"/>
  <c r="O9" i="108"/>
  <c r="N6" i="108"/>
  <c r="B56" i="21"/>
  <c r="M12" i="82" l="1"/>
  <c r="M12" i="77"/>
  <c r="M12" i="88"/>
  <c r="M12" i="94"/>
  <c r="M21" i="14"/>
  <c r="M12" i="78"/>
  <c r="M12" i="96"/>
  <c r="M12" i="84"/>
  <c r="N13" i="11"/>
  <c r="F126" i="118"/>
  <c r="H85" i="118"/>
  <c r="I88" i="118"/>
  <c r="N37" i="108"/>
  <c r="M34" i="108"/>
  <c r="M116" i="108" s="1"/>
  <c r="AJ21" i="8"/>
  <c r="BS7" i="8"/>
  <c r="BV7" i="8" s="1"/>
  <c r="R22" i="8"/>
  <c r="AA114" i="118"/>
  <c r="AS34" i="8"/>
  <c r="AQ10" i="8"/>
  <c r="X24" i="8" s="1"/>
  <c r="H95" i="118"/>
  <c r="G92" i="118"/>
  <c r="G126" i="118" s="1"/>
  <c r="D125" i="108"/>
  <c r="N25" i="118"/>
  <c r="M22" i="118"/>
  <c r="I120" i="108"/>
  <c r="M14" i="79"/>
  <c r="M14" i="83"/>
  <c r="M14" i="95"/>
  <c r="F99" i="118"/>
  <c r="F127" i="118" s="1"/>
  <c r="G102" i="118"/>
  <c r="K55" i="108"/>
  <c r="L58" i="108"/>
  <c r="AE9" i="8"/>
  <c r="R23" i="8" s="1"/>
  <c r="AG33" i="8"/>
  <c r="Y17" i="8"/>
  <c r="Y15" i="8"/>
  <c r="Y16" i="8"/>
  <c r="Y13" i="8"/>
  <c r="O28" i="8" s="1"/>
  <c r="Q15" i="118"/>
  <c r="R18" i="118"/>
  <c r="S48" i="108"/>
  <c r="S118" i="108" s="1"/>
  <c r="T51" i="108"/>
  <c r="N9" i="96"/>
  <c r="N14" i="95" s="1"/>
  <c r="N9" i="88"/>
  <c r="N14" i="86" s="1"/>
  <c r="N9" i="82"/>
  <c r="N14" i="80" s="1"/>
  <c r="N9" i="84"/>
  <c r="N14" i="83" s="1"/>
  <c r="N9" i="77"/>
  <c r="N14" i="76" s="1"/>
  <c r="N9" i="94"/>
  <c r="N14" i="91" s="1"/>
  <c r="N9" i="78"/>
  <c r="N14" i="79" s="1"/>
  <c r="Q64" i="118"/>
  <c r="Q122" i="118" s="1"/>
  <c r="R67" i="118"/>
  <c r="M57" i="118"/>
  <c r="M121" i="118" s="1"/>
  <c r="N60" i="118"/>
  <c r="G83" i="108"/>
  <c r="G123" i="108" s="1"/>
  <c r="H86" i="108"/>
  <c r="O26" i="115"/>
  <c r="P11" i="115"/>
  <c r="S13" i="108"/>
  <c r="S113" i="108" s="1"/>
  <c r="T16" i="108"/>
  <c r="N43" i="118"/>
  <c r="N119" i="118" s="1"/>
  <c r="O46" i="118"/>
  <c r="I123" i="118"/>
  <c r="E104" i="108"/>
  <c r="E126" i="108" s="1"/>
  <c r="F107" i="108"/>
  <c r="N53" i="118"/>
  <c r="M50" i="118"/>
  <c r="I78" i="118"/>
  <c r="I124" i="118" s="1"/>
  <c r="J81" i="118"/>
  <c r="G122" i="108"/>
  <c r="F90" i="108"/>
  <c r="G93" i="108"/>
  <c r="O24" i="115"/>
  <c r="N34" i="21" s="1"/>
  <c r="N12" i="84" s="1"/>
  <c r="G125" i="118"/>
  <c r="K7" i="94"/>
  <c r="K7" i="82"/>
  <c r="K7" i="96"/>
  <c r="K7" i="88"/>
  <c r="K13" i="79"/>
  <c r="K13" i="95"/>
  <c r="K13" i="80"/>
  <c r="K13" i="86"/>
  <c r="K13" i="91"/>
  <c r="K13" i="76"/>
  <c r="K13" i="74"/>
  <c r="K13" i="83"/>
  <c r="K7" i="77"/>
  <c r="K7" i="84"/>
  <c r="K7" i="78"/>
  <c r="L116" i="108"/>
  <c r="T44" i="108"/>
  <c r="S41" i="108"/>
  <c r="S117" i="108" s="1"/>
  <c r="AK21" i="8"/>
  <c r="AI32" i="8"/>
  <c r="AG8" i="8"/>
  <c r="G109" i="118"/>
  <c r="F106" i="118"/>
  <c r="F128" i="118" s="1"/>
  <c r="F113" i="118" s="1"/>
  <c r="F130" i="118" s="1"/>
  <c r="AB8" i="118"/>
  <c r="AC11" i="118"/>
  <c r="E97" i="108"/>
  <c r="F100" i="108"/>
  <c r="L116" i="118"/>
  <c r="K65" i="108"/>
  <c r="J62" i="108"/>
  <c r="J120" i="108" s="1"/>
  <c r="M14" i="76"/>
  <c r="M14" i="80"/>
  <c r="M14" i="91"/>
  <c r="M14" i="86"/>
  <c r="E127" i="118"/>
  <c r="E113" i="118" s="1"/>
  <c r="E7" i="118"/>
  <c r="J119" i="108"/>
  <c r="L6" i="91"/>
  <c r="L5" i="91" s="1"/>
  <c r="L5" i="96"/>
  <c r="L5" i="77"/>
  <c r="L5" i="88"/>
  <c r="L5" i="78"/>
  <c r="L6" i="79"/>
  <c r="L5" i="79" s="1"/>
  <c r="L6" i="76"/>
  <c r="L5" i="76" s="1"/>
  <c r="L5" i="82"/>
  <c r="L6" i="74"/>
  <c r="L5" i="74" s="1"/>
  <c r="L6" i="80"/>
  <c r="L5" i="80" s="1"/>
  <c r="L5" i="84"/>
  <c r="L6" i="83"/>
  <c r="L5" i="83" s="1"/>
  <c r="L6" i="86"/>
  <c r="L5" i="86" s="1"/>
  <c r="L5" i="94"/>
  <c r="L6" i="95"/>
  <c r="L5" i="95" s="1"/>
  <c r="D130" i="118"/>
  <c r="P115" i="118"/>
  <c r="AC6" i="8"/>
  <c r="F123" i="108"/>
  <c r="J71" i="118"/>
  <c r="K74" i="118"/>
  <c r="O36" i="118"/>
  <c r="O118" i="118" s="1"/>
  <c r="P39" i="118"/>
  <c r="P23" i="108"/>
  <c r="O20" i="108"/>
  <c r="O114" i="108" s="1"/>
  <c r="M32" i="118"/>
  <c r="L29" i="118"/>
  <c r="D126" i="108"/>
  <c r="D111" i="108" s="1"/>
  <c r="I69" i="108"/>
  <c r="J72" i="108"/>
  <c r="AA14" i="8"/>
  <c r="P27" i="8"/>
  <c r="H76" i="108"/>
  <c r="I79" i="108"/>
  <c r="I22" i="14"/>
  <c r="H13" i="13"/>
  <c r="K10" i="11"/>
  <c r="M27" i="108"/>
  <c r="N30" i="108"/>
  <c r="L115" i="108"/>
  <c r="P25" i="115"/>
  <c r="P9" i="115"/>
  <c r="Q10" i="115"/>
  <c r="N112" i="108"/>
  <c r="O6" i="108"/>
  <c r="P9" i="108"/>
  <c r="B57" i="21"/>
  <c r="N12" i="82" l="1"/>
  <c r="N12" i="88"/>
  <c r="N12" i="94"/>
  <c r="N12" i="78"/>
  <c r="N12" i="77"/>
  <c r="O13" i="11"/>
  <c r="N21" i="14"/>
  <c r="N12" i="96"/>
  <c r="E130" i="118"/>
  <c r="J79" i="108"/>
  <c r="I76" i="108"/>
  <c r="I122" i="108" s="1"/>
  <c r="M5" i="88"/>
  <c r="M6" i="79"/>
  <c r="M5" i="79" s="1"/>
  <c r="M6" i="83"/>
  <c r="M5" i="83" s="1"/>
  <c r="M5" i="77"/>
  <c r="M5" i="78"/>
  <c r="M6" i="86"/>
  <c r="M5" i="86" s="1"/>
  <c r="M6" i="76"/>
  <c r="M5" i="76" s="1"/>
  <c r="M5" i="96"/>
  <c r="M6" i="95"/>
  <c r="M5" i="95" s="1"/>
  <c r="M6" i="80"/>
  <c r="M5" i="80" s="1"/>
  <c r="M6" i="91"/>
  <c r="M5" i="91" s="1"/>
  <c r="M5" i="94"/>
  <c r="M6" i="74"/>
  <c r="M5" i="74" s="1"/>
  <c r="M5" i="82"/>
  <c r="M5" i="84"/>
  <c r="K72" i="108"/>
  <c r="J69" i="108"/>
  <c r="L117" i="118"/>
  <c r="Q39" i="118"/>
  <c r="P36" i="118"/>
  <c r="P118" i="118" s="1"/>
  <c r="K71" i="118"/>
  <c r="L74" i="118"/>
  <c r="Q27" i="8"/>
  <c r="AC14" i="8"/>
  <c r="F97" i="108"/>
  <c r="G100" i="108"/>
  <c r="AC8" i="118"/>
  <c r="AD11" i="118"/>
  <c r="F133" i="118"/>
  <c r="F132" i="118"/>
  <c r="F131" i="118"/>
  <c r="F129" i="118" s="1"/>
  <c r="S22" i="8"/>
  <c r="G90" i="108"/>
  <c r="H93" i="108"/>
  <c r="K81" i="118"/>
  <c r="J78" i="118"/>
  <c r="J124" i="118" s="1"/>
  <c r="M120" i="118"/>
  <c r="G107" i="108"/>
  <c r="F104" i="108"/>
  <c r="S67" i="118"/>
  <c r="R64" i="118"/>
  <c r="R122" i="118" s="1"/>
  <c r="S18" i="118"/>
  <c r="R15" i="118"/>
  <c r="L7" i="88"/>
  <c r="L7" i="77"/>
  <c r="L13" i="86"/>
  <c r="L13" i="79"/>
  <c r="L13" i="95"/>
  <c r="L13" i="80"/>
  <c r="L7" i="84"/>
  <c r="L13" i="76"/>
  <c r="L7" i="78"/>
  <c r="L7" i="82"/>
  <c r="L13" i="74"/>
  <c r="L7" i="96"/>
  <c r="L7" i="94"/>
  <c r="L13" i="91"/>
  <c r="L13" i="83"/>
  <c r="AG9" i="8"/>
  <c r="S23" i="8" s="1"/>
  <c r="AI33" i="8"/>
  <c r="M58" i="108"/>
  <c r="L55" i="108"/>
  <c r="G99" i="118"/>
  <c r="H102" i="118"/>
  <c r="M116" i="118"/>
  <c r="AE6" i="8"/>
  <c r="O37" i="108"/>
  <c r="N34" i="108"/>
  <c r="H125" i="118"/>
  <c r="H122" i="108"/>
  <c r="AA16" i="8"/>
  <c r="AA13" i="8"/>
  <c r="P28" i="8" s="1"/>
  <c r="AA17" i="8"/>
  <c r="AA15" i="8"/>
  <c r="I121" i="108"/>
  <c r="D129" i="108"/>
  <c r="B6" i="13"/>
  <c r="B5" i="13" s="1"/>
  <c r="H10" i="103" s="1"/>
  <c r="D5" i="11"/>
  <c r="D127" i="108"/>
  <c r="C32" i="21"/>
  <c r="C7" i="14"/>
  <c r="C6" i="14" s="1"/>
  <c r="N32" i="118"/>
  <c r="M29" i="118"/>
  <c r="M117" i="118" s="1"/>
  <c r="P20" i="108"/>
  <c r="P114" i="108" s="1"/>
  <c r="Q23" i="108"/>
  <c r="J123" i="118"/>
  <c r="D132" i="118"/>
  <c r="D133" i="118"/>
  <c r="D131" i="118"/>
  <c r="K62" i="108"/>
  <c r="K120" i="108" s="1"/>
  <c r="L65" i="108"/>
  <c r="E125" i="108"/>
  <c r="E111" i="108" s="1"/>
  <c r="E5" i="108"/>
  <c r="V14" i="45" s="1"/>
  <c r="AB114" i="118"/>
  <c r="H109" i="118"/>
  <c r="G106" i="118"/>
  <c r="AK32" i="8"/>
  <c r="AI8" i="8"/>
  <c r="T41" i="108"/>
  <c r="T117" i="108" s="1"/>
  <c r="U44" i="108"/>
  <c r="F124" i="108"/>
  <c r="O53" i="118"/>
  <c r="N50" i="118"/>
  <c r="N120" i="118" s="1"/>
  <c r="O43" i="118"/>
  <c r="O119" i="118" s="1"/>
  <c r="P46" i="118"/>
  <c r="T13" i="108"/>
  <c r="T113" i="108" s="1"/>
  <c r="U16" i="108"/>
  <c r="P26" i="115"/>
  <c r="P24" i="115" s="1"/>
  <c r="O34" i="21" s="1"/>
  <c r="Q11" i="115"/>
  <c r="H83" i="108"/>
  <c r="I86" i="108"/>
  <c r="N57" i="118"/>
  <c r="N121" i="118" s="1"/>
  <c r="O60" i="118"/>
  <c r="T48" i="108"/>
  <c r="T118" i="108" s="1"/>
  <c r="U51" i="108"/>
  <c r="F7" i="118"/>
  <c r="Q115" i="118"/>
  <c r="K119" i="108"/>
  <c r="N22" i="118"/>
  <c r="O25" i="118"/>
  <c r="H92" i="118"/>
  <c r="H126" i="118" s="1"/>
  <c r="I95" i="118"/>
  <c r="AU34" i="8"/>
  <c r="AS10" i="8"/>
  <c r="Y24" i="8" s="1"/>
  <c r="O9" i="77"/>
  <c r="O9" i="82"/>
  <c r="O9" i="94"/>
  <c r="O9" i="78"/>
  <c r="O14" i="79" s="1"/>
  <c r="O9" i="96"/>
  <c r="O14" i="95" s="1"/>
  <c r="O9" i="84"/>
  <c r="O14" i="83" s="1"/>
  <c r="O9" i="88"/>
  <c r="J88" i="118"/>
  <c r="I85" i="118"/>
  <c r="G7" i="118"/>
  <c r="O30" i="108"/>
  <c r="N27" i="108"/>
  <c r="I13" i="13"/>
  <c r="J22" i="14"/>
  <c r="L10" i="11"/>
  <c r="M115" i="108"/>
  <c r="R10" i="115"/>
  <c r="Q25" i="115"/>
  <c r="Q9" i="115"/>
  <c r="O112" i="108"/>
  <c r="P6" i="108"/>
  <c r="Q9" i="108"/>
  <c r="D44" i="21"/>
  <c r="B58" i="21"/>
  <c r="D129" i="118" l="1"/>
  <c r="O12" i="84"/>
  <c r="O12" i="88"/>
  <c r="O12" i="94"/>
  <c r="O12" i="96"/>
  <c r="O21" i="14"/>
  <c r="O12" i="78"/>
  <c r="P13" i="11"/>
  <c r="O12" i="82"/>
  <c r="O12" i="77"/>
  <c r="E5" i="11"/>
  <c r="D7" i="14"/>
  <c r="D6" i="14" s="1"/>
  <c r="C6" i="13"/>
  <c r="C5" i="13" s="1"/>
  <c r="I10" i="103" s="1"/>
  <c r="D32" i="21"/>
  <c r="E129" i="108"/>
  <c r="P53" i="118"/>
  <c r="O50" i="118"/>
  <c r="O120" i="118" s="1"/>
  <c r="L62" i="108"/>
  <c r="L120" i="108" s="1"/>
  <c r="M65" i="108"/>
  <c r="M55" i="108"/>
  <c r="N58" i="108"/>
  <c r="Q24" i="115"/>
  <c r="P34" i="21" s="1"/>
  <c r="P12" i="84" s="1"/>
  <c r="S12" i="84" s="1"/>
  <c r="J85" i="118"/>
  <c r="K88" i="118"/>
  <c r="O14" i="80"/>
  <c r="AW34" i="8"/>
  <c r="AU10" i="8"/>
  <c r="Z24" i="8" s="1"/>
  <c r="N116" i="118"/>
  <c r="O57" i="118"/>
  <c r="O121" i="118" s="1"/>
  <c r="P60" i="118"/>
  <c r="I83" i="108"/>
  <c r="I123" i="108" s="1"/>
  <c r="J86" i="108"/>
  <c r="Q26" i="115"/>
  <c r="R11" i="115"/>
  <c r="U13" i="108"/>
  <c r="U113" i="108" s="1"/>
  <c r="V16" i="108"/>
  <c r="P43" i="118"/>
  <c r="P119" i="118" s="1"/>
  <c r="Q46" i="118"/>
  <c r="AM32" i="8"/>
  <c r="AK8" i="8"/>
  <c r="I109" i="118"/>
  <c r="H106" i="118"/>
  <c r="H128" i="118" s="1"/>
  <c r="N29" i="118"/>
  <c r="N117" i="118" s="1"/>
  <c r="O32" i="118"/>
  <c r="C10" i="78"/>
  <c r="C10" i="77"/>
  <c r="C10" i="84"/>
  <c r="C10" i="96"/>
  <c r="C10" i="88"/>
  <c r="C10" i="82"/>
  <c r="D11" i="11"/>
  <c r="C10" i="94"/>
  <c r="D130" i="108"/>
  <c r="D132" i="108"/>
  <c r="D131" i="108"/>
  <c r="P37" i="108"/>
  <c r="O34" i="108"/>
  <c r="O116" i="108" s="1"/>
  <c r="H99" i="118"/>
  <c r="I102" i="118"/>
  <c r="L119" i="108"/>
  <c r="AK33" i="8"/>
  <c r="AI9" i="8"/>
  <c r="T23" i="8" s="1"/>
  <c r="S15" i="118"/>
  <c r="T18" i="118"/>
  <c r="T67" i="118"/>
  <c r="S64" i="118"/>
  <c r="S122" i="118" s="1"/>
  <c r="G104" i="108"/>
  <c r="G126" i="108" s="1"/>
  <c r="H107" i="108"/>
  <c r="L81" i="118"/>
  <c r="K78" i="118"/>
  <c r="K124" i="118" s="1"/>
  <c r="G124" i="108"/>
  <c r="AG6" i="8"/>
  <c r="AE11" i="118"/>
  <c r="AD8" i="118"/>
  <c r="G97" i="108"/>
  <c r="G125" i="108" s="1"/>
  <c r="H100" i="108"/>
  <c r="N5" i="77"/>
  <c r="N5" i="84"/>
  <c r="N5" i="94"/>
  <c r="N6" i="74"/>
  <c r="N5" i="74" s="1"/>
  <c r="N6" i="95"/>
  <c r="N5" i="95" s="1"/>
  <c r="N5" i="78"/>
  <c r="N6" i="83"/>
  <c r="N5" i="83" s="1"/>
  <c r="N5" i="82"/>
  <c r="N6" i="86"/>
  <c r="N5" i="86" s="1"/>
  <c r="N6" i="80"/>
  <c r="N5" i="80" s="1"/>
  <c r="N6" i="79"/>
  <c r="N5" i="79" s="1"/>
  <c r="N6" i="76"/>
  <c r="N5" i="76" s="1"/>
  <c r="N5" i="96"/>
  <c r="N6" i="91"/>
  <c r="N5" i="91" s="1"/>
  <c r="N5" i="88"/>
  <c r="M74" i="118"/>
  <c r="L71" i="118"/>
  <c r="J121" i="108"/>
  <c r="K79" i="108"/>
  <c r="J76" i="108"/>
  <c r="I125" i="118"/>
  <c r="O14" i="86"/>
  <c r="O14" i="91"/>
  <c r="O14" i="76"/>
  <c r="I92" i="118"/>
  <c r="J95" i="118"/>
  <c r="P25" i="118"/>
  <c r="O22" i="118"/>
  <c r="U48" i="108"/>
  <c r="U118" i="108" s="1"/>
  <c r="V51" i="108"/>
  <c r="H123" i="108"/>
  <c r="V44" i="108"/>
  <c r="U41" i="108"/>
  <c r="U117" i="108" s="1"/>
  <c r="T22" i="8"/>
  <c r="AI6" i="8"/>
  <c r="G128" i="118"/>
  <c r="R23" i="108"/>
  <c r="Q20" i="108"/>
  <c r="Q114" i="108" s="1"/>
  <c r="E127" i="108"/>
  <c r="M7" i="88"/>
  <c r="M13" i="83"/>
  <c r="M13" i="91"/>
  <c r="M13" i="95"/>
  <c r="M13" i="86"/>
  <c r="M7" i="96"/>
  <c r="M7" i="82"/>
  <c r="M7" i="78"/>
  <c r="M7" i="77"/>
  <c r="M13" i="80"/>
  <c r="M7" i="94"/>
  <c r="M13" i="79"/>
  <c r="M7" i="84"/>
  <c r="M13" i="74"/>
  <c r="M13" i="76"/>
  <c r="N116" i="108"/>
  <c r="R27" i="8"/>
  <c r="AE14" i="8"/>
  <c r="G127" i="118"/>
  <c r="R115" i="118"/>
  <c r="F126" i="108"/>
  <c r="F111" i="108" s="1"/>
  <c r="H90" i="108"/>
  <c r="I93" i="108"/>
  <c r="P9" i="88"/>
  <c r="P14" i="86" s="1"/>
  <c r="P9" i="82"/>
  <c r="P14" i="80" s="1"/>
  <c r="P9" i="78"/>
  <c r="P9" i="96"/>
  <c r="P14" i="95" s="1"/>
  <c r="P9" i="94"/>
  <c r="P14" i="91" s="1"/>
  <c r="P9" i="84"/>
  <c r="P14" i="83" s="1"/>
  <c r="P9" i="77"/>
  <c r="P14" i="76" s="1"/>
  <c r="AC114" i="118"/>
  <c r="F125" i="108"/>
  <c r="F5" i="108"/>
  <c r="W14" i="45" s="1"/>
  <c r="AC13" i="8"/>
  <c r="Q28" i="8" s="1"/>
  <c r="AC16" i="8"/>
  <c r="AC15" i="8"/>
  <c r="AC17" i="8"/>
  <c r="K123" i="118"/>
  <c r="Q36" i="118"/>
  <c r="Q118" i="118" s="1"/>
  <c r="R39" i="118"/>
  <c r="K69" i="108"/>
  <c r="L72" i="108"/>
  <c r="E132" i="118"/>
  <c r="E131" i="118"/>
  <c r="E129" i="118" s="1"/>
  <c r="E133" i="118"/>
  <c r="M10" i="11"/>
  <c r="N115" i="108"/>
  <c r="J13" i="13"/>
  <c r="K22" i="14"/>
  <c r="O27" i="108"/>
  <c r="P30" i="108"/>
  <c r="R9" i="115"/>
  <c r="S10" i="115"/>
  <c r="R25" i="115"/>
  <c r="P21" i="14"/>
  <c r="P12" i="77"/>
  <c r="S12" i="77" s="1"/>
  <c r="Q13" i="11"/>
  <c r="Q6" i="108"/>
  <c r="R9" i="108"/>
  <c r="B59" i="21"/>
  <c r="C44" i="21"/>
  <c r="P12" i="82" l="1"/>
  <c r="S12" i="82" s="1"/>
  <c r="P12" i="78"/>
  <c r="S12" i="78" s="1"/>
  <c r="P12" i="88"/>
  <c r="S12" i="88" s="1"/>
  <c r="P12" i="96"/>
  <c r="S12" i="96" s="1"/>
  <c r="P12" i="94"/>
  <c r="S12" i="94" s="1"/>
  <c r="D128" i="108"/>
  <c r="B12" i="13" s="1"/>
  <c r="C20" i="14" s="1"/>
  <c r="R36" i="118"/>
  <c r="R118" i="118" s="1"/>
  <c r="S39" i="118"/>
  <c r="P14" i="79"/>
  <c r="E32" i="21"/>
  <c r="E7" i="14"/>
  <c r="E6" i="14" s="1"/>
  <c r="F129" i="108"/>
  <c r="F5" i="11"/>
  <c r="D6" i="13"/>
  <c r="D5" i="13" s="1"/>
  <c r="J10" i="103" s="1"/>
  <c r="K121" i="108"/>
  <c r="N7" i="88"/>
  <c r="N7" i="84"/>
  <c r="N13" i="86"/>
  <c r="N7" i="82"/>
  <c r="N13" i="80"/>
  <c r="N7" i="94"/>
  <c r="N13" i="79"/>
  <c r="N7" i="96"/>
  <c r="N7" i="77"/>
  <c r="N13" i="91"/>
  <c r="N7" i="78"/>
  <c r="N13" i="83"/>
  <c r="N13" i="76"/>
  <c r="N13" i="74"/>
  <c r="N13" i="95"/>
  <c r="J93" i="108"/>
  <c r="I90" i="108"/>
  <c r="O5" i="84"/>
  <c r="O5" i="96"/>
  <c r="O6" i="79"/>
  <c r="O5" i="79" s="1"/>
  <c r="O6" i="86"/>
  <c r="O5" i="86" s="1"/>
  <c r="O6" i="83"/>
  <c r="O5" i="83" s="1"/>
  <c r="O5" i="77"/>
  <c r="O5" i="82"/>
  <c r="O5" i="78"/>
  <c r="O6" i="76"/>
  <c r="O5" i="76" s="1"/>
  <c r="O6" i="91"/>
  <c r="O5" i="91" s="1"/>
  <c r="O6" i="74"/>
  <c r="O5" i="74" s="1"/>
  <c r="O6" i="95"/>
  <c r="O5" i="95" s="1"/>
  <c r="O5" i="94"/>
  <c r="O6" i="80"/>
  <c r="O5" i="80" s="1"/>
  <c r="O5" i="88"/>
  <c r="F127" i="108"/>
  <c r="S23" i="108"/>
  <c r="R20" i="108"/>
  <c r="R114" i="108" s="1"/>
  <c r="G113" i="118"/>
  <c r="Q9" i="94"/>
  <c r="Q14" i="91" s="1"/>
  <c r="Q9" i="77"/>
  <c r="Q14" i="76" s="1"/>
  <c r="Q9" i="78"/>
  <c r="Q14" i="79" s="1"/>
  <c r="Q9" i="82"/>
  <c r="Q14" i="80" s="1"/>
  <c r="Q9" i="88"/>
  <c r="Q14" i="86" s="1"/>
  <c r="Q9" i="96"/>
  <c r="Q14" i="95" s="1"/>
  <c r="Q9" i="84"/>
  <c r="Q14" i="83" s="1"/>
  <c r="W44" i="108"/>
  <c r="V41" i="108"/>
  <c r="V117" i="108" s="1"/>
  <c r="O116" i="118"/>
  <c r="K95" i="118"/>
  <c r="J92" i="118"/>
  <c r="J126" i="118" s="1"/>
  <c r="J122" i="108"/>
  <c r="L123" i="118"/>
  <c r="AE8" i="118"/>
  <c r="AF11" i="118"/>
  <c r="G5" i="108"/>
  <c r="X14" i="45" s="1"/>
  <c r="H104" i="108"/>
  <c r="H126" i="108" s="1"/>
  <c r="I107" i="108"/>
  <c r="U18" i="118"/>
  <c r="T15" i="118"/>
  <c r="I99" i="118"/>
  <c r="I127" i="118" s="1"/>
  <c r="J102" i="118"/>
  <c r="O29" i="118"/>
  <c r="O117" i="118" s="1"/>
  <c r="P32" i="118"/>
  <c r="J109" i="118"/>
  <c r="I106" i="118"/>
  <c r="AO32" i="8"/>
  <c r="AM8" i="8"/>
  <c r="AY34" i="8"/>
  <c r="AW10" i="8"/>
  <c r="AA24" i="8" s="1"/>
  <c r="J125" i="118"/>
  <c r="N55" i="108"/>
  <c r="O58" i="108"/>
  <c r="M62" i="108"/>
  <c r="M120" i="108" s="1"/>
  <c r="N65" i="108"/>
  <c r="E130" i="108"/>
  <c r="E132" i="108"/>
  <c r="E131" i="108"/>
  <c r="L69" i="108"/>
  <c r="L121" i="108" s="1"/>
  <c r="M72" i="108"/>
  <c r="H124" i="108"/>
  <c r="AE15" i="8"/>
  <c r="AE16" i="8"/>
  <c r="AE17" i="8"/>
  <c r="AE13" i="8"/>
  <c r="R28" i="8" s="1"/>
  <c r="T27" i="8"/>
  <c r="AI14" i="8"/>
  <c r="V48" i="108"/>
  <c r="V118" i="108" s="1"/>
  <c r="W51" i="108"/>
  <c r="P22" i="118"/>
  <c r="Q25" i="118"/>
  <c r="I126" i="118"/>
  <c r="K76" i="108"/>
  <c r="K122" i="108" s="1"/>
  <c r="L79" i="108"/>
  <c r="N74" i="118"/>
  <c r="M71" i="118"/>
  <c r="H97" i="108"/>
  <c r="I100" i="108"/>
  <c r="AD114" i="118"/>
  <c r="S27" i="8"/>
  <c r="AG14" i="8"/>
  <c r="L78" i="118"/>
  <c r="L124" i="118" s="1"/>
  <c r="M81" i="118"/>
  <c r="G111" i="108"/>
  <c r="U67" i="118"/>
  <c r="T64" i="118"/>
  <c r="T122" i="118" s="1"/>
  <c r="S115" i="118"/>
  <c r="AM33" i="8"/>
  <c r="AK9" i="8"/>
  <c r="U23" i="8" s="1"/>
  <c r="H127" i="118"/>
  <c r="H113" i="118" s="1"/>
  <c r="H130" i="118" s="1"/>
  <c r="H7" i="118"/>
  <c r="P34" i="108"/>
  <c r="P116" i="108" s="1"/>
  <c r="Q37" i="108"/>
  <c r="U22" i="8"/>
  <c r="AK6" i="8"/>
  <c r="U27" i="8" s="1"/>
  <c r="R46" i="118"/>
  <c r="Q43" i="118"/>
  <c r="Q119" i="118" s="1"/>
  <c r="W16" i="108"/>
  <c r="V13" i="108"/>
  <c r="V113" i="108" s="1"/>
  <c r="R26" i="115"/>
  <c r="R24" i="115" s="1"/>
  <c r="Q34" i="21" s="1"/>
  <c r="S11" i="115"/>
  <c r="K86" i="108"/>
  <c r="J83" i="108"/>
  <c r="P57" i="118"/>
  <c r="P121" i="118" s="1"/>
  <c r="Q60" i="118"/>
  <c r="K85" i="118"/>
  <c r="L88" i="118"/>
  <c r="M119" i="108"/>
  <c r="P50" i="118"/>
  <c r="P120" i="118" s="1"/>
  <c r="Q53" i="118"/>
  <c r="I7" i="118"/>
  <c r="D10" i="82"/>
  <c r="D10" i="96"/>
  <c r="D10" i="77"/>
  <c r="D10" i="78"/>
  <c r="D10" i="88"/>
  <c r="D10" i="94"/>
  <c r="D10" i="84"/>
  <c r="E11" i="11"/>
  <c r="O115" i="108"/>
  <c r="N10" i="11"/>
  <c r="Q30" i="108"/>
  <c r="P27" i="108"/>
  <c r="K13" i="13"/>
  <c r="L22" i="14"/>
  <c r="T10" i="115"/>
  <c r="S9" i="115"/>
  <c r="S25" i="115"/>
  <c r="Q112" i="108"/>
  <c r="R6" i="108"/>
  <c r="S9" i="108"/>
  <c r="C28" i="21"/>
  <c r="B60" i="21"/>
  <c r="E128" i="108" l="1"/>
  <c r="D8" i="11"/>
  <c r="Q21" i="14"/>
  <c r="R13" i="11"/>
  <c r="K125" i="118"/>
  <c r="K83" i="108"/>
  <c r="K123" i="108" s="1"/>
  <c r="L86" i="108"/>
  <c r="X16" i="108"/>
  <c r="W13" i="108"/>
  <c r="W113" i="108" s="1"/>
  <c r="AN16" i="108"/>
  <c r="S46" i="118"/>
  <c r="R43" i="118"/>
  <c r="R119" i="118" s="1"/>
  <c r="R9" i="77"/>
  <c r="R9" i="82"/>
  <c r="R9" i="88"/>
  <c r="R9" i="78"/>
  <c r="R14" i="79" s="1"/>
  <c r="S14" i="79" s="1"/>
  <c r="R9" i="96"/>
  <c r="R9" i="94"/>
  <c r="R9" i="84"/>
  <c r="Q34" i="108"/>
  <c r="Q116" i="108" s="1"/>
  <c r="R37" i="108"/>
  <c r="AO33" i="8"/>
  <c r="AM9" i="8"/>
  <c r="V23" i="8" s="1"/>
  <c r="V67" i="118"/>
  <c r="U64" i="118"/>
  <c r="U122" i="118" s="1"/>
  <c r="M78" i="118"/>
  <c r="M124" i="118" s="1"/>
  <c r="N81" i="118"/>
  <c r="AG17" i="8"/>
  <c r="AG13" i="8"/>
  <c r="S28" i="8" s="1"/>
  <c r="AG16" i="8"/>
  <c r="AG15" i="8"/>
  <c r="I97" i="108"/>
  <c r="I125" i="108" s="1"/>
  <c r="J100" i="108"/>
  <c r="M123" i="118"/>
  <c r="Q22" i="118"/>
  <c r="R25" i="118"/>
  <c r="AN51" i="108"/>
  <c r="W48" i="108"/>
  <c r="W118" i="108" s="1"/>
  <c r="X51" i="108"/>
  <c r="AI17" i="8"/>
  <c r="AI16" i="8"/>
  <c r="AI15" i="8"/>
  <c r="AI13" i="8"/>
  <c r="T28" i="8" s="1"/>
  <c r="O13" i="83"/>
  <c r="O7" i="77"/>
  <c r="O13" i="80"/>
  <c r="O7" i="78"/>
  <c r="O7" i="88"/>
  <c r="O13" i="74"/>
  <c r="O7" i="84"/>
  <c r="O13" i="76"/>
  <c r="O7" i="94"/>
  <c r="O7" i="82"/>
  <c r="O13" i="86"/>
  <c r="O13" i="91"/>
  <c r="O7" i="96"/>
  <c r="O13" i="79"/>
  <c r="O13" i="95"/>
  <c r="N119" i="108"/>
  <c r="AY10" i="8"/>
  <c r="AB24" i="8" s="1"/>
  <c r="BA34" i="8"/>
  <c r="V22" i="8"/>
  <c r="AM6" i="8"/>
  <c r="I128" i="118"/>
  <c r="Q32" i="118"/>
  <c r="P29" i="118"/>
  <c r="P117" i="118" s="1"/>
  <c r="J99" i="118"/>
  <c r="K102" i="118"/>
  <c r="U15" i="118"/>
  <c r="V18" i="118"/>
  <c r="AG11" i="118"/>
  <c r="AF8" i="118"/>
  <c r="G130" i="118"/>
  <c r="T23" i="108"/>
  <c r="S20" i="108"/>
  <c r="S114" i="108" s="1"/>
  <c r="J90" i="108"/>
  <c r="K93" i="108"/>
  <c r="F132" i="108"/>
  <c r="F131" i="108"/>
  <c r="F130" i="108"/>
  <c r="E38" i="21"/>
  <c r="E14" i="21"/>
  <c r="E10" i="84"/>
  <c r="F11" i="11"/>
  <c r="E10" i="88"/>
  <c r="E10" i="94"/>
  <c r="E10" i="78"/>
  <c r="E10" i="82"/>
  <c r="E10" i="77"/>
  <c r="E10" i="96"/>
  <c r="Q50" i="118"/>
  <c r="Q120" i="118" s="1"/>
  <c r="R53" i="118"/>
  <c r="M88" i="118"/>
  <c r="L85" i="118"/>
  <c r="L125" i="118" s="1"/>
  <c r="Q57" i="118"/>
  <c r="Q121" i="118" s="1"/>
  <c r="R60" i="118"/>
  <c r="J123" i="108"/>
  <c r="T11" i="115"/>
  <c r="S26" i="115"/>
  <c r="S24" i="115" s="1"/>
  <c r="R34" i="21" s="1"/>
  <c r="R5" i="78"/>
  <c r="R6" i="83"/>
  <c r="R5" i="83" s="1"/>
  <c r="R6" i="95"/>
  <c r="R5" i="95" s="1"/>
  <c r="R6" i="76"/>
  <c r="R5" i="76" s="1"/>
  <c r="R5" i="94"/>
  <c r="R5" i="77"/>
  <c r="R5" i="84"/>
  <c r="R5" i="96"/>
  <c r="R6" i="80"/>
  <c r="R5" i="80" s="1"/>
  <c r="R6" i="79"/>
  <c r="R5" i="79" s="1"/>
  <c r="R6" i="86"/>
  <c r="R5" i="86" s="1"/>
  <c r="R5" i="88"/>
  <c r="R6" i="74"/>
  <c r="R5" i="74" s="1"/>
  <c r="R5" i="82"/>
  <c r="R6" i="91"/>
  <c r="R5" i="91" s="1"/>
  <c r="H133" i="118"/>
  <c r="H131" i="118"/>
  <c r="H129" i="118" s="1"/>
  <c r="H132" i="118"/>
  <c r="G129" i="108"/>
  <c r="E6" i="13"/>
  <c r="E5" i="13" s="1"/>
  <c r="K10" i="103" s="1"/>
  <c r="K11" i="103" s="1"/>
  <c r="G5" i="11"/>
  <c r="F7" i="14"/>
  <c r="F6" i="14" s="1"/>
  <c r="F5" i="14" s="1"/>
  <c r="F32" i="21"/>
  <c r="P6" i="79"/>
  <c r="P5" i="79" s="1"/>
  <c r="P5" i="96"/>
  <c r="P5" i="88"/>
  <c r="P5" i="77"/>
  <c r="P5" i="84"/>
  <c r="P5" i="94"/>
  <c r="P5" i="82"/>
  <c r="P6" i="83"/>
  <c r="P5" i="83" s="1"/>
  <c r="P6" i="76"/>
  <c r="P5" i="76" s="1"/>
  <c r="P6" i="74"/>
  <c r="P5" i="74" s="1"/>
  <c r="P5" i="78"/>
  <c r="P6" i="80"/>
  <c r="P5" i="80" s="1"/>
  <c r="P6" i="95"/>
  <c r="P5" i="95" s="1"/>
  <c r="P6" i="86"/>
  <c r="P5" i="86" s="1"/>
  <c r="P6" i="91"/>
  <c r="P5" i="91" s="1"/>
  <c r="H125" i="108"/>
  <c r="H111" i="108" s="1"/>
  <c r="N71" i="118"/>
  <c r="O74" i="118"/>
  <c r="L76" i="108"/>
  <c r="L122" i="108" s="1"/>
  <c r="M79" i="108"/>
  <c r="P116" i="118"/>
  <c r="Q6" i="91"/>
  <c r="Q5" i="91" s="1"/>
  <c r="Q5" i="82"/>
  <c r="Q6" i="76"/>
  <c r="Q5" i="76" s="1"/>
  <c r="Q5" i="78"/>
  <c r="Q6" i="86"/>
  <c r="Q5" i="86" s="1"/>
  <c r="Q5" i="77"/>
  <c r="Q6" i="79"/>
  <c r="Q5" i="79" s="1"/>
  <c r="Q5" i="94"/>
  <c r="Q6" i="95"/>
  <c r="Q5" i="95" s="1"/>
  <c r="Q5" i="84"/>
  <c r="Q6" i="74"/>
  <c r="Q5" i="74" s="1"/>
  <c r="Q5" i="96"/>
  <c r="Q5" i="88"/>
  <c r="Q6" i="83"/>
  <c r="Q5" i="83" s="1"/>
  <c r="Q6" i="80"/>
  <c r="Q5" i="80" s="1"/>
  <c r="N72" i="108"/>
  <c r="M69" i="108"/>
  <c r="E8" i="11"/>
  <c r="C12" i="13"/>
  <c r="D20" i="14" s="1"/>
  <c r="O65" i="108"/>
  <c r="N62" i="108"/>
  <c r="N120" i="108" s="1"/>
  <c r="O55" i="108"/>
  <c r="P58" i="108"/>
  <c r="AQ32" i="8"/>
  <c r="AO8" i="8"/>
  <c r="K109" i="118"/>
  <c r="J106" i="118"/>
  <c r="J128" i="118" s="1"/>
  <c r="T115" i="118"/>
  <c r="J107" i="108"/>
  <c r="I104" i="108"/>
  <c r="I126" i="108" s="1"/>
  <c r="AE114" i="118"/>
  <c r="K92" i="118"/>
  <c r="L95" i="118"/>
  <c r="W41" i="108"/>
  <c r="W117" i="108" s="1"/>
  <c r="X44" i="108"/>
  <c r="AN44" i="108"/>
  <c r="G127" i="108"/>
  <c r="I124" i="108"/>
  <c r="I111" i="108" s="1"/>
  <c r="I5" i="108"/>
  <c r="V16" i="45" s="1"/>
  <c r="S9" i="78"/>
  <c r="T9" i="78" s="1"/>
  <c r="S36" i="118"/>
  <c r="S118" i="118" s="1"/>
  <c r="T39" i="118"/>
  <c r="H5" i="108"/>
  <c r="U16" i="45" s="1"/>
  <c r="R30" i="108"/>
  <c r="Q27" i="108"/>
  <c r="Q115" i="108" s="1"/>
  <c r="P115" i="108"/>
  <c r="L13" i="13"/>
  <c r="M22" i="14"/>
  <c r="O10" i="11"/>
  <c r="T9" i="115"/>
  <c r="U10" i="115"/>
  <c r="T25" i="115"/>
  <c r="T9" i="108"/>
  <c r="S6" i="108"/>
  <c r="R112" i="108"/>
  <c r="B61" i="21"/>
  <c r="C27" i="21"/>
  <c r="F128" i="108" l="1"/>
  <c r="F8" i="11" s="1"/>
  <c r="H129" i="108"/>
  <c r="H5" i="11"/>
  <c r="G7" i="14"/>
  <c r="G6" i="14" s="1"/>
  <c r="G5" i="14" s="1"/>
  <c r="F6" i="13"/>
  <c r="F5" i="13" s="1"/>
  <c r="L10" i="103" s="1"/>
  <c r="L11" i="103" s="1"/>
  <c r="G32" i="21"/>
  <c r="D12" i="13"/>
  <c r="E20" i="14" s="1"/>
  <c r="S13" i="11"/>
  <c r="R21" i="14"/>
  <c r="H127" i="108"/>
  <c r="I127" i="108" s="1"/>
  <c r="Y44" i="108"/>
  <c r="X41" i="108"/>
  <c r="X117" i="108" s="1"/>
  <c r="K126" i="118"/>
  <c r="J104" i="108"/>
  <c r="J126" i="108" s="1"/>
  <c r="K107" i="108"/>
  <c r="L109" i="118"/>
  <c r="K106" i="118"/>
  <c r="K128" i="118" s="1"/>
  <c r="AS32" i="8"/>
  <c r="AQ8" i="8"/>
  <c r="O119" i="108"/>
  <c r="O62" i="108"/>
  <c r="O120" i="108" s="1"/>
  <c r="P65" i="108"/>
  <c r="N69" i="108"/>
  <c r="N121" i="108" s="1"/>
  <c r="O72" i="108"/>
  <c r="M76" i="108"/>
  <c r="M122" i="108" s="1"/>
  <c r="N79" i="108"/>
  <c r="O71" i="118"/>
  <c r="P74" i="118"/>
  <c r="F10" i="77"/>
  <c r="F10" i="78"/>
  <c r="F14" i="21"/>
  <c r="F10" i="84"/>
  <c r="F10" i="96"/>
  <c r="G11" i="11"/>
  <c r="F10" i="82"/>
  <c r="F38" i="21"/>
  <c r="F10" i="88"/>
  <c r="F10" i="94"/>
  <c r="G131" i="108"/>
  <c r="G132" i="108"/>
  <c r="G130" i="108"/>
  <c r="U11" i="115"/>
  <c r="T26" i="115"/>
  <c r="M85" i="118"/>
  <c r="N88" i="118"/>
  <c r="J124" i="108"/>
  <c r="AF114" i="118"/>
  <c r="W18" i="118"/>
  <c r="V15" i="118"/>
  <c r="J127" i="118"/>
  <c r="J7" i="118"/>
  <c r="R32" i="118"/>
  <c r="Q29" i="118"/>
  <c r="Q117" i="118" s="1"/>
  <c r="I113" i="118"/>
  <c r="Q13" i="76"/>
  <c r="Q7" i="84"/>
  <c r="Q7" i="94"/>
  <c r="Q7" i="88"/>
  <c r="Q13" i="86"/>
  <c r="Q13" i="95"/>
  <c r="Q13" i="80"/>
  <c r="Q7" i="78"/>
  <c r="Q7" i="77"/>
  <c r="Q13" i="79"/>
  <c r="Q7" i="96"/>
  <c r="Q13" i="74"/>
  <c r="Q13" i="83"/>
  <c r="Q13" i="91"/>
  <c r="Q7" i="82"/>
  <c r="X48" i="108"/>
  <c r="X118" i="108" s="1"/>
  <c r="Y51" i="108"/>
  <c r="AN48" i="108"/>
  <c r="AO51" i="108"/>
  <c r="Q116" i="118"/>
  <c r="V64" i="118"/>
  <c r="V122" i="118" s="1"/>
  <c r="W67" i="118"/>
  <c r="R34" i="108"/>
  <c r="R116" i="108" s="1"/>
  <c r="S37" i="108"/>
  <c r="R14" i="83"/>
  <c r="S14" i="83" s="1"/>
  <c r="S9" i="84"/>
  <c r="T9" i="84" s="1"/>
  <c r="T14" i="83" s="1"/>
  <c r="R14" i="95"/>
  <c r="S14" i="95" s="1"/>
  <c r="S9" i="96"/>
  <c r="T9" i="96" s="1"/>
  <c r="R14" i="86"/>
  <c r="S14" i="86" s="1"/>
  <c r="S9" i="88"/>
  <c r="T9" i="88" s="1"/>
  <c r="R14" i="76"/>
  <c r="S14" i="76" s="1"/>
  <c r="S9" i="77"/>
  <c r="T9" i="77" s="1"/>
  <c r="S43" i="118"/>
  <c r="S119" i="118" s="1"/>
  <c r="T46" i="118"/>
  <c r="L83" i="108"/>
  <c r="M86" i="108"/>
  <c r="T24" i="115"/>
  <c r="S34" i="21" s="1"/>
  <c r="S21" i="14" s="1"/>
  <c r="T36" i="118"/>
  <c r="T118" i="118" s="1"/>
  <c r="U39" i="118"/>
  <c r="I129" i="108"/>
  <c r="H32" i="21"/>
  <c r="H7" i="14"/>
  <c r="H6" i="14" s="1"/>
  <c r="H5" i="14" s="1"/>
  <c r="G6" i="13"/>
  <c r="G5" i="13" s="1"/>
  <c r="M10" i="103" s="1"/>
  <c r="M11" i="103" s="1"/>
  <c r="I5" i="11"/>
  <c r="AN41" i="108"/>
  <c r="AO44" i="108"/>
  <c r="M95" i="118"/>
  <c r="L92" i="118"/>
  <c r="L126" i="118" s="1"/>
  <c r="J113" i="118"/>
  <c r="J130" i="118" s="1"/>
  <c r="W22" i="8"/>
  <c r="P55" i="108"/>
  <c r="Q58" i="108"/>
  <c r="M121" i="108"/>
  <c r="N123" i="118"/>
  <c r="S60" i="118"/>
  <c r="R57" i="118"/>
  <c r="R121" i="118" s="1"/>
  <c r="R50" i="118"/>
  <c r="R120" i="118" s="1"/>
  <c r="S53" i="118"/>
  <c r="I16" i="45"/>
  <c r="E39" i="21"/>
  <c r="E6" i="21"/>
  <c r="E12" i="21" s="1"/>
  <c r="E5" i="21" s="1"/>
  <c r="K90" i="108"/>
  <c r="L93" i="108"/>
  <c r="T20" i="108"/>
  <c r="T114" i="108" s="1"/>
  <c r="U23" i="108"/>
  <c r="G133" i="118"/>
  <c r="G132" i="118"/>
  <c r="G131" i="118"/>
  <c r="G129" i="118"/>
  <c r="AH11" i="118"/>
  <c r="AG8" i="118"/>
  <c r="U115" i="118"/>
  <c r="K99" i="118"/>
  <c r="K127" i="118" s="1"/>
  <c r="L102" i="118"/>
  <c r="V27" i="8"/>
  <c r="AM14" i="8"/>
  <c r="BC34" i="8"/>
  <c r="BA10" i="8"/>
  <c r="AC24" i="8" s="1"/>
  <c r="R22" i="118"/>
  <c r="S25" i="118"/>
  <c r="J97" i="108"/>
  <c r="J125" i="108" s="1"/>
  <c r="J111" i="108" s="1"/>
  <c r="K100" i="108"/>
  <c r="P13" i="83"/>
  <c r="P13" i="95"/>
  <c r="P7" i="78"/>
  <c r="P13" i="86"/>
  <c r="P13" i="76"/>
  <c r="P7" i="82"/>
  <c r="P13" i="80"/>
  <c r="P13" i="79"/>
  <c r="P7" i="84"/>
  <c r="P7" i="88"/>
  <c r="P13" i="91"/>
  <c r="P7" i="94"/>
  <c r="P7" i="96"/>
  <c r="P13" i="74"/>
  <c r="P7" i="77"/>
  <c r="O81" i="118"/>
  <c r="N78" i="118"/>
  <c r="N124" i="118" s="1"/>
  <c r="AQ33" i="8"/>
  <c r="AO9" i="8"/>
  <c r="W23" i="8" s="1"/>
  <c r="R14" i="91"/>
  <c r="S14" i="91" s="1"/>
  <c r="S9" i="94"/>
  <c r="T9" i="94" s="1"/>
  <c r="R14" i="80"/>
  <c r="S14" i="80" s="1"/>
  <c r="S9" i="82"/>
  <c r="T9" i="82" s="1"/>
  <c r="AN13" i="108"/>
  <c r="AO16" i="108"/>
  <c r="X13" i="108"/>
  <c r="X113" i="108" s="1"/>
  <c r="Y16" i="108"/>
  <c r="N22" i="14"/>
  <c r="M13" i="13"/>
  <c r="P10" i="11"/>
  <c r="S30" i="108"/>
  <c r="R27" i="108"/>
  <c r="V10" i="115"/>
  <c r="U9" i="115"/>
  <c r="U25" i="115"/>
  <c r="T6" i="108"/>
  <c r="U9" i="108"/>
  <c r="S112" i="108"/>
  <c r="C65" i="21"/>
  <c r="B62" i="21"/>
  <c r="T13" i="11" l="1"/>
  <c r="G128" i="108"/>
  <c r="G8" i="11" s="1"/>
  <c r="H6" i="13"/>
  <c r="H5" i="13" s="1"/>
  <c r="N10" i="103" s="1"/>
  <c r="N11" i="103" s="1"/>
  <c r="J129" i="108"/>
  <c r="I7" i="14"/>
  <c r="I6" i="14" s="1"/>
  <c r="I5" i="14" s="1"/>
  <c r="J5" i="11"/>
  <c r="I32" i="21"/>
  <c r="Y13" i="108"/>
  <c r="Y113" i="108" s="1"/>
  <c r="Z16" i="108"/>
  <c r="AO13" i="108"/>
  <c r="AP16" i="108"/>
  <c r="T14" i="86"/>
  <c r="T14" i="80"/>
  <c r="T14" i="95"/>
  <c r="R116" i="118"/>
  <c r="AM15" i="8"/>
  <c r="AM16" i="8"/>
  <c r="AM13" i="8"/>
  <c r="V28" i="8" s="1"/>
  <c r="AM17" i="8"/>
  <c r="AH8" i="118"/>
  <c r="AI11" i="118"/>
  <c r="L90" i="108"/>
  <c r="L124" i="108" s="1"/>
  <c r="M93" i="108"/>
  <c r="E11" i="79"/>
  <c r="E10" i="79" s="1"/>
  <c r="E17" i="79" s="1"/>
  <c r="E19" i="79" s="1"/>
  <c r="E11" i="74"/>
  <c r="E10" i="74" s="1"/>
  <c r="E17" i="74" s="1"/>
  <c r="E19" i="74" s="1"/>
  <c r="E18" i="14"/>
  <c r="E17" i="14" s="1"/>
  <c r="J12" i="103" s="1"/>
  <c r="D10" i="13"/>
  <c r="D9" i="13" s="1"/>
  <c r="D15" i="13" s="1"/>
  <c r="E11" i="83"/>
  <c r="E10" i="83" s="1"/>
  <c r="E17" i="83" s="1"/>
  <c r="E19" i="83" s="1"/>
  <c r="E11" i="95"/>
  <c r="E10" i="95" s="1"/>
  <c r="E17" i="95" s="1"/>
  <c r="E19" i="95" s="1"/>
  <c r="E11" i="76"/>
  <c r="E10" i="76" s="1"/>
  <c r="E17" i="76" s="1"/>
  <c r="E19" i="76" s="1"/>
  <c r="E11" i="80"/>
  <c r="E10" i="80" s="1"/>
  <c r="E17" i="80" s="1"/>
  <c r="E19" i="80" s="1"/>
  <c r="E11" i="91"/>
  <c r="E10" i="91" s="1"/>
  <c r="E17" i="91" s="1"/>
  <c r="E19" i="91" s="1"/>
  <c r="E11" i="86"/>
  <c r="E10" i="86" s="1"/>
  <c r="E17" i="86" s="1"/>
  <c r="E19" i="86" s="1"/>
  <c r="T53" i="118"/>
  <c r="S50" i="118"/>
  <c r="S120" i="118" s="1"/>
  <c r="P119" i="108"/>
  <c r="AO41" i="108"/>
  <c r="AP44" i="108"/>
  <c r="I131" i="108"/>
  <c r="I130" i="108"/>
  <c r="I132" i="108"/>
  <c r="J5" i="108"/>
  <c r="W16" i="45" s="1"/>
  <c r="M83" i="108"/>
  <c r="N86" i="108"/>
  <c r="T43" i="118"/>
  <c r="T119" i="118" s="1"/>
  <c r="U46" i="118"/>
  <c r="S34" i="108"/>
  <c r="S116" i="108" s="1"/>
  <c r="T37" i="108"/>
  <c r="AN67" i="118"/>
  <c r="W64" i="118"/>
  <c r="W122" i="118" s="1"/>
  <c r="X67" i="118"/>
  <c r="S32" i="118"/>
  <c r="R29" i="118"/>
  <c r="R117" i="118" s="1"/>
  <c r="V115" i="118"/>
  <c r="O88" i="118"/>
  <c r="N85" i="118"/>
  <c r="N125" i="118" s="1"/>
  <c r="V11" i="115"/>
  <c r="U26" i="115"/>
  <c r="U24" i="115" s="1"/>
  <c r="T34" i="21" s="1"/>
  <c r="P71" i="118"/>
  <c r="Q74" i="118"/>
  <c r="N76" i="108"/>
  <c r="O79" i="108"/>
  <c r="O69" i="108"/>
  <c r="O121" i="108" s="1"/>
  <c r="P72" i="108"/>
  <c r="Q65" i="108"/>
  <c r="P62" i="108"/>
  <c r="P120" i="108" s="1"/>
  <c r="X22" i="8"/>
  <c r="K113" i="118"/>
  <c r="K130" i="118" s="1"/>
  <c r="J127" i="108"/>
  <c r="AQ9" i="8"/>
  <c r="X23" i="8" s="1"/>
  <c r="AS33" i="8"/>
  <c r="O78" i="118"/>
  <c r="O124" i="118" s="1"/>
  <c r="P81" i="118"/>
  <c r="K97" i="108"/>
  <c r="K125" i="108" s="1"/>
  <c r="L100" i="108"/>
  <c r="S22" i="118"/>
  <c r="T25" i="118"/>
  <c r="BE34" i="8"/>
  <c r="BC10" i="8"/>
  <c r="AD24" i="8" s="1"/>
  <c r="M102" i="118"/>
  <c r="L99" i="118"/>
  <c r="AG114" i="118"/>
  <c r="U20" i="108"/>
  <c r="U114" i="108" s="1"/>
  <c r="V23" i="108"/>
  <c r="K124" i="108"/>
  <c r="E11" i="14"/>
  <c r="E10" i="14" s="1"/>
  <c r="E5" i="14" s="1"/>
  <c r="E28" i="14" s="1"/>
  <c r="J5" i="103"/>
  <c r="J11" i="103" s="1"/>
  <c r="S57" i="118"/>
  <c r="S121" i="118" s="1"/>
  <c r="T60" i="118"/>
  <c r="R58" i="108"/>
  <c r="Q55" i="108"/>
  <c r="AO6" i="8"/>
  <c r="J133" i="118"/>
  <c r="J131" i="118"/>
  <c r="J132" i="118"/>
  <c r="M92" i="118"/>
  <c r="M126" i="118" s="1"/>
  <c r="N95" i="118"/>
  <c r="H10" i="94"/>
  <c r="H10" i="96"/>
  <c r="I11" i="11"/>
  <c r="H10" i="78"/>
  <c r="H38" i="21"/>
  <c r="H10" i="82"/>
  <c r="H10" i="77"/>
  <c r="H10" i="88"/>
  <c r="H10" i="84"/>
  <c r="H14" i="21"/>
  <c r="U36" i="118"/>
  <c r="U118" i="118" s="1"/>
  <c r="V39" i="118"/>
  <c r="K7" i="118"/>
  <c r="L123" i="108"/>
  <c r="AO48" i="108"/>
  <c r="AP51" i="108"/>
  <c r="Y48" i="108"/>
  <c r="Y118" i="108" s="1"/>
  <c r="Z51" i="108"/>
  <c r="I130" i="118"/>
  <c r="X18" i="118"/>
  <c r="W15" i="118"/>
  <c r="AN18" i="118"/>
  <c r="M125" i="118"/>
  <c r="E12" i="13"/>
  <c r="F20" i="14" s="1"/>
  <c r="F12" i="21"/>
  <c r="F5" i="21" s="1"/>
  <c r="I17" i="45"/>
  <c r="F39" i="21"/>
  <c r="O123" i="118"/>
  <c r="AU32" i="8"/>
  <c r="AS8" i="8"/>
  <c r="M109" i="118"/>
  <c r="L106" i="118"/>
  <c r="L128" i="118" s="1"/>
  <c r="L107" i="108"/>
  <c r="K104" i="108"/>
  <c r="K126" i="108" s="1"/>
  <c r="Z44" i="108"/>
  <c r="Y41" i="108"/>
  <c r="Y117" i="108" s="1"/>
  <c r="G10" i="88"/>
  <c r="G14" i="21"/>
  <c r="G10" i="84"/>
  <c r="G10" i="78"/>
  <c r="G10" i="96"/>
  <c r="G10" i="77"/>
  <c r="G38" i="21"/>
  <c r="H11" i="11"/>
  <c r="G10" i="94"/>
  <c r="G10" i="82"/>
  <c r="H130" i="108"/>
  <c r="H131" i="108"/>
  <c r="H132" i="108"/>
  <c r="S27" i="108"/>
  <c r="T30" i="108"/>
  <c r="N13" i="13"/>
  <c r="O22" i="14"/>
  <c r="R115" i="108"/>
  <c r="V9" i="115"/>
  <c r="W10" i="115"/>
  <c r="V25" i="115"/>
  <c r="U6" i="108"/>
  <c r="V9" i="108"/>
  <c r="T112" i="108"/>
  <c r="D28" i="21"/>
  <c r="B44" i="21"/>
  <c r="C31" i="21"/>
  <c r="C36" i="21"/>
  <c r="J13" i="103" l="1"/>
  <c r="J129" i="118"/>
  <c r="I128" i="108"/>
  <c r="H128" i="108"/>
  <c r="F12" i="13" s="1"/>
  <c r="G20" i="14" s="1"/>
  <c r="U13" i="11"/>
  <c r="T21" i="14"/>
  <c r="Y22" i="8"/>
  <c r="W115" i="118"/>
  <c r="I19" i="45"/>
  <c r="H39" i="21"/>
  <c r="H12" i="21"/>
  <c r="H5" i="21" s="1"/>
  <c r="Q119" i="108"/>
  <c r="Z41" i="108"/>
  <c r="Z117" i="108" s="1"/>
  <c r="AA44" i="108"/>
  <c r="L104" i="108"/>
  <c r="L126" i="108" s="1"/>
  <c r="M107" i="108"/>
  <c r="N109" i="118"/>
  <c r="M106" i="118"/>
  <c r="M128" i="118" s="1"/>
  <c r="AU8" i="8"/>
  <c r="AW32" i="8"/>
  <c r="F11" i="79"/>
  <c r="F10" i="79" s="1"/>
  <c r="F17" i="79" s="1"/>
  <c r="F19" i="79" s="1"/>
  <c r="F18" i="14"/>
  <c r="F11" i="80"/>
  <c r="F10" i="80" s="1"/>
  <c r="F17" i="80" s="1"/>
  <c r="F19" i="80" s="1"/>
  <c r="F11" i="83"/>
  <c r="F10" i="83" s="1"/>
  <c r="F17" i="83" s="1"/>
  <c r="F19" i="83" s="1"/>
  <c r="F11" i="74"/>
  <c r="F10" i="74" s="1"/>
  <c r="F17" i="74" s="1"/>
  <c r="F19" i="74" s="1"/>
  <c r="F11" i="95"/>
  <c r="F10" i="95" s="1"/>
  <c r="F17" i="95" s="1"/>
  <c r="F19" i="95" s="1"/>
  <c r="F11" i="86"/>
  <c r="F10" i="86" s="1"/>
  <c r="F17" i="86" s="1"/>
  <c r="F19" i="86" s="1"/>
  <c r="F11" i="91"/>
  <c r="F10" i="91" s="1"/>
  <c r="F17" i="91" s="1"/>
  <c r="F19" i="91" s="1"/>
  <c r="E10" i="13"/>
  <c r="F11" i="76"/>
  <c r="F10" i="76" s="1"/>
  <c r="F17" i="76" s="1"/>
  <c r="F19" i="76" s="1"/>
  <c r="AN15" i="118"/>
  <c r="AN115" i="118" s="1"/>
  <c r="AO18" i="118"/>
  <c r="X15" i="118"/>
  <c r="Y18" i="118"/>
  <c r="AA51" i="108"/>
  <c r="Z48" i="108"/>
  <c r="Z118" i="108" s="1"/>
  <c r="AP48" i="108"/>
  <c r="AP118" i="108" s="1"/>
  <c r="AQ51" i="108"/>
  <c r="AQ48" i="108" s="1"/>
  <c r="N92" i="118"/>
  <c r="N126" i="118" s="1"/>
  <c r="O95" i="118"/>
  <c r="AO14" i="8"/>
  <c r="W27" i="8"/>
  <c r="R55" i="108"/>
  <c r="S58" i="108"/>
  <c r="F6" i="115"/>
  <c r="E6" i="107"/>
  <c r="K111" i="108"/>
  <c r="N102" i="118"/>
  <c r="M99" i="118"/>
  <c r="BE10" i="8"/>
  <c r="AE24" i="8" s="1"/>
  <c r="BG34" i="8"/>
  <c r="S116" i="118"/>
  <c r="K127" i="108"/>
  <c r="AQ6" i="8"/>
  <c r="Q62" i="108"/>
  <c r="Q120" i="108" s="1"/>
  <c r="R65" i="108"/>
  <c r="N122" i="108"/>
  <c r="P123" i="118"/>
  <c r="W11" i="115"/>
  <c r="V26" i="115"/>
  <c r="V24" i="115" s="1"/>
  <c r="U34" i="21" s="1"/>
  <c r="O85" i="118"/>
  <c r="P88" i="118"/>
  <c r="S29" i="118"/>
  <c r="S117" i="118" s="1"/>
  <c r="T32" i="118"/>
  <c r="T34" i="108"/>
  <c r="T116" i="108" s="1"/>
  <c r="U37" i="108"/>
  <c r="U43" i="118"/>
  <c r="U119" i="118" s="1"/>
  <c r="V46" i="118"/>
  <c r="N83" i="108"/>
  <c r="N123" i="108" s="1"/>
  <c r="O86" i="108"/>
  <c r="AQ44" i="108"/>
  <c r="AQ41" i="108" s="1"/>
  <c r="AP41" i="108"/>
  <c r="AP117" i="108" s="1"/>
  <c r="T50" i="118"/>
  <c r="T120" i="118" s="1"/>
  <c r="U53" i="118"/>
  <c r="AH114" i="118"/>
  <c r="J132" i="108"/>
  <c r="J130" i="108"/>
  <c r="J131" i="108"/>
  <c r="G12" i="21"/>
  <c r="G5" i="21" s="1"/>
  <c r="I18" i="45"/>
  <c r="G39" i="21"/>
  <c r="I132" i="118"/>
  <c r="I133" i="118"/>
  <c r="I131" i="118"/>
  <c r="I129" i="118"/>
  <c r="V36" i="118"/>
  <c r="V118" i="118" s="1"/>
  <c r="W39" i="118"/>
  <c r="U60" i="118"/>
  <c r="T57" i="118"/>
  <c r="T121" i="118" s="1"/>
  <c r="K5" i="108"/>
  <c r="X16" i="45" s="1"/>
  <c r="W23" i="108"/>
  <c r="V20" i="108"/>
  <c r="V114" i="108" s="1"/>
  <c r="L127" i="118"/>
  <c r="L113" i="118" s="1"/>
  <c r="L130" i="118" s="1"/>
  <c r="L7" i="118"/>
  <c r="T22" i="118"/>
  <c r="U25" i="118"/>
  <c r="L97" i="108"/>
  <c r="M100" i="108"/>
  <c r="Q81" i="118"/>
  <c r="P78" i="118"/>
  <c r="P124" i="118" s="1"/>
  <c r="AS9" i="8"/>
  <c r="Y23" i="8" s="1"/>
  <c r="AU33" i="8"/>
  <c r="K133" i="118"/>
  <c r="K132" i="118"/>
  <c r="K131" i="118"/>
  <c r="K129" i="118" s="1"/>
  <c r="P69" i="108"/>
  <c r="P121" i="108" s="1"/>
  <c r="Q72" i="108"/>
  <c r="O76" i="108"/>
  <c r="P79" i="108"/>
  <c r="R74" i="118"/>
  <c r="Q71" i="118"/>
  <c r="X64" i="118"/>
  <c r="X122" i="118" s="1"/>
  <c r="Y67" i="118"/>
  <c r="AN64" i="118"/>
  <c r="AN122" i="118" s="1"/>
  <c r="AO67" i="118"/>
  <c r="M123" i="108"/>
  <c r="G12" i="13"/>
  <c r="H20" i="14" s="1"/>
  <c r="I8" i="11"/>
  <c r="N93" i="108"/>
  <c r="M90" i="108"/>
  <c r="M124" i="108" s="1"/>
  <c r="AI8" i="118"/>
  <c r="AJ11" i="118"/>
  <c r="AP13" i="108"/>
  <c r="AP113" i="108" s="1"/>
  <c r="AQ16" i="108"/>
  <c r="AQ13" i="108" s="1"/>
  <c r="Z13" i="108"/>
  <c r="Z113" i="108" s="1"/>
  <c r="AA16" i="108"/>
  <c r="J11" i="11"/>
  <c r="I10" i="84"/>
  <c r="I10" i="77"/>
  <c r="I10" i="82"/>
  <c r="I38" i="21"/>
  <c r="I10" i="78"/>
  <c r="I10" i="96"/>
  <c r="I14" i="21"/>
  <c r="I10" i="88"/>
  <c r="I10" i="94"/>
  <c r="T27" i="108"/>
  <c r="U30" i="108"/>
  <c r="R10" i="11"/>
  <c r="S115" i="108"/>
  <c r="X10" i="115"/>
  <c r="W25" i="115"/>
  <c r="W9" i="115"/>
  <c r="W9" i="108"/>
  <c r="V6" i="108"/>
  <c r="U112" i="108"/>
  <c r="C35" i="21"/>
  <c r="C37" i="21" s="1"/>
  <c r="C33" i="21"/>
  <c r="D27" i="21"/>
  <c r="B28" i="21"/>
  <c r="J128" i="108" l="1"/>
  <c r="J8" i="11" s="1"/>
  <c r="H8" i="11"/>
  <c r="L132" i="118"/>
  <c r="L133" i="118"/>
  <c r="L131" i="118"/>
  <c r="V13" i="11"/>
  <c r="U21" i="14"/>
  <c r="I39" i="21"/>
  <c r="I20" i="45"/>
  <c r="I12" i="21"/>
  <c r="I5" i="21" s="1"/>
  <c r="AA13" i="108"/>
  <c r="AA113" i="108" s="1"/>
  <c r="AB16" i="108"/>
  <c r="AQ113" i="108"/>
  <c r="AI114" i="118"/>
  <c r="N90" i="108"/>
  <c r="N124" i="108" s="1"/>
  <c r="O93" i="108"/>
  <c r="R71" i="118"/>
  <c r="S74" i="118"/>
  <c r="O122" i="108"/>
  <c r="AW33" i="8"/>
  <c r="AU9" i="8"/>
  <c r="Z23" i="8" s="1"/>
  <c r="M97" i="108"/>
  <c r="M125" i="108" s="1"/>
  <c r="N100" i="108"/>
  <c r="U22" i="118"/>
  <c r="V25" i="118"/>
  <c r="U57" i="118"/>
  <c r="U121" i="118" s="1"/>
  <c r="V60" i="118"/>
  <c r="G11" i="76"/>
  <c r="G10" i="76" s="1"/>
  <c r="G17" i="76" s="1"/>
  <c r="G19" i="76" s="1"/>
  <c r="G11" i="79"/>
  <c r="G10" i="79" s="1"/>
  <c r="G17" i="79" s="1"/>
  <c r="G19" i="79" s="1"/>
  <c r="G11" i="74"/>
  <c r="G10" i="74" s="1"/>
  <c r="G17" i="74" s="1"/>
  <c r="G19" i="74" s="1"/>
  <c r="G11" i="91"/>
  <c r="G10" i="91" s="1"/>
  <c r="G17" i="91" s="1"/>
  <c r="G19" i="91" s="1"/>
  <c r="G11" i="86"/>
  <c r="G10" i="86" s="1"/>
  <c r="G17" i="86" s="1"/>
  <c r="G19" i="86" s="1"/>
  <c r="G18" i="14"/>
  <c r="G17" i="14" s="1"/>
  <c r="G11" i="95"/>
  <c r="G10" i="95" s="1"/>
  <c r="G17" i="95" s="1"/>
  <c r="G19" i="95" s="1"/>
  <c r="G11" i="83"/>
  <c r="G10" i="83" s="1"/>
  <c r="G17" i="83" s="1"/>
  <c r="G19" i="83" s="1"/>
  <c r="G11" i="80"/>
  <c r="G10" i="80" s="1"/>
  <c r="G17" i="80" s="1"/>
  <c r="G19" i="80" s="1"/>
  <c r="F10" i="13"/>
  <c r="F9" i="13" s="1"/>
  <c r="F15" i="13" s="1"/>
  <c r="AQ117" i="108"/>
  <c r="Q88" i="118"/>
  <c r="P85" i="118"/>
  <c r="P125" i="118" s="1"/>
  <c r="S65" i="108"/>
  <c r="R62" i="108"/>
  <c r="R120" i="108" s="1"/>
  <c r="X27" i="8"/>
  <c r="AQ14" i="8"/>
  <c r="BI34" i="8"/>
  <c r="BG10" i="8"/>
  <c r="AF24" i="8" s="1"/>
  <c r="M127" i="118"/>
  <c r="M7" i="118"/>
  <c r="S55" i="108"/>
  <c r="T58" i="108"/>
  <c r="P95" i="118"/>
  <c r="O92" i="118"/>
  <c r="O126" i="118" s="1"/>
  <c r="AQ118" i="108"/>
  <c r="X115" i="118"/>
  <c r="Z22" i="8"/>
  <c r="AU6" i="8"/>
  <c r="O109" i="118"/>
  <c r="N106" i="118"/>
  <c r="N128" i="118" s="1"/>
  <c r="H11" i="79"/>
  <c r="H10" i="79" s="1"/>
  <c r="H17" i="79" s="1"/>
  <c r="H19" i="79" s="1"/>
  <c r="H11" i="76"/>
  <c r="H10" i="76" s="1"/>
  <c r="H17" i="76" s="1"/>
  <c r="H19" i="76" s="1"/>
  <c r="H11" i="80"/>
  <c r="H10" i="80" s="1"/>
  <c r="H17" i="80" s="1"/>
  <c r="H19" i="80" s="1"/>
  <c r="G10" i="13"/>
  <c r="G9" i="13" s="1"/>
  <c r="G15" i="13" s="1"/>
  <c r="H11" i="83"/>
  <c r="H10" i="83" s="1"/>
  <c r="H17" i="83" s="1"/>
  <c r="H19" i="83" s="1"/>
  <c r="H11" i="95"/>
  <c r="H10" i="95" s="1"/>
  <c r="H17" i="95" s="1"/>
  <c r="H19" i="95" s="1"/>
  <c r="H18" i="14"/>
  <c r="H17" i="14" s="1"/>
  <c r="H11" i="86"/>
  <c r="H10" i="86" s="1"/>
  <c r="H17" i="86" s="1"/>
  <c r="H19" i="86" s="1"/>
  <c r="H11" i="74"/>
  <c r="H10" i="74" s="1"/>
  <c r="H17" i="74" s="1"/>
  <c r="H19" i="74" s="1"/>
  <c r="H11" i="91"/>
  <c r="H10" i="91" s="1"/>
  <c r="H17" i="91" s="1"/>
  <c r="H19" i="91" s="1"/>
  <c r="AK11" i="118"/>
  <c r="AJ8" i="118"/>
  <c r="AO64" i="118"/>
  <c r="AO122" i="118" s="1"/>
  <c r="AP67" i="118"/>
  <c r="Z67" i="118"/>
  <c r="Y64" i="118"/>
  <c r="Y122" i="118" s="1"/>
  <c r="Q123" i="118"/>
  <c r="P76" i="108"/>
  <c r="P122" i="108" s="1"/>
  <c r="Q79" i="108"/>
  <c r="Q69" i="108"/>
  <c r="Q121" i="108" s="1"/>
  <c r="R72" i="108"/>
  <c r="R81" i="118"/>
  <c r="Q78" i="118"/>
  <c r="Q124" i="118" s="1"/>
  <c r="L125" i="108"/>
  <c r="L111" i="108" s="1"/>
  <c r="L127" i="108" s="1"/>
  <c r="L5" i="108"/>
  <c r="U18" i="45" s="1"/>
  <c r="T116" i="118"/>
  <c r="AN23" i="108"/>
  <c r="W20" i="108"/>
  <c r="W114" i="108" s="1"/>
  <c r="X23" i="108"/>
  <c r="W36" i="118"/>
  <c r="W118" i="118" s="1"/>
  <c r="X39" i="118"/>
  <c r="AN39" i="118"/>
  <c r="H12" i="13"/>
  <c r="I20" i="14" s="1"/>
  <c r="U50" i="118"/>
  <c r="U120" i="118" s="1"/>
  <c r="V53" i="118"/>
  <c r="O83" i="108"/>
  <c r="O123" i="108" s="1"/>
  <c r="P86" i="108"/>
  <c r="V43" i="118"/>
  <c r="V119" i="118" s="1"/>
  <c r="W46" i="118"/>
  <c r="U34" i="108"/>
  <c r="U116" i="108" s="1"/>
  <c r="V37" i="108"/>
  <c r="U32" i="118"/>
  <c r="T29" i="118"/>
  <c r="T117" i="118" s="1"/>
  <c r="O125" i="118"/>
  <c r="X11" i="115"/>
  <c r="W26" i="115"/>
  <c r="W24" i="115" s="1"/>
  <c r="V34" i="21" s="1"/>
  <c r="N99" i="118"/>
  <c r="O102" i="118"/>
  <c r="J32" i="21"/>
  <c r="K5" i="11"/>
  <c r="J7" i="14"/>
  <c r="J6" i="14" s="1"/>
  <c r="J5" i="14" s="1"/>
  <c r="K129" i="108"/>
  <c r="I6" i="13"/>
  <c r="I5" i="13" s="1"/>
  <c r="O10" i="103" s="1"/>
  <c r="O11" i="103" s="1"/>
  <c r="R119" i="108"/>
  <c r="AO17" i="8"/>
  <c r="AO16" i="8"/>
  <c r="AO13" i="8"/>
  <c r="W28" i="8" s="1"/>
  <c r="AO15" i="8"/>
  <c r="AA48" i="108"/>
  <c r="AA118" i="108" s="1"/>
  <c r="AB51" i="108"/>
  <c r="Y15" i="118"/>
  <c r="Z18" i="118"/>
  <c r="AO15" i="118"/>
  <c r="AO115" i="118" s="1"/>
  <c r="AP18" i="118"/>
  <c r="AW8" i="8"/>
  <c r="AY32" i="8"/>
  <c r="M113" i="118"/>
  <c r="M130" i="118" s="1"/>
  <c r="M104" i="108"/>
  <c r="M126" i="108" s="1"/>
  <c r="M111" i="108" s="1"/>
  <c r="N107" i="108"/>
  <c r="AB44" i="108"/>
  <c r="AA41" i="108"/>
  <c r="AA117" i="108" s="1"/>
  <c r="AS6" i="8"/>
  <c r="U27" i="108"/>
  <c r="V30" i="108"/>
  <c r="S10" i="11"/>
  <c r="P13" i="13"/>
  <c r="Q22" i="14"/>
  <c r="T115" i="108"/>
  <c r="Y10" i="115"/>
  <c r="X25" i="115"/>
  <c r="X9" i="115"/>
  <c r="V112" i="108"/>
  <c r="X9" i="108"/>
  <c r="W6" i="108"/>
  <c r="D65" i="21"/>
  <c r="D36" i="21" s="1"/>
  <c r="P36" i="21" s="1"/>
  <c r="B27" i="21"/>
  <c r="E9" i="102"/>
  <c r="E9" i="117"/>
  <c r="C14" i="21"/>
  <c r="C11" i="82"/>
  <c r="D12" i="11"/>
  <c r="C11" i="78"/>
  <c r="C11" i="88"/>
  <c r="C11" i="96"/>
  <c r="C11" i="94"/>
  <c r="C11" i="77"/>
  <c r="C11" i="84"/>
  <c r="C38" i="21"/>
  <c r="L129" i="118" l="1"/>
  <c r="W13" i="11"/>
  <c r="V21" i="14"/>
  <c r="L7" i="14"/>
  <c r="L6" i="14" s="1"/>
  <c r="L5" i="14" s="1"/>
  <c r="M129" i="108"/>
  <c r="M5" i="11"/>
  <c r="L32" i="21"/>
  <c r="K6" i="13"/>
  <c r="K5" i="13" s="1"/>
  <c r="Q10" i="103" s="1"/>
  <c r="Q11" i="103" s="1"/>
  <c r="AC44" i="108"/>
  <c r="AB41" i="108"/>
  <c r="AB117" i="108" s="1"/>
  <c r="BA32" i="8"/>
  <c r="AY8" i="8"/>
  <c r="AP15" i="118"/>
  <c r="AP115" i="118" s="1"/>
  <c r="AQ18" i="118"/>
  <c r="AQ15" i="118" s="1"/>
  <c r="Z15" i="118"/>
  <c r="AA18" i="118"/>
  <c r="AB48" i="108"/>
  <c r="AB118" i="108" s="1"/>
  <c r="AC51" i="108"/>
  <c r="J14" i="21"/>
  <c r="J10" i="77"/>
  <c r="J10" i="88"/>
  <c r="K11" i="11"/>
  <c r="J10" i="96"/>
  <c r="J38" i="21"/>
  <c r="J10" i="84"/>
  <c r="J10" i="82"/>
  <c r="J10" i="78"/>
  <c r="J10" i="94"/>
  <c r="N127" i="118"/>
  <c r="N7" i="118"/>
  <c r="M127" i="108"/>
  <c r="V34" i="108"/>
  <c r="V116" i="108" s="1"/>
  <c r="W37" i="108"/>
  <c r="W43" i="118"/>
  <c r="W119" i="118" s="1"/>
  <c r="X46" i="118"/>
  <c r="AN46" i="118"/>
  <c r="P83" i="108"/>
  <c r="P123" i="108" s="1"/>
  <c r="Q86" i="108"/>
  <c r="V50" i="118"/>
  <c r="V120" i="118" s="1"/>
  <c r="W53" i="118"/>
  <c r="AO39" i="118"/>
  <c r="AN36" i="118"/>
  <c r="AN118" i="118" s="1"/>
  <c r="R69" i="108"/>
  <c r="S72" i="108"/>
  <c r="Q76" i="108"/>
  <c r="R79" i="108"/>
  <c r="AQ67" i="118"/>
  <c r="AQ64" i="118" s="1"/>
  <c r="AP64" i="118"/>
  <c r="AP122" i="118" s="1"/>
  <c r="M5" i="108"/>
  <c r="V18" i="45" s="1"/>
  <c r="AL11" i="118"/>
  <c r="AK8" i="118"/>
  <c r="M12" i="103"/>
  <c r="M13" i="103" s="1"/>
  <c r="H28" i="14"/>
  <c r="N113" i="118"/>
  <c r="N130" i="118" s="1"/>
  <c r="AY14" i="8"/>
  <c r="BA14" i="8"/>
  <c r="BC14" i="8"/>
  <c r="BI14" i="8"/>
  <c r="BE14" i="8"/>
  <c r="AW14" i="8"/>
  <c r="AU14" i="8"/>
  <c r="BG14" i="8"/>
  <c r="Z27" i="8"/>
  <c r="T55" i="108"/>
  <c r="U58" i="108"/>
  <c r="S62" i="108"/>
  <c r="S120" i="108" s="1"/>
  <c r="T65" i="108"/>
  <c r="Q85" i="118"/>
  <c r="Q125" i="118" s="1"/>
  <c r="R88" i="118"/>
  <c r="L12" i="103"/>
  <c r="L13" i="103" s="1"/>
  <c r="G28" i="14"/>
  <c r="V57" i="118"/>
  <c r="V121" i="118" s="1"/>
  <c r="W60" i="118"/>
  <c r="V22" i="118"/>
  <c r="W25" i="118"/>
  <c r="N97" i="108"/>
  <c r="O100" i="108"/>
  <c r="S71" i="118"/>
  <c r="T74" i="118"/>
  <c r="Y27" i="8"/>
  <c r="AS14" i="8"/>
  <c r="N104" i="108"/>
  <c r="N126" i="108" s="1"/>
  <c r="O107" i="108"/>
  <c r="M131" i="118"/>
  <c r="M129" i="118" s="1"/>
  <c r="M132" i="118"/>
  <c r="M133" i="118"/>
  <c r="AA22" i="8"/>
  <c r="Y115" i="118"/>
  <c r="K132" i="108"/>
  <c r="K130" i="108"/>
  <c r="K131" i="108"/>
  <c r="O99" i="118"/>
  <c r="P102" i="118"/>
  <c r="Y11" i="115"/>
  <c r="X26" i="115"/>
  <c r="X24" i="115" s="1"/>
  <c r="W34" i="21" s="1"/>
  <c r="V32" i="118"/>
  <c r="U29" i="118"/>
  <c r="U117" i="118" s="1"/>
  <c r="X36" i="118"/>
  <c r="X118" i="118" s="1"/>
  <c r="Y39" i="118"/>
  <c r="X20" i="108"/>
  <c r="X114" i="108" s="1"/>
  <c r="Y23" i="108"/>
  <c r="AN20" i="108"/>
  <c r="AO23" i="108"/>
  <c r="J6" i="13"/>
  <c r="J5" i="13" s="1"/>
  <c r="P10" i="103" s="1"/>
  <c r="P11" i="103" s="1"/>
  <c r="K32" i="21"/>
  <c r="L5" i="11"/>
  <c r="K7" i="14"/>
  <c r="K6" i="14" s="1"/>
  <c r="K5" i="14" s="1"/>
  <c r="L129" i="108"/>
  <c r="R78" i="118"/>
  <c r="R124" i="118" s="1"/>
  <c r="S81" i="118"/>
  <c r="Z64" i="118"/>
  <c r="Z122" i="118" s="1"/>
  <c r="AA67" i="118"/>
  <c r="AJ114" i="118"/>
  <c r="P109" i="118"/>
  <c r="O106" i="118"/>
  <c r="O128" i="118" s="1"/>
  <c r="Q95" i="118"/>
  <c r="P92" i="118"/>
  <c r="S119" i="108"/>
  <c r="BI10" i="8"/>
  <c r="AG24" i="8" s="1"/>
  <c r="BK34" i="8"/>
  <c r="AQ15" i="8"/>
  <c r="AQ13" i="8"/>
  <c r="X28" i="8" s="1"/>
  <c r="AQ16" i="8"/>
  <c r="AQ17" i="8"/>
  <c r="U116" i="118"/>
  <c r="AY33" i="8"/>
  <c r="AW9" i="8"/>
  <c r="AA23" i="8" s="1"/>
  <c r="R123" i="118"/>
  <c r="O90" i="108"/>
  <c r="O124" i="108" s="1"/>
  <c r="P93" i="108"/>
  <c r="AC16" i="108"/>
  <c r="AB13" i="108"/>
  <c r="I11" i="83"/>
  <c r="I10" i="83" s="1"/>
  <c r="I17" i="83" s="1"/>
  <c r="I19" i="83" s="1"/>
  <c r="I11" i="91"/>
  <c r="I10" i="91" s="1"/>
  <c r="I17" i="91" s="1"/>
  <c r="I19" i="91" s="1"/>
  <c r="H10" i="13"/>
  <c r="H9" i="13" s="1"/>
  <c r="H15" i="13" s="1"/>
  <c r="I18" i="14"/>
  <c r="I17" i="14" s="1"/>
  <c r="I11" i="86"/>
  <c r="I10" i="86" s="1"/>
  <c r="I17" i="86" s="1"/>
  <c r="I19" i="86" s="1"/>
  <c r="I11" i="95"/>
  <c r="I10" i="95" s="1"/>
  <c r="I17" i="95" s="1"/>
  <c r="I19" i="95" s="1"/>
  <c r="I11" i="74"/>
  <c r="I10" i="74" s="1"/>
  <c r="I17" i="74" s="1"/>
  <c r="I19" i="74" s="1"/>
  <c r="I11" i="79"/>
  <c r="I10" i="79" s="1"/>
  <c r="I17" i="79" s="1"/>
  <c r="I19" i="79" s="1"/>
  <c r="I11" i="80"/>
  <c r="I10" i="80" s="1"/>
  <c r="I17" i="80" s="1"/>
  <c r="I19" i="80" s="1"/>
  <c r="I11" i="76"/>
  <c r="I10" i="76" s="1"/>
  <c r="I17" i="76" s="1"/>
  <c r="I19" i="76" s="1"/>
  <c r="V27" i="108"/>
  <c r="W30" i="108"/>
  <c r="T10" i="11"/>
  <c r="R22" i="14"/>
  <c r="Q13" i="13"/>
  <c r="U115" i="108"/>
  <c r="Z10" i="115"/>
  <c r="Y9" i="115"/>
  <c r="Y25" i="115"/>
  <c r="Y9" i="108"/>
  <c r="X6" i="108"/>
  <c r="W112" i="108"/>
  <c r="G9" i="117"/>
  <c r="B36" i="21"/>
  <c r="D31" i="21"/>
  <c r="P31" i="21" s="1"/>
  <c r="B65" i="21"/>
  <c r="C39" i="21"/>
  <c r="I14" i="45"/>
  <c r="C6" i="21"/>
  <c r="G9" i="102"/>
  <c r="K128" i="108" l="1"/>
  <c r="I12" i="13" s="1"/>
  <c r="J20" i="14" s="1"/>
  <c r="W21" i="14"/>
  <c r="X13" i="11"/>
  <c r="AD16" i="108"/>
  <c r="AC13" i="108"/>
  <c r="AC113" i="108" s="1"/>
  <c r="BM34" i="8"/>
  <c r="BK10" i="8"/>
  <c r="AH24" i="8" s="1"/>
  <c r="P126" i="118"/>
  <c r="AA64" i="118"/>
  <c r="AA122" i="118" s="1"/>
  <c r="AB67" i="118"/>
  <c r="T81" i="118"/>
  <c r="S78" i="118"/>
  <c r="S124" i="118" s="1"/>
  <c r="L131" i="108"/>
  <c r="L132" i="108"/>
  <c r="L130" i="108"/>
  <c r="AP23" i="108"/>
  <c r="AO20" i="108"/>
  <c r="Y20" i="108"/>
  <c r="Y114" i="108" s="1"/>
  <c r="Z23" i="108"/>
  <c r="Y36" i="118"/>
  <c r="Y118" i="118" s="1"/>
  <c r="Z39" i="118"/>
  <c r="P99" i="118"/>
  <c r="P127" i="118" s="1"/>
  <c r="Q102" i="118"/>
  <c r="K8" i="11"/>
  <c r="S123" i="118"/>
  <c r="O97" i="108"/>
  <c r="O125" i="108" s="1"/>
  <c r="P100" i="108"/>
  <c r="X25" i="118"/>
  <c r="W22" i="118"/>
  <c r="AN25" i="118"/>
  <c r="W57" i="118"/>
  <c r="W121" i="118" s="1"/>
  <c r="X60" i="118"/>
  <c r="AN60" i="118"/>
  <c r="H6" i="115"/>
  <c r="G6" i="107"/>
  <c r="R85" i="118"/>
  <c r="S88" i="118"/>
  <c r="U65" i="108"/>
  <c r="T62" i="108"/>
  <c r="T120" i="108" s="1"/>
  <c r="U55" i="108"/>
  <c r="V58" i="108"/>
  <c r="BG13" i="8"/>
  <c r="AF28" i="8" s="1"/>
  <c r="BG15" i="8"/>
  <c r="BG16" i="8"/>
  <c r="BG17" i="8"/>
  <c r="AW13" i="8"/>
  <c r="AA28" i="8" s="1"/>
  <c r="AW16" i="8"/>
  <c r="AW17" i="8"/>
  <c r="AW15" i="8"/>
  <c r="BI13" i="8"/>
  <c r="AG28" i="8" s="1"/>
  <c r="BI17" i="8"/>
  <c r="BI16" i="8"/>
  <c r="BI15" i="8"/>
  <c r="BA17" i="8"/>
  <c r="BA16" i="8"/>
  <c r="BA13" i="8"/>
  <c r="AC28" i="8" s="1"/>
  <c r="BA15" i="8"/>
  <c r="N131" i="118"/>
  <c r="N133" i="118"/>
  <c r="N132" i="118"/>
  <c r="AL8" i="118"/>
  <c r="AM11" i="118"/>
  <c r="Q122" i="108"/>
  <c r="R121" i="108"/>
  <c r="AN53" i="118"/>
  <c r="W50" i="118"/>
  <c r="W120" i="118" s="1"/>
  <c r="X53" i="118"/>
  <c r="Q83" i="108"/>
  <c r="Q123" i="108" s="1"/>
  <c r="R86" i="108"/>
  <c r="AN43" i="118"/>
  <c r="AN119" i="118" s="1"/>
  <c r="AO46" i="118"/>
  <c r="AD51" i="108"/>
  <c r="AC48" i="108"/>
  <c r="AA15" i="118"/>
  <c r="AB18" i="118"/>
  <c r="AQ115" i="118"/>
  <c r="AB22" i="8"/>
  <c r="N12" i="103"/>
  <c r="N13" i="103" s="1"/>
  <c r="I28" i="14"/>
  <c r="AB113" i="108"/>
  <c r="P90" i="108"/>
  <c r="Q93" i="108"/>
  <c r="AY9" i="8"/>
  <c r="AB23" i="8" s="1"/>
  <c r="BA33" i="8"/>
  <c r="Q92" i="118"/>
  <c r="Q126" i="118" s="1"/>
  <c r="R95" i="118"/>
  <c r="Q109" i="118"/>
  <c r="P106" i="118"/>
  <c r="P128" i="118" s="1"/>
  <c r="P113" i="118" s="1"/>
  <c r="P130" i="118" s="1"/>
  <c r="K10" i="96"/>
  <c r="K10" i="94"/>
  <c r="K10" i="77"/>
  <c r="L11" i="11"/>
  <c r="K38" i="21"/>
  <c r="K10" i="82"/>
  <c r="K10" i="78"/>
  <c r="K14" i="21"/>
  <c r="K10" i="88"/>
  <c r="K10" i="84"/>
  <c r="V29" i="118"/>
  <c r="V117" i="118" s="1"/>
  <c r="W32" i="118"/>
  <c r="Z11" i="115"/>
  <c r="Y26" i="115"/>
  <c r="Y24" i="115" s="1"/>
  <c r="X34" i="21" s="1"/>
  <c r="O127" i="118"/>
  <c r="O113" i="118" s="1"/>
  <c r="O130" i="118" s="1"/>
  <c r="O7" i="118"/>
  <c r="AW6" i="8"/>
  <c r="AA27" i="8" s="1"/>
  <c r="O104" i="108"/>
  <c r="O126" i="108" s="1"/>
  <c r="O111" i="108" s="1"/>
  <c r="P107" i="108"/>
  <c r="AS16" i="8"/>
  <c r="AS17" i="8"/>
  <c r="AS13" i="8"/>
  <c r="Y28" i="8" s="1"/>
  <c r="AS15" i="8"/>
  <c r="T71" i="118"/>
  <c r="U74" i="118"/>
  <c r="O5" i="108"/>
  <c r="X18" i="45" s="1"/>
  <c r="N125" i="108"/>
  <c r="N5" i="108"/>
  <c r="W18" i="45" s="1"/>
  <c r="V116" i="118"/>
  <c r="T119" i="108"/>
  <c r="AU13" i="8"/>
  <c r="Z28" i="8" s="1"/>
  <c r="AU17" i="8"/>
  <c r="AU16" i="8"/>
  <c r="AU15" i="8"/>
  <c r="BE17" i="8"/>
  <c r="BE15" i="8"/>
  <c r="BE16" i="8"/>
  <c r="BE13" i="8"/>
  <c r="AE28" i="8" s="1"/>
  <c r="BC13" i="8"/>
  <c r="AD28" i="8" s="1"/>
  <c r="BC17" i="8"/>
  <c r="BC15" i="8"/>
  <c r="BC16" i="8"/>
  <c r="AY15" i="8"/>
  <c r="AY17" i="8"/>
  <c r="AY16" i="8"/>
  <c r="AY13" i="8"/>
  <c r="AB28" i="8" s="1"/>
  <c r="H6" i="107"/>
  <c r="H5" i="107" s="1"/>
  <c r="H34" i="107" s="1"/>
  <c r="I7" i="107" s="1"/>
  <c r="I6" i="115"/>
  <c r="AK114" i="118"/>
  <c r="AQ122" i="118"/>
  <c r="R76" i="108"/>
  <c r="R122" i="108" s="1"/>
  <c r="S79" i="108"/>
  <c r="S69" i="108"/>
  <c r="T72" i="108"/>
  <c r="AO36" i="118"/>
  <c r="AO118" i="118" s="1"/>
  <c r="AP39" i="118"/>
  <c r="Y46" i="118"/>
  <c r="X43" i="118"/>
  <c r="X119" i="118" s="1"/>
  <c r="W34" i="108"/>
  <c r="W116" i="108" s="1"/>
  <c r="X37" i="108"/>
  <c r="AN37" i="108"/>
  <c r="J12" i="21"/>
  <c r="J5" i="21" s="1"/>
  <c r="I21" i="45"/>
  <c r="J39" i="21"/>
  <c r="Z115" i="118"/>
  <c r="BA8" i="8"/>
  <c r="BC32" i="8"/>
  <c r="AD44" i="108"/>
  <c r="AC41" i="108"/>
  <c r="L10" i="77"/>
  <c r="L10" i="88"/>
  <c r="L10" i="96"/>
  <c r="L10" i="78"/>
  <c r="L10" i="82"/>
  <c r="L38" i="21"/>
  <c r="L10" i="84"/>
  <c r="L10" i="94"/>
  <c r="L14" i="21"/>
  <c r="M11" i="11"/>
  <c r="M131" i="108"/>
  <c r="M132" i="108"/>
  <c r="M130" i="108"/>
  <c r="V115" i="108"/>
  <c r="U10" i="11"/>
  <c r="S22" i="14"/>
  <c r="R13" i="13"/>
  <c r="X30" i="108"/>
  <c r="W27" i="108"/>
  <c r="AN30" i="108"/>
  <c r="AA10" i="115"/>
  <c r="Z9" i="115"/>
  <c r="Z25" i="115"/>
  <c r="Z9" i="108"/>
  <c r="Y6" i="108"/>
  <c r="X112" i="108"/>
  <c r="C11" i="14"/>
  <c r="H5" i="103"/>
  <c r="C11" i="83"/>
  <c r="C11" i="80"/>
  <c r="B10" i="13"/>
  <c r="C11" i="74"/>
  <c r="C11" i="91"/>
  <c r="C11" i="86"/>
  <c r="C11" i="79"/>
  <c r="C11" i="76"/>
  <c r="C11" i="95"/>
  <c r="C18" i="14"/>
  <c r="F9" i="102"/>
  <c r="C12" i="21"/>
  <c r="B31" i="21"/>
  <c r="D35" i="21"/>
  <c r="P35" i="21" s="1"/>
  <c r="P37" i="21" s="1"/>
  <c r="D33" i="21"/>
  <c r="P33" i="21" s="1"/>
  <c r="F9" i="117"/>
  <c r="N129" i="118" l="1"/>
  <c r="L128" i="108"/>
  <c r="J12" i="13" s="1"/>
  <c r="K20" i="14" s="1"/>
  <c r="M128" i="108"/>
  <c r="M8" i="11" s="1"/>
  <c r="K12" i="13"/>
  <c r="L20" i="14" s="1"/>
  <c r="O129" i="108"/>
  <c r="O5" i="11"/>
  <c r="N32" i="21"/>
  <c r="M6" i="13"/>
  <c r="M5" i="13" s="1"/>
  <c r="S10" i="103" s="1"/>
  <c r="S11" i="103" s="1"/>
  <c r="N7" i="14"/>
  <c r="N6" i="14" s="1"/>
  <c r="N5" i="14" s="1"/>
  <c r="X21" i="14"/>
  <c r="Y13" i="11"/>
  <c r="O132" i="118"/>
  <c r="O133" i="118"/>
  <c r="O131" i="118"/>
  <c r="Z46" i="118"/>
  <c r="Y43" i="118"/>
  <c r="Y119" i="118" s="1"/>
  <c r="I23" i="45"/>
  <c r="L12" i="21"/>
  <c r="L5" i="21" s="1"/>
  <c r="L39" i="21"/>
  <c r="AD41" i="108"/>
  <c r="AD117" i="108" s="1"/>
  <c r="AE44" i="108"/>
  <c r="AC22" i="8"/>
  <c r="X34" i="108"/>
  <c r="X116" i="108" s="1"/>
  <c r="Y37" i="108"/>
  <c r="AQ39" i="118"/>
  <c r="AQ36" i="118" s="1"/>
  <c r="AP36" i="118"/>
  <c r="AP118" i="118" s="1"/>
  <c r="T69" i="108"/>
  <c r="U72" i="108"/>
  <c r="S76" i="108"/>
  <c r="S122" i="108" s="1"/>
  <c r="T79" i="108"/>
  <c r="T123" i="118"/>
  <c r="X32" i="118"/>
  <c r="W29" i="118"/>
  <c r="W117" i="118" s="1"/>
  <c r="AN32" i="118"/>
  <c r="I22" i="45"/>
  <c r="K39" i="21"/>
  <c r="K12" i="21"/>
  <c r="K5" i="21" s="1"/>
  <c r="P131" i="118"/>
  <c r="P132" i="118"/>
  <c r="P133" i="118"/>
  <c r="R92" i="118"/>
  <c r="R126" i="118" s="1"/>
  <c r="S95" i="118"/>
  <c r="BC33" i="8"/>
  <c r="BA9" i="8"/>
  <c r="AC23" i="8" s="1"/>
  <c r="R93" i="108"/>
  <c r="Q90" i="108"/>
  <c r="Q124" i="108" s="1"/>
  <c r="I6" i="107"/>
  <c r="J6" i="115"/>
  <c r="AY6" i="8"/>
  <c r="AB27" i="8" s="1"/>
  <c r="AB15" i="118"/>
  <c r="AC18" i="118"/>
  <c r="AC118" i="108"/>
  <c r="AP46" i="118"/>
  <c r="AO43" i="118"/>
  <c r="AO119" i="118" s="1"/>
  <c r="R83" i="108"/>
  <c r="R123" i="108" s="1"/>
  <c r="S86" i="108"/>
  <c r="Y53" i="118"/>
  <c r="X50" i="118"/>
  <c r="X120" i="118" s="1"/>
  <c r="AN50" i="118"/>
  <c r="AN120" i="118" s="1"/>
  <c r="AO53" i="118"/>
  <c r="AN11" i="118"/>
  <c r="AM8" i="118"/>
  <c r="V55" i="108"/>
  <c r="W58" i="108"/>
  <c r="S85" i="118"/>
  <c r="T88" i="118"/>
  <c r="AO60" i="118"/>
  <c r="AN57" i="118"/>
  <c r="AN121" i="118" s="1"/>
  <c r="W116" i="118"/>
  <c r="P97" i="108"/>
  <c r="P125" i="108" s="1"/>
  <c r="Q100" i="108"/>
  <c r="Q99" i="118"/>
  <c r="Q127" i="118" s="1"/>
  <c r="R102" i="118"/>
  <c r="Z36" i="118"/>
  <c r="Z118" i="118" s="1"/>
  <c r="AA39" i="118"/>
  <c r="Z20" i="108"/>
  <c r="Z114" i="108" s="1"/>
  <c r="AA23" i="108"/>
  <c r="AB64" i="118"/>
  <c r="AC67" i="118"/>
  <c r="BO34" i="8"/>
  <c r="BM10" i="8"/>
  <c r="AI24" i="8" s="1"/>
  <c r="AC117" i="108"/>
  <c r="BE32" i="8"/>
  <c r="BC8" i="8"/>
  <c r="J11" i="91"/>
  <c r="J10" i="91" s="1"/>
  <c r="J17" i="91" s="1"/>
  <c r="J19" i="91" s="1"/>
  <c r="J11" i="74"/>
  <c r="J10" i="74" s="1"/>
  <c r="J17" i="74" s="1"/>
  <c r="J19" i="74" s="1"/>
  <c r="J11" i="95"/>
  <c r="J10" i="95" s="1"/>
  <c r="J17" i="95" s="1"/>
  <c r="J19" i="95" s="1"/>
  <c r="I10" i="13"/>
  <c r="J11" i="86"/>
  <c r="J10" i="86" s="1"/>
  <c r="J17" i="86" s="1"/>
  <c r="J19" i="86" s="1"/>
  <c r="J11" i="79"/>
  <c r="J10" i="79" s="1"/>
  <c r="J17" i="79" s="1"/>
  <c r="J19" i="79" s="1"/>
  <c r="J11" i="83"/>
  <c r="J10" i="83" s="1"/>
  <c r="J17" i="83" s="1"/>
  <c r="J19" i="83" s="1"/>
  <c r="J18" i="14"/>
  <c r="J11" i="76"/>
  <c r="J10" i="76" s="1"/>
  <c r="J17" i="76" s="1"/>
  <c r="J19" i="76" s="1"/>
  <c r="J11" i="80"/>
  <c r="J10" i="80" s="1"/>
  <c r="J17" i="80" s="1"/>
  <c r="J19" i="80" s="1"/>
  <c r="AN34" i="108"/>
  <c r="AO37" i="108"/>
  <c r="S121" i="108"/>
  <c r="N111" i="108"/>
  <c r="U71" i="118"/>
  <c r="V74" i="118"/>
  <c r="Q107" i="108"/>
  <c r="P104" i="108"/>
  <c r="P126" i="108" s="1"/>
  <c r="AA11" i="115"/>
  <c r="Z26" i="115"/>
  <c r="Z24" i="115" s="1"/>
  <c r="Y34" i="21" s="1"/>
  <c r="R109" i="118"/>
  <c r="Q106" i="118"/>
  <c r="Q128" i="118" s="1"/>
  <c r="Q113" i="118" s="1"/>
  <c r="Q130" i="118" s="1"/>
  <c r="P124" i="108"/>
  <c r="P5" i="108"/>
  <c r="U20" i="45" s="1"/>
  <c r="AA115" i="118"/>
  <c r="AD48" i="108"/>
  <c r="AD118" i="108" s="1"/>
  <c r="AE51" i="108"/>
  <c r="AL114" i="118"/>
  <c r="U119" i="108"/>
  <c r="V65" i="108"/>
  <c r="U62" i="108"/>
  <c r="U120" i="108" s="1"/>
  <c r="R125" i="118"/>
  <c r="Y60" i="118"/>
  <c r="X57" i="118"/>
  <c r="X121" i="118" s="1"/>
  <c r="AO25" i="118"/>
  <c r="AN22" i="118"/>
  <c r="AN116" i="118" s="1"/>
  <c r="Y25" i="118"/>
  <c r="X22" i="118"/>
  <c r="AP20" i="108"/>
  <c r="AP114" i="108" s="1"/>
  <c r="AQ23" i="108"/>
  <c r="AQ20" i="108" s="1"/>
  <c r="AQ114" i="108" s="1"/>
  <c r="T78" i="118"/>
  <c r="T124" i="118" s="1"/>
  <c r="U81" i="118"/>
  <c r="P7" i="118"/>
  <c r="AE16" i="108"/>
  <c r="AD13" i="108"/>
  <c r="W115" i="108"/>
  <c r="AN27" i="108"/>
  <c r="AO30" i="108"/>
  <c r="X27" i="108"/>
  <c r="Y30" i="108"/>
  <c r="T22" i="14"/>
  <c r="S13" i="13"/>
  <c r="V10" i="11"/>
  <c r="AB10" i="115"/>
  <c r="AA25" i="115"/>
  <c r="AA9" i="115"/>
  <c r="P11" i="96"/>
  <c r="Q12" i="11"/>
  <c r="P11" i="94"/>
  <c r="P11" i="82"/>
  <c r="P11" i="78"/>
  <c r="P11" i="77"/>
  <c r="P11" i="84"/>
  <c r="P11" i="88"/>
  <c r="Y112" i="108"/>
  <c r="Z6" i="108"/>
  <c r="AA9" i="108"/>
  <c r="D11" i="78"/>
  <c r="D11" i="84"/>
  <c r="D11" i="88"/>
  <c r="D11" i="94"/>
  <c r="E12" i="11"/>
  <c r="D11" i="96"/>
  <c r="D11" i="77"/>
  <c r="D11" i="82"/>
  <c r="D38" i="21"/>
  <c r="B33" i="21"/>
  <c r="C10" i="76"/>
  <c r="C10" i="86"/>
  <c r="C10" i="74"/>
  <c r="C10" i="80"/>
  <c r="H11" i="103"/>
  <c r="D37" i="21"/>
  <c r="B37" i="21" s="1"/>
  <c r="B35" i="21"/>
  <c r="D14" i="21"/>
  <c r="C10" i="95"/>
  <c r="C10" i="79"/>
  <c r="C10" i="91"/>
  <c r="B9" i="13"/>
  <c r="C10" i="83"/>
  <c r="C5" i="21"/>
  <c r="C10" i="14"/>
  <c r="P129" i="118" l="1"/>
  <c r="S11" i="78"/>
  <c r="L8" i="11"/>
  <c r="Z13" i="11"/>
  <c r="Y21" i="14"/>
  <c r="AD113" i="108"/>
  <c r="X116" i="118"/>
  <c r="Q7" i="118"/>
  <c r="P111" i="108"/>
  <c r="S109" i="118"/>
  <c r="R106" i="118"/>
  <c r="R128" i="118" s="1"/>
  <c r="AB11" i="115"/>
  <c r="AA26" i="115"/>
  <c r="AA24" i="115" s="1"/>
  <c r="Z34" i="21" s="1"/>
  <c r="Q104" i="108"/>
  <c r="Q126" i="108" s="1"/>
  <c r="R107" i="108"/>
  <c r="U123" i="118"/>
  <c r="AO34" i="108"/>
  <c r="AP37" i="108"/>
  <c r="AD22" i="8"/>
  <c r="AD67" i="118"/>
  <c r="AC64" i="118"/>
  <c r="AC122" i="118" s="1"/>
  <c r="AB23" i="108"/>
  <c r="AA20" i="108"/>
  <c r="AA114" i="108" s="1"/>
  <c r="AB39" i="118"/>
  <c r="AA36" i="118"/>
  <c r="AA118" i="118" s="1"/>
  <c r="R99" i="118"/>
  <c r="S102" i="118"/>
  <c r="Q97" i="108"/>
  <c r="R100" i="108"/>
  <c r="U88" i="118"/>
  <c r="T85" i="118"/>
  <c r="T125" i="118" s="1"/>
  <c r="W55" i="108"/>
  <c r="X58" i="108"/>
  <c r="AN58" i="108"/>
  <c r="AM114" i="118"/>
  <c r="Z53" i="118"/>
  <c r="Y50" i="118"/>
  <c r="Y120" i="118" s="1"/>
  <c r="AQ46" i="118"/>
  <c r="AQ43" i="118" s="1"/>
  <c r="AP43" i="118"/>
  <c r="AP119" i="118" s="1"/>
  <c r="AB115" i="118"/>
  <c r="T95" i="118"/>
  <c r="S92" i="118"/>
  <c r="S126" i="118" s="1"/>
  <c r="T121" i="108"/>
  <c r="AQ118" i="118"/>
  <c r="BA6" i="8"/>
  <c r="AC27" i="8" s="1"/>
  <c r="AF44" i="108"/>
  <c r="AE41" i="108"/>
  <c r="L11" i="80"/>
  <c r="L10" i="80" s="1"/>
  <c r="L17" i="80" s="1"/>
  <c r="L19" i="80" s="1"/>
  <c r="L11" i="74"/>
  <c r="L10" i="74" s="1"/>
  <c r="L17" i="74" s="1"/>
  <c r="L19" i="74" s="1"/>
  <c r="L11" i="91"/>
  <c r="L10" i="91" s="1"/>
  <c r="L17" i="91" s="1"/>
  <c r="L19" i="91" s="1"/>
  <c r="K10" i="13"/>
  <c r="K9" i="13" s="1"/>
  <c r="K15" i="13" s="1"/>
  <c r="L18" i="14"/>
  <c r="L17" i="14" s="1"/>
  <c r="L11" i="86"/>
  <c r="L10" i="86" s="1"/>
  <c r="L17" i="86" s="1"/>
  <c r="L19" i="86" s="1"/>
  <c r="L11" i="79"/>
  <c r="L10" i="79" s="1"/>
  <c r="L17" i="79" s="1"/>
  <c r="L19" i="79" s="1"/>
  <c r="L11" i="95"/>
  <c r="L10" i="95" s="1"/>
  <c r="L17" i="95" s="1"/>
  <c r="L19" i="95" s="1"/>
  <c r="L11" i="76"/>
  <c r="L10" i="76" s="1"/>
  <c r="L17" i="76" s="1"/>
  <c r="L19" i="76" s="1"/>
  <c r="L11" i="83"/>
  <c r="L10" i="83" s="1"/>
  <c r="L17" i="83" s="1"/>
  <c r="L19" i="83" s="1"/>
  <c r="Z43" i="118"/>
  <c r="Z119" i="118" s="1"/>
  <c r="AA46" i="118"/>
  <c r="AE13" i="108"/>
  <c r="AE113" i="108" s="1"/>
  <c r="AF16" i="108"/>
  <c r="U78" i="118"/>
  <c r="U124" i="118" s="1"/>
  <c r="V81" i="118"/>
  <c r="Y22" i="118"/>
  <c r="Z25" i="118"/>
  <c r="AO22" i="118"/>
  <c r="AO116" i="118" s="1"/>
  <c r="AP25" i="118"/>
  <c r="Y57" i="118"/>
  <c r="Y121" i="118" s="1"/>
  <c r="Z60" i="118"/>
  <c r="W65" i="108"/>
  <c r="V62" i="108"/>
  <c r="V120" i="108" s="1"/>
  <c r="AF51" i="108"/>
  <c r="AE48" i="108"/>
  <c r="AE118" i="108" s="1"/>
  <c r="Q132" i="118"/>
  <c r="Q133" i="118"/>
  <c r="Q131" i="118"/>
  <c r="Q129" i="118"/>
  <c r="V71" i="118"/>
  <c r="W74" i="118"/>
  <c r="L6" i="13"/>
  <c r="L5" i="13" s="1"/>
  <c r="R10" i="103" s="1"/>
  <c r="R11" i="103" s="1"/>
  <c r="N5" i="11"/>
  <c r="M32" i="21"/>
  <c r="N129" i="108"/>
  <c r="M7" i="14"/>
  <c r="M6" i="14" s="1"/>
  <c r="M5" i="14" s="1"/>
  <c r="N127" i="108"/>
  <c r="O127" i="108" s="1"/>
  <c r="P127" i="108" s="1"/>
  <c r="BG32" i="8"/>
  <c r="BE8" i="8"/>
  <c r="BQ34" i="8"/>
  <c r="BQ10" i="8" s="1"/>
  <c r="BO10" i="8"/>
  <c r="AJ24" i="8" s="1"/>
  <c r="AB122" i="118"/>
  <c r="AP60" i="118"/>
  <c r="AO57" i="118"/>
  <c r="AO121" i="118" s="1"/>
  <c r="S125" i="118"/>
  <c r="V119" i="108"/>
  <c r="AN8" i="118"/>
  <c r="AO11" i="118"/>
  <c r="AP53" i="118"/>
  <c r="AO50" i="118"/>
  <c r="AO120" i="118" s="1"/>
  <c r="S83" i="108"/>
  <c r="T86" i="108"/>
  <c r="AC15" i="118"/>
  <c r="AD18" i="118"/>
  <c r="R90" i="108"/>
  <c r="S93" i="108"/>
  <c r="BC9" i="8"/>
  <c r="AD23" i="8" s="1"/>
  <c r="BE33" i="8"/>
  <c r="K11" i="76"/>
  <c r="K10" i="76" s="1"/>
  <c r="K17" i="76" s="1"/>
  <c r="K19" i="76" s="1"/>
  <c r="K18" i="14"/>
  <c r="K17" i="14" s="1"/>
  <c r="K11" i="79"/>
  <c r="K10" i="79" s="1"/>
  <c r="K17" i="79" s="1"/>
  <c r="K19" i="79" s="1"/>
  <c r="K11" i="91"/>
  <c r="K10" i="91" s="1"/>
  <c r="K17" i="91" s="1"/>
  <c r="K19" i="91" s="1"/>
  <c r="K11" i="83"/>
  <c r="K10" i="83" s="1"/>
  <c r="K17" i="83" s="1"/>
  <c r="K19" i="83" s="1"/>
  <c r="K11" i="86"/>
  <c r="K10" i="86" s="1"/>
  <c r="K17" i="86" s="1"/>
  <c r="K19" i="86" s="1"/>
  <c r="K11" i="74"/>
  <c r="K10" i="74" s="1"/>
  <c r="K17" i="74" s="1"/>
  <c r="K19" i="74" s="1"/>
  <c r="K11" i="80"/>
  <c r="K10" i="80" s="1"/>
  <c r="K17" i="80" s="1"/>
  <c r="K19" i="80" s="1"/>
  <c r="K11" i="95"/>
  <c r="K10" i="95" s="1"/>
  <c r="K17" i="95" s="1"/>
  <c r="K19" i="95" s="1"/>
  <c r="J10" i="13"/>
  <c r="J9" i="13" s="1"/>
  <c r="J15" i="13" s="1"/>
  <c r="AN29" i="118"/>
  <c r="AN117" i="118" s="1"/>
  <c r="AO32" i="118"/>
  <c r="Y32" i="118"/>
  <c r="X29" i="118"/>
  <c r="X117" i="118" s="1"/>
  <c r="T76" i="108"/>
  <c r="T122" i="108" s="1"/>
  <c r="U79" i="108"/>
  <c r="U69" i="108"/>
  <c r="U121" i="108" s="1"/>
  <c r="V72" i="108"/>
  <c r="Y34" i="108"/>
  <c r="Y116" i="108" s="1"/>
  <c r="Z37" i="108"/>
  <c r="O129" i="118"/>
  <c r="N10" i="78"/>
  <c r="N10" i="77"/>
  <c r="N38" i="21"/>
  <c r="O11" i="11"/>
  <c r="N14" i="21"/>
  <c r="N10" i="84"/>
  <c r="N10" i="88"/>
  <c r="N10" i="96"/>
  <c r="N10" i="82"/>
  <c r="N10" i="94"/>
  <c r="O132" i="108"/>
  <c r="O130" i="108"/>
  <c r="O131" i="108"/>
  <c r="S11" i="82"/>
  <c r="U22" i="14"/>
  <c r="T13" i="13"/>
  <c r="X115" i="108"/>
  <c r="W10" i="11"/>
  <c r="Y27" i="108"/>
  <c r="Z30" i="108"/>
  <c r="AO27" i="108"/>
  <c r="AP30" i="108"/>
  <c r="S11" i="77"/>
  <c r="C12" i="11"/>
  <c r="S11" i="88"/>
  <c r="AC10" i="115"/>
  <c r="AB9" i="115"/>
  <c r="AB25" i="115"/>
  <c r="S11" i="96"/>
  <c r="S11" i="94"/>
  <c r="S11" i="84"/>
  <c r="AB9" i="108"/>
  <c r="AA6" i="108"/>
  <c r="Z112" i="108"/>
  <c r="C5" i="14"/>
  <c r="S10" i="83"/>
  <c r="C17" i="83"/>
  <c r="B15" i="13"/>
  <c r="B26" i="13"/>
  <c r="S10" i="91"/>
  <c r="C17" i="91"/>
  <c r="S10" i="79"/>
  <c r="C17" i="79"/>
  <c r="S10" i="95"/>
  <c r="C17" i="95"/>
  <c r="C17" i="80"/>
  <c r="S10" i="80"/>
  <c r="S10" i="74"/>
  <c r="C17" i="74"/>
  <c r="C17" i="86"/>
  <c r="S10" i="86"/>
  <c r="S10" i="76"/>
  <c r="C17" i="76"/>
  <c r="I15" i="45"/>
  <c r="D6" i="21"/>
  <c r="D39" i="21"/>
  <c r="E12" i="102"/>
  <c r="E12" i="117"/>
  <c r="T11" i="78"/>
  <c r="E13" i="117"/>
  <c r="T11" i="96"/>
  <c r="T11" i="94"/>
  <c r="T11" i="88"/>
  <c r="E13" i="102"/>
  <c r="G13" i="102" s="1"/>
  <c r="F13" i="102" s="1"/>
  <c r="B13" i="103"/>
  <c r="T11" i="82"/>
  <c r="C13" i="103"/>
  <c r="D13" i="103" s="1"/>
  <c r="T11" i="77"/>
  <c r="T11" i="84"/>
  <c r="H6" i="94"/>
  <c r="H13" i="94" s="1"/>
  <c r="H15" i="94" s="1"/>
  <c r="H6" i="88"/>
  <c r="H13" i="88" s="1"/>
  <c r="H15" i="88" s="1"/>
  <c r="H6" i="78"/>
  <c r="H13" i="78" s="1"/>
  <c r="H15" i="78" s="1"/>
  <c r="E6" i="84"/>
  <c r="E13" i="84" s="1"/>
  <c r="E15" i="84" s="1"/>
  <c r="E6" i="94"/>
  <c r="E13" i="94" s="1"/>
  <c r="E15" i="94" s="1"/>
  <c r="D6" i="96"/>
  <c r="D13" i="96" s="1"/>
  <c r="D15" i="96" s="1"/>
  <c r="G6" i="78"/>
  <c r="G13" i="78" s="1"/>
  <c r="G15" i="78" s="1"/>
  <c r="J18" i="78" s="1"/>
  <c r="F6" i="78"/>
  <c r="F13" i="78" s="1"/>
  <c r="J6" i="94"/>
  <c r="J13" i="94" s="1"/>
  <c r="F6" i="84"/>
  <c r="F13" i="84" s="1"/>
  <c r="N6" i="96"/>
  <c r="N13" i="96" s="1"/>
  <c r="M6" i="88"/>
  <c r="G6" i="84"/>
  <c r="G13" i="84" s="1"/>
  <c r="G15" i="84" s="1"/>
  <c r="J18" i="84" s="1"/>
  <c r="G6" i="77"/>
  <c r="G13" i="77" s="1"/>
  <c r="G15" i="77" s="1"/>
  <c r="J18" i="77" s="1"/>
  <c r="J6" i="88"/>
  <c r="J13" i="88" s="1"/>
  <c r="I6" i="94"/>
  <c r="I13" i="94" s="1"/>
  <c r="I15" i="94" s="1"/>
  <c r="K6" i="96"/>
  <c r="K13" i="96" s="1"/>
  <c r="Q6" i="88"/>
  <c r="T6" i="78"/>
  <c r="U6" i="78" s="1"/>
  <c r="T6" i="96"/>
  <c r="U6" i="96" s="1"/>
  <c r="T6" i="88"/>
  <c r="U6" i="88" s="1"/>
  <c r="Q6" i="96"/>
  <c r="P6" i="94"/>
  <c r="J6" i="84"/>
  <c r="J13" i="84" s="1"/>
  <c r="R6" i="78"/>
  <c r="K6" i="88"/>
  <c r="K13" i="88" s="1"/>
  <c r="K6" i="78"/>
  <c r="K13" i="78" s="1"/>
  <c r="M6" i="84"/>
  <c r="P6" i="84"/>
  <c r="R6" i="77"/>
  <c r="C6" i="94"/>
  <c r="C6" i="77"/>
  <c r="D6" i="78"/>
  <c r="D13" i="78" s="1"/>
  <c r="D15" i="78" s="1"/>
  <c r="H6" i="77"/>
  <c r="H13" i="77" s="1"/>
  <c r="H15" i="77" s="1"/>
  <c r="H6" i="96"/>
  <c r="H13" i="96" s="1"/>
  <c r="H15" i="96" s="1"/>
  <c r="H6" i="82"/>
  <c r="H13" i="82" s="1"/>
  <c r="H15" i="82" s="1"/>
  <c r="H6" i="84"/>
  <c r="H13" i="84" s="1"/>
  <c r="H15" i="84" s="1"/>
  <c r="T6" i="84"/>
  <c r="U6" i="84" s="1"/>
  <c r="E6" i="96"/>
  <c r="E13" i="96" s="1"/>
  <c r="E15" i="96" s="1"/>
  <c r="B11" i="103"/>
  <c r="E6" i="88"/>
  <c r="E13" i="88" s="1"/>
  <c r="E15" i="88" s="1"/>
  <c r="G6" i="94"/>
  <c r="G13" i="94" s="1"/>
  <c r="G15" i="94" s="1"/>
  <c r="J18" i="94" s="1"/>
  <c r="F6" i="94"/>
  <c r="F13" i="94" s="1"/>
  <c r="N6" i="94"/>
  <c r="N13" i="94" s="1"/>
  <c r="I6" i="78"/>
  <c r="I13" i="78" s="1"/>
  <c r="I15" i="78" s="1"/>
  <c r="O6" i="78"/>
  <c r="I6" i="77"/>
  <c r="I13" i="77" s="1"/>
  <c r="I15" i="77" s="1"/>
  <c r="G6" i="96"/>
  <c r="G13" i="96" s="1"/>
  <c r="G15" i="96" s="1"/>
  <c r="J18" i="96" s="1"/>
  <c r="M6" i="78"/>
  <c r="J6" i="77"/>
  <c r="J13" i="77" s="1"/>
  <c r="N6" i="84"/>
  <c r="N13" i="84" s="1"/>
  <c r="O6" i="94"/>
  <c r="Q6" i="78"/>
  <c r="D6" i="88"/>
  <c r="D13" i="88" s="1"/>
  <c r="D15" i="88" s="1"/>
  <c r="C11" i="103"/>
  <c r="D6" i="84"/>
  <c r="D13" i="84" s="1"/>
  <c r="D15" i="84" s="1"/>
  <c r="Q6" i="94"/>
  <c r="F6" i="77"/>
  <c r="F13" i="77" s="1"/>
  <c r="R6" i="84"/>
  <c r="P6" i="96"/>
  <c r="K6" i="77"/>
  <c r="K13" i="77" s="1"/>
  <c r="K6" i="84"/>
  <c r="K13" i="84" s="1"/>
  <c r="N6" i="78"/>
  <c r="P6" i="78"/>
  <c r="C6" i="96"/>
  <c r="C6" i="84"/>
  <c r="D6" i="77"/>
  <c r="D13" i="77" s="1"/>
  <c r="D15" i="77" s="1"/>
  <c r="T6" i="82"/>
  <c r="U6" i="82" s="1"/>
  <c r="T6" i="94"/>
  <c r="U6" i="94" s="1"/>
  <c r="D6" i="94"/>
  <c r="D13" i="94" s="1"/>
  <c r="D15" i="94" s="1"/>
  <c r="G6" i="88"/>
  <c r="G13" i="88" s="1"/>
  <c r="G15" i="88" s="1"/>
  <c r="J18" i="88" s="1"/>
  <c r="N6" i="77"/>
  <c r="N13" i="77" s="1"/>
  <c r="M6" i="77"/>
  <c r="F6" i="96"/>
  <c r="F13" i="96" s="1"/>
  <c r="J6" i="96"/>
  <c r="J13" i="96" s="1"/>
  <c r="Q6" i="84"/>
  <c r="O6" i="77"/>
  <c r="O6" i="84"/>
  <c r="N6" i="88"/>
  <c r="I6" i="88"/>
  <c r="I13" i="88" s="1"/>
  <c r="I15" i="88" s="1"/>
  <c r="R6" i="88"/>
  <c r="C6" i="88"/>
  <c r="L6" i="88"/>
  <c r="L13" i="88" s="1"/>
  <c r="L15" i="88" s="1"/>
  <c r="L6" i="96"/>
  <c r="L13" i="96" s="1"/>
  <c r="L15" i="96" s="1"/>
  <c r="L6" i="94"/>
  <c r="L13" i="94" s="1"/>
  <c r="L15" i="94" s="1"/>
  <c r="R6" i="96"/>
  <c r="I6" i="96"/>
  <c r="I13" i="96" s="1"/>
  <c r="I15" i="96" s="1"/>
  <c r="I6" i="82"/>
  <c r="I13" i="82" s="1"/>
  <c r="I15" i="82" s="1"/>
  <c r="D6" i="82"/>
  <c r="D13" i="82" s="1"/>
  <c r="D15" i="82" s="1"/>
  <c r="K6" i="82"/>
  <c r="K13" i="82" s="1"/>
  <c r="L6" i="82"/>
  <c r="L13" i="82" s="1"/>
  <c r="L15" i="82" s="1"/>
  <c r="Q6" i="82"/>
  <c r="J6" i="82"/>
  <c r="J13" i="82" s="1"/>
  <c r="O6" i="82"/>
  <c r="T6" i="77"/>
  <c r="U6" i="77" s="1"/>
  <c r="E6" i="77"/>
  <c r="E13" i="77" s="1"/>
  <c r="E15" i="77" s="1"/>
  <c r="E6" i="78"/>
  <c r="E13" i="78" s="1"/>
  <c r="E15" i="78" s="1"/>
  <c r="F6" i="88"/>
  <c r="F13" i="88" s="1"/>
  <c r="O6" i="88"/>
  <c r="M6" i="96"/>
  <c r="Q6" i="77"/>
  <c r="P6" i="77"/>
  <c r="J6" i="78"/>
  <c r="J13" i="78" s="1"/>
  <c r="K6" i="94"/>
  <c r="K13" i="94" s="1"/>
  <c r="M6" i="94"/>
  <c r="P6" i="88"/>
  <c r="O6" i="96"/>
  <c r="C6" i="78"/>
  <c r="R6" i="94"/>
  <c r="L6" i="84"/>
  <c r="L13" i="84" s="1"/>
  <c r="L15" i="84" s="1"/>
  <c r="L6" i="78"/>
  <c r="L13" i="78" s="1"/>
  <c r="L15" i="78" s="1"/>
  <c r="L6" i="77"/>
  <c r="L13" i="77" s="1"/>
  <c r="L15" i="77" s="1"/>
  <c r="I6" i="84"/>
  <c r="I13" i="84" s="1"/>
  <c r="I15" i="84" s="1"/>
  <c r="C6" i="82"/>
  <c r="G6" i="82"/>
  <c r="G13" i="82" s="1"/>
  <c r="G15" i="82" s="1"/>
  <c r="J18" i="82" s="1"/>
  <c r="P6" i="82"/>
  <c r="E6" i="82"/>
  <c r="E13" i="82" s="1"/>
  <c r="E15" i="82" s="1"/>
  <c r="M6" i="82"/>
  <c r="F6" i="82"/>
  <c r="F13" i="82" s="1"/>
  <c r="N6" i="82"/>
  <c r="N13" i="82" s="1"/>
  <c r="R6" i="82"/>
  <c r="N13" i="88" l="1"/>
  <c r="N13" i="78"/>
  <c r="O128" i="108"/>
  <c r="O8" i="11" s="1"/>
  <c r="AA13" i="11"/>
  <c r="Z21" i="14"/>
  <c r="N39" i="21"/>
  <c r="I25" i="45"/>
  <c r="N12" i="21"/>
  <c r="N5" i="21" s="1"/>
  <c r="Z34" i="108"/>
  <c r="Z116" i="108" s="1"/>
  <c r="AA37" i="108"/>
  <c r="V69" i="108"/>
  <c r="W72" i="108"/>
  <c r="U76" i="108"/>
  <c r="U122" i="108" s="1"/>
  <c r="V79" i="108"/>
  <c r="AO29" i="118"/>
  <c r="AO117" i="118" s="1"/>
  <c r="AP32" i="118"/>
  <c r="P12" i="103"/>
  <c r="P13" i="103" s="1"/>
  <c r="K28" i="14"/>
  <c r="BG33" i="8"/>
  <c r="BE9" i="8"/>
  <c r="AE23" i="8" s="1"/>
  <c r="S90" i="108"/>
  <c r="S124" i="108" s="1"/>
  <c r="T93" i="108"/>
  <c r="AE18" i="118"/>
  <c r="AD15" i="118"/>
  <c r="S123" i="108"/>
  <c r="AP50" i="118"/>
  <c r="AP120" i="118" s="1"/>
  <c r="AQ53" i="118"/>
  <c r="AQ50" i="118" s="1"/>
  <c r="AN114" i="118"/>
  <c r="AP57" i="118"/>
  <c r="AP121" i="118" s="1"/>
  <c r="AQ60" i="118"/>
  <c r="AQ57" i="118" s="1"/>
  <c r="BI32" i="8"/>
  <c r="BG8" i="8"/>
  <c r="M10" i="96"/>
  <c r="M13" i="96" s="1"/>
  <c r="M15" i="96" s="1"/>
  <c r="M19" i="96" s="1"/>
  <c r="M10" i="77"/>
  <c r="M10" i="84"/>
  <c r="M13" i="84" s="1"/>
  <c r="M15" i="84" s="1"/>
  <c r="M19" i="84" s="1"/>
  <c r="M14" i="21"/>
  <c r="M10" i="88"/>
  <c r="M13" i="88" s="1"/>
  <c r="M15" i="88" s="1"/>
  <c r="M19" i="88" s="1"/>
  <c r="M10" i="94"/>
  <c r="M13" i="94" s="1"/>
  <c r="M15" i="94" s="1"/>
  <c r="M19" i="94" s="1"/>
  <c r="M10" i="82"/>
  <c r="M13" i="82" s="1"/>
  <c r="M15" i="82" s="1"/>
  <c r="M19" i="82" s="1"/>
  <c r="M38" i="21"/>
  <c r="M10" i="78"/>
  <c r="M13" i="78" s="1"/>
  <c r="M15" i="78" s="1"/>
  <c r="M19" i="78" s="1"/>
  <c r="N11" i="11"/>
  <c r="V123" i="118"/>
  <c r="AF48" i="108"/>
  <c r="AG51" i="108"/>
  <c r="X65" i="108"/>
  <c r="W62" i="108"/>
  <c r="W120" i="108" s="1"/>
  <c r="AN65" i="108"/>
  <c r="Y116" i="118"/>
  <c r="AA43" i="118"/>
  <c r="AA119" i="118" s="1"/>
  <c r="AB46" i="118"/>
  <c r="AE117" i="108"/>
  <c r="AQ119" i="118"/>
  <c r="Z50" i="118"/>
  <c r="Z120" i="118" s="1"/>
  <c r="AA53" i="118"/>
  <c r="X55" i="108"/>
  <c r="Y58" i="108"/>
  <c r="R97" i="108"/>
  <c r="R125" i="108" s="1"/>
  <c r="S100" i="108"/>
  <c r="T102" i="118"/>
  <c r="S99" i="118"/>
  <c r="BC6" i="8"/>
  <c r="AD27" i="8" s="1"/>
  <c r="AP34" i="108"/>
  <c r="AP116" i="108" s="1"/>
  <c r="AQ37" i="108"/>
  <c r="AQ34" i="108" s="1"/>
  <c r="R104" i="108"/>
  <c r="R126" i="108" s="1"/>
  <c r="S107" i="108"/>
  <c r="M13" i="77"/>
  <c r="M15" i="77" s="1"/>
  <c r="M19" i="77" s="1"/>
  <c r="M12" i="13"/>
  <c r="N20" i="14" s="1"/>
  <c r="Z32" i="118"/>
  <c r="Y29" i="118"/>
  <c r="Y117" i="118" s="1"/>
  <c r="R124" i="108"/>
  <c r="R5" i="108"/>
  <c r="W20" i="45" s="1"/>
  <c r="AC115" i="118"/>
  <c r="T83" i="108"/>
  <c r="T123" i="108" s="1"/>
  <c r="U86" i="108"/>
  <c r="AO8" i="118"/>
  <c r="AP11" i="118"/>
  <c r="AK24" i="8"/>
  <c r="BS10" i="8"/>
  <c r="BV10" i="8" s="1"/>
  <c r="AE22" i="8"/>
  <c r="BE6" i="8"/>
  <c r="AE27" i="8" s="1"/>
  <c r="N130" i="108"/>
  <c r="N132" i="108"/>
  <c r="N131" i="108"/>
  <c r="W71" i="118"/>
  <c r="X74" i="118"/>
  <c r="AN74" i="118"/>
  <c r="Z57" i="118"/>
  <c r="Z121" i="118" s="1"/>
  <c r="AA60" i="118"/>
  <c r="AQ25" i="118"/>
  <c r="AQ22" i="118" s="1"/>
  <c r="AP22" i="118"/>
  <c r="AP116" i="118" s="1"/>
  <c r="AA25" i="118"/>
  <c r="Z22" i="118"/>
  <c r="W81" i="118"/>
  <c r="V78" i="118"/>
  <c r="V124" i="118" s="1"/>
  <c r="AF13" i="108"/>
  <c r="AF113" i="108" s="1"/>
  <c r="AG16" i="108"/>
  <c r="Q12" i="103"/>
  <c r="Q13" i="103" s="1"/>
  <c r="L28" i="14"/>
  <c r="AF41" i="108"/>
  <c r="AF117" i="108" s="1"/>
  <c r="AG44" i="108"/>
  <c r="T92" i="118"/>
  <c r="U95" i="118"/>
  <c r="AO58" i="108"/>
  <c r="AN55" i="108"/>
  <c r="W119" i="108"/>
  <c r="V88" i="118"/>
  <c r="U85" i="118"/>
  <c r="U125" i="118" s="1"/>
  <c r="Q125" i="108"/>
  <c r="Q5" i="108"/>
  <c r="V20" i="45" s="1"/>
  <c r="R127" i="118"/>
  <c r="R113" i="118" s="1"/>
  <c r="R130" i="118" s="1"/>
  <c r="R7" i="118"/>
  <c r="AC39" i="118"/>
  <c r="AB36" i="118"/>
  <c r="AB20" i="108"/>
  <c r="AB114" i="108" s="1"/>
  <c r="AC23" i="108"/>
  <c r="AD64" i="118"/>
  <c r="AE67" i="118"/>
  <c r="Q111" i="108"/>
  <c r="AC11" i="115"/>
  <c r="AB26" i="115"/>
  <c r="AB24" i="115" s="1"/>
  <c r="AA34" i="21" s="1"/>
  <c r="T109" i="118"/>
  <c r="S106" i="118"/>
  <c r="S128" i="118" s="1"/>
  <c r="N6" i="13"/>
  <c r="N5" i="13" s="1"/>
  <c r="T10" i="103" s="1"/>
  <c r="T11" i="103" s="1"/>
  <c r="O7" i="14"/>
  <c r="O6" i="14" s="1"/>
  <c r="O5" i="14" s="1"/>
  <c r="O32" i="21"/>
  <c r="P5" i="11"/>
  <c r="P129" i="108"/>
  <c r="Y115" i="108"/>
  <c r="AP27" i="108"/>
  <c r="AP115" i="108" s="1"/>
  <c r="AQ30" i="108"/>
  <c r="AQ27" i="108" s="1"/>
  <c r="Z27" i="108"/>
  <c r="AA30" i="108"/>
  <c r="V22" i="14"/>
  <c r="U13" i="13"/>
  <c r="X10" i="11"/>
  <c r="AD10" i="115"/>
  <c r="AC25" i="115"/>
  <c r="AC9" i="115"/>
  <c r="AA112" i="108"/>
  <c r="AC9" i="108"/>
  <c r="AB6" i="108"/>
  <c r="C13" i="82"/>
  <c r="S6" i="82"/>
  <c r="W10" i="82" s="1"/>
  <c r="X10" i="82" s="1"/>
  <c r="Z10" i="82" s="1"/>
  <c r="C13" i="78"/>
  <c r="S6" i="78"/>
  <c r="W10" i="78" s="1"/>
  <c r="X10" i="78" s="1"/>
  <c r="Z10" i="78" s="1"/>
  <c r="N14" i="94"/>
  <c r="N15" i="91" s="1"/>
  <c r="K15" i="94"/>
  <c r="N18" i="94" s="1"/>
  <c r="N14" i="82"/>
  <c r="N15" i="80" s="1"/>
  <c r="K15" i="82"/>
  <c r="N18" i="82" s="1"/>
  <c r="S6" i="88"/>
  <c r="W10" i="88" s="1"/>
  <c r="X10" i="88" s="1"/>
  <c r="Z10" i="88" s="1"/>
  <c r="C13" i="88"/>
  <c r="S6" i="84"/>
  <c r="W10" i="84" s="1"/>
  <c r="X10" i="84" s="1"/>
  <c r="Z10" i="84" s="1"/>
  <c r="C13" i="84"/>
  <c r="K15" i="84"/>
  <c r="N18" i="84" s="1"/>
  <c r="N14" i="84"/>
  <c r="N15" i="83" s="1"/>
  <c r="C13" i="77"/>
  <c r="S6" i="77"/>
  <c r="W10" i="77" s="1"/>
  <c r="X10" i="77" s="1"/>
  <c r="Z10" i="77" s="1"/>
  <c r="N14" i="88"/>
  <c r="N15" i="86" s="1"/>
  <c r="K15" i="88"/>
  <c r="N18" i="88" s="1"/>
  <c r="G12" i="102"/>
  <c r="M6" i="102"/>
  <c r="C10" i="13"/>
  <c r="D11" i="86"/>
  <c r="D18" i="14"/>
  <c r="D11" i="74"/>
  <c r="D11" i="83"/>
  <c r="D11" i="79"/>
  <c r="D11" i="91"/>
  <c r="D11" i="95"/>
  <c r="D11" i="76"/>
  <c r="D11" i="80"/>
  <c r="K22" i="86"/>
  <c r="C18" i="86"/>
  <c r="C23" i="86"/>
  <c r="C19" i="86"/>
  <c r="S17" i="86"/>
  <c r="S17" i="80"/>
  <c r="C19" i="80"/>
  <c r="C23" i="80"/>
  <c r="C18" i="80"/>
  <c r="K22" i="80"/>
  <c r="K22" i="95"/>
  <c r="C18" i="95"/>
  <c r="C23" i="95"/>
  <c r="C19" i="95"/>
  <c r="S17" i="95"/>
  <c r="C23" i="79"/>
  <c r="K22" i="79"/>
  <c r="S17" i="79"/>
  <c r="C18" i="79"/>
  <c r="C19" i="79"/>
  <c r="S17" i="91"/>
  <c r="C23" i="91"/>
  <c r="C19" i="91"/>
  <c r="K22" i="91"/>
  <c r="C18" i="91"/>
  <c r="B16" i="13"/>
  <c r="B17" i="13"/>
  <c r="B18" i="13" s="1"/>
  <c r="S6" i="96"/>
  <c r="W10" i="96" s="1"/>
  <c r="X10" i="96" s="1"/>
  <c r="Z10" i="96" s="1"/>
  <c r="C13" i="96"/>
  <c r="K15" i="77"/>
  <c r="N18" i="77" s="1"/>
  <c r="N14" i="77"/>
  <c r="N15" i="76" s="1"/>
  <c r="D11" i="103"/>
  <c r="C13" i="94"/>
  <c r="S6" i="94"/>
  <c r="W10" i="94" s="1"/>
  <c r="X10" i="94" s="1"/>
  <c r="Z10" i="94" s="1"/>
  <c r="K15" i="78"/>
  <c r="N18" i="78" s="1"/>
  <c r="N14" i="78"/>
  <c r="N15" i="79" s="1"/>
  <c r="N14" i="96"/>
  <c r="N15" i="95" s="1"/>
  <c r="K15" i="96"/>
  <c r="N18" i="96" s="1"/>
  <c r="G13" i="117"/>
  <c r="F13" i="117" s="1"/>
  <c r="G12" i="117"/>
  <c r="D12" i="21"/>
  <c r="I5" i="103"/>
  <c r="D11" i="14"/>
  <c r="B6" i="21"/>
  <c r="D4" i="45" s="1"/>
  <c r="C18" i="76"/>
  <c r="C19" i="76"/>
  <c r="S17" i="76"/>
  <c r="K22" i="76"/>
  <c r="C23" i="76"/>
  <c r="S17" i="74"/>
  <c r="K22" i="74"/>
  <c r="C23" i="74"/>
  <c r="C19" i="74"/>
  <c r="C18" i="74"/>
  <c r="C18" i="83"/>
  <c r="C23" i="83"/>
  <c r="K22" i="83"/>
  <c r="C19" i="83"/>
  <c r="S17" i="83"/>
  <c r="W13" i="77" l="1"/>
  <c r="N15" i="88"/>
  <c r="N19" i="88" s="1"/>
  <c r="W13" i="78"/>
  <c r="N128" i="108"/>
  <c r="N8" i="11" s="1"/>
  <c r="AA21" i="14"/>
  <c r="AB13" i="11"/>
  <c r="R131" i="118"/>
  <c r="R132" i="118"/>
  <c r="R133" i="118"/>
  <c r="P130" i="108"/>
  <c r="P132" i="108"/>
  <c r="P131" i="108"/>
  <c r="P11" i="11"/>
  <c r="O10" i="88"/>
  <c r="O13" i="88" s="1"/>
  <c r="O10" i="77"/>
  <c r="O13" i="77" s="1"/>
  <c r="O10" i="82"/>
  <c r="O13" i="82" s="1"/>
  <c r="O10" i="78"/>
  <c r="O13" i="78" s="1"/>
  <c r="O38" i="21"/>
  <c r="O10" i="96"/>
  <c r="O13" i="96" s="1"/>
  <c r="O10" i="94"/>
  <c r="O13" i="94" s="1"/>
  <c r="O10" i="84"/>
  <c r="O13" i="84" s="1"/>
  <c r="O14" i="21"/>
  <c r="U109" i="118"/>
  <c r="T106" i="118"/>
  <c r="T128" i="118" s="1"/>
  <c r="AD11" i="115"/>
  <c r="AC26" i="115"/>
  <c r="AE64" i="118"/>
  <c r="AE122" i="118" s="1"/>
  <c r="AF67" i="118"/>
  <c r="AC20" i="108"/>
  <c r="AC114" i="108" s="1"/>
  <c r="AD23" i="108"/>
  <c r="AB118" i="118"/>
  <c r="V95" i="118"/>
  <c r="U92" i="118"/>
  <c r="U126" i="118" s="1"/>
  <c r="AH16" i="108"/>
  <c r="AG13" i="108"/>
  <c r="Z116" i="118"/>
  <c r="AB60" i="118"/>
  <c r="AA57" i="118"/>
  <c r="AA121" i="118" s="1"/>
  <c r="AO74" i="118"/>
  <c r="AN71" i="118"/>
  <c r="W123" i="118"/>
  <c r="AO114" i="118"/>
  <c r="R111" i="108"/>
  <c r="AA32" i="118"/>
  <c r="Z29" i="118"/>
  <c r="Z117" i="118" s="1"/>
  <c r="S104" i="108"/>
  <c r="S126" i="108" s="1"/>
  <c r="T107" i="108"/>
  <c r="S127" i="118"/>
  <c r="S7" i="118"/>
  <c r="S97" i="108"/>
  <c r="T100" i="108"/>
  <c r="Y55" i="108"/>
  <c r="Z58" i="108"/>
  <c r="AG48" i="108"/>
  <c r="AG118" i="108" s="1"/>
  <c r="AH51" i="108"/>
  <c r="M39" i="21"/>
  <c r="M12" i="21"/>
  <c r="M5" i="21" s="1"/>
  <c r="I24" i="45"/>
  <c r="AF22" i="8"/>
  <c r="AQ121" i="118"/>
  <c r="AE15" i="118"/>
  <c r="AF18" i="118"/>
  <c r="BG9" i="8"/>
  <c r="AF23" i="8" s="1"/>
  <c r="BI33" i="8"/>
  <c r="V121" i="108"/>
  <c r="W13" i="96"/>
  <c r="V13" i="84"/>
  <c r="V13" i="88"/>
  <c r="W13" i="82"/>
  <c r="AC24" i="115"/>
  <c r="AB34" i="21" s="1"/>
  <c r="S113" i="118"/>
  <c r="S130" i="118" s="1"/>
  <c r="Q129" i="108"/>
  <c r="Q5" i="11"/>
  <c r="P7" i="14"/>
  <c r="P6" i="14" s="1"/>
  <c r="P5" i="14" s="1"/>
  <c r="O6" i="13"/>
  <c r="O5" i="13" s="1"/>
  <c r="U10" i="103" s="1"/>
  <c r="U11" i="103" s="1"/>
  <c r="AD122" i="118"/>
  <c r="AC36" i="118"/>
  <c r="AC118" i="118" s="1"/>
  <c r="AD39" i="118"/>
  <c r="V85" i="118"/>
  <c r="V125" i="118" s="1"/>
  <c r="W88" i="118"/>
  <c r="AP58" i="108"/>
  <c r="AO55" i="108"/>
  <c r="T126" i="118"/>
  <c r="T7" i="118"/>
  <c r="AG41" i="108"/>
  <c r="AG117" i="108" s="1"/>
  <c r="AH44" i="108"/>
  <c r="M6" i="115"/>
  <c r="L6" i="107"/>
  <c r="X81" i="118"/>
  <c r="W78" i="118"/>
  <c r="W124" i="118" s="1"/>
  <c r="AN81" i="118"/>
  <c r="AA22" i="118"/>
  <c r="AB25" i="118"/>
  <c r="AQ116" i="118"/>
  <c r="X71" i="118"/>
  <c r="Y74" i="118"/>
  <c r="Q127" i="108"/>
  <c r="R127" i="108" s="1"/>
  <c r="AQ11" i="118"/>
  <c r="AQ8" i="118" s="1"/>
  <c r="AP8" i="118"/>
  <c r="U83" i="108"/>
  <c r="V86" i="108"/>
  <c r="AQ116" i="108"/>
  <c r="T99" i="118"/>
  <c r="T127" i="118" s="1"/>
  <c r="U102" i="118"/>
  <c r="X119" i="108"/>
  <c r="AA50" i="118"/>
  <c r="AA120" i="118" s="1"/>
  <c r="AB53" i="118"/>
  <c r="AB43" i="118"/>
  <c r="AC46" i="118"/>
  <c r="AO65" i="108"/>
  <c r="AN62" i="108"/>
  <c r="X62" i="108"/>
  <c r="X120" i="108" s="1"/>
  <c r="Y65" i="108"/>
  <c r="AF118" i="108"/>
  <c r="BI8" i="8"/>
  <c r="BK32" i="8"/>
  <c r="AQ120" i="118"/>
  <c r="AD115" i="118"/>
  <c r="T90" i="108"/>
  <c r="U93" i="108"/>
  <c r="K6" i="107"/>
  <c r="L6" i="115"/>
  <c r="AP29" i="118"/>
  <c r="AP117" i="118" s="1"/>
  <c r="AQ32" i="118"/>
  <c r="AQ29" i="118" s="1"/>
  <c r="V76" i="108"/>
  <c r="V122" i="108" s="1"/>
  <c r="W79" i="108"/>
  <c r="W69" i="108"/>
  <c r="X72" i="108"/>
  <c r="AN72" i="108"/>
  <c r="AA34" i="108"/>
  <c r="AA116" i="108" s="1"/>
  <c r="AB37" i="108"/>
  <c r="M10" i="13"/>
  <c r="N11" i="79"/>
  <c r="N10" i="79" s="1"/>
  <c r="N17" i="79" s="1"/>
  <c r="N19" i="79" s="1"/>
  <c r="N11" i="76"/>
  <c r="N10" i="76" s="1"/>
  <c r="N17" i="76" s="1"/>
  <c r="N19" i="76" s="1"/>
  <c r="N11" i="95"/>
  <c r="N10" i="95" s="1"/>
  <c r="N17" i="95" s="1"/>
  <c r="N19" i="95" s="1"/>
  <c r="N11" i="80"/>
  <c r="N10" i="80" s="1"/>
  <c r="N17" i="80" s="1"/>
  <c r="N19" i="80" s="1"/>
  <c r="N11" i="74"/>
  <c r="N10" i="74" s="1"/>
  <c r="N17" i="74" s="1"/>
  <c r="N19" i="74" s="1"/>
  <c r="N11" i="83"/>
  <c r="N10" i="83" s="1"/>
  <c r="N17" i="83" s="1"/>
  <c r="N19" i="83" s="1"/>
  <c r="N11" i="91"/>
  <c r="N10" i="91" s="1"/>
  <c r="N17" i="91" s="1"/>
  <c r="N19" i="91" s="1"/>
  <c r="N11" i="86"/>
  <c r="N10" i="86" s="1"/>
  <c r="N17" i="86" s="1"/>
  <c r="N19" i="86" s="1"/>
  <c r="N18" i="14"/>
  <c r="V13" i="13"/>
  <c r="W22" i="14"/>
  <c r="Z115" i="108"/>
  <c r="Y10" i="11"/>
  <c r="AB30" i="108"/>
  <c r="AA27" i="108"/>
  <c r="AQ115" i="108"/>
  <c r="AC13" i="11"/>
  <c r="AB21" i="14"/>
  <c r="AE10" i="115"/>
  <c r="AD9" i="115"/>
  <c r="AD25" i="115"/>
  <c r="N15" i="96"/>
  <c r="N19" i="96" s="1"/>
  <c r="N15" i="84"/>
  <c r="N19" i="84" s="1"/>
  <c r="AB112" i="108"/>
  <c r="AD9" i="108"/>
  <c r="AC6" i="108"/>
  <c r="D5" i="21"/>
  <c r="N15" i="94"/>
  <c r="N19" i="94" s="1"/>
  <c r="V13" i="82"/>
  <c r="F12" i="102"/>
  <c r="I11" i="103"/>
  <c r="G5" i="103"/>
  <c r="C20" i="76"/>
  <c r="S19" i="76"/>
  <c r="D10" i="14"/>
  <c r="AQ11" i="14"/>
  <c r="F12" i="117"/>
  <c r="V13" i="94"/>
  <c r="U13" i="94"/>
  <c r="F14" i="94"/>
  <c r="C15" i="94"/>
  <c r="S13" i="94"/>
  <c r="J14" i="94"/>
  <c r="S13" i="96"/>
  <c r="F14" i="96"/>
  <c r="U13" i="96"/>
  <c r="C15" i="96"/>
  <c r="J14" i="96"/>
  <c r="C20" i="79"/>
  <c r="S19" i="79"/>
  <c r="C20" i="95"/>
  <c r="S19" i="95"/>
  <c r="C20" i="86"/>
  <c r="S19" i="86"/>
  <c r="D10" i="76"/>
  <c r="D17" i="76" s="1"/>
  <c r="D19" i="76" s="1"/>
  <c r="D10" i="91"/>
  <c r="D17" i="91" s="1"/>
  <c r="D19" i="91" s="1"/>
  <c r="D10" i="83"/>
  <c r="D17" i="83" s="1"/>
  <c r="D19" i="83" s="1"/>
  <c r="D17" i="14"/>
  <c r="I12" i="103" s="1"/>
  <c r="C9" i="13"/>
  <c r="V13" i="77"/>
  <c r="S13" i="77"/>
  <c r="U13" i="77"/>
  <c r="J14" i="77"/>
  <c r="F14" i="77"/>
  <c r="C15" i="77"/>
  <c r="N15" i="77"/>
  <c r="N19" i="77" s="1"/>
  <c r="W13" i="88"/>
  <c r="S13" i="88"/>
  <c r="U13" i="88"/>
  <c r="J14" i="88"/>
  <c r="F14" i="88"/>
  <c r="C15" i="88"/>
  <c r="V13" i="96"/>
  <c r="V13" i="78"/>
  <c r="C15" i="78"/>
  <c r="S13" i="78"/>
  <c r="J14" i="78"/>
  <c r="U13" i="78"/>
  <c r="F14" i="78"/>
  <c r="U13" i="82"/>
  <c r="F14" i="82"/>
  <c r="C15" i="82"/>
  <c r="S13" i="82"/>
  <c r="J14" i="82"/>
  <c r="N15" i="82"/>
  <c r="N19" i="82" s="1"/>
  <c r="C20" i="83"/>
  <c r="S19" i="83"/>
  <c r="C20" i="74"/>
  <c r="S19" i="74"/>
  <c r="N15" i="78"/>
  <c r="N19" i="78" s="1"/>
  <c r="C20" i="91"/>
  <c r="S19" i="91"/>
  <c r="S19" i="80"/>
  <c r="C20" i="80"/>
  <c r="D10" i="80"/>
  <c r="D17" i="80" s="1"/>
  <c r="D19" i="80" s="1"/>
  <c r="D10" i="95"/>
  <c r="D17" i="95" s="1"/>
  <c r="D19" i="95" s="1"/>
  <c r="D10" i="79"/>
  <c r="D17" i="79" s="1"/>
  <c r="D19" i="79" s="1"/>
  <c r="D10" i="74"/>
  <c r="D17" i="74" s="1"/>
  <c r="D19" i="74" s="1"/>
  <c r="D10" i="86"/>
  <c r="D17" i="86" s="1"/>
  <c r="D19" i="86" s="1"/>
  <c r="M9" i="102"/>
  <c r="M7" i="102"/>
  <c r="W13" i="94"/>
  <c r="W13" i="84"/>
  <c r="U13" i="84"/>
  <c r="C15" i="84"/>
  <c r="F14" i="84"/>
  <c r="S13" i="84"/>
  <c r="J14" i="84"/>
  <c r="R129" i="118" l="1"/>
  <c r="L12" i="13"/>
  <c r="M20" i="14" s="1"/>
  <c r="Y72" i="108"/>
  <c r="X69" i="108"/>
  <c r="AN79" i="108"/>
  <c r="W76" i="108"/>
  <c r="W122" i="108" s="1"/>
  <c r="X79" i="108"/>
  <c r="AQ117" i="118"/>
  <c r="U90" i="108"/>
  <c r="U124" i="108" s="1"/>
  <c r="V93" i="108"/>
  <c r="BK8" i="8"/>
  <c r="BM32" i="8"/>
  <c r="Z65" i="108"/>
  <c r="Y62" i="108"/>
  <c r="Y120" i="108" s="1"/>
  <c r="AB119" i="118"/>
  <c r="AB50" i="118"/>
  <c r="AC53" i="118"/>
  <c r="U99" i="118"/>
  <c r="V102" i="118"/>
  <c r="V83" i="108"/>
  <c r="V123" i="108" s="1"/>
  <c r="W86" i="108"/>
  <c r="AP114" i="118"/>
  <c r="X123" i="118"/>
  <c r="AA116" i="118"/>
  <c r="AI44" i="108"/>
  <c r="AH41" i="108"/>
  <c r="AH117" i="108" s="1"/>
  <c r="AD36" i="118"/>
  <c r="AD118" i="118" s="1"/>
  <c r="AE39" i="118"/>
  <c r="S132" i="118"/>
  <c r="S131" i="118"/>
  <c r="S133" i="118"/>
  <c r="S129" i="118"/>
  <c r="AE115" i="118"/>
  <c r="Z55" i="108"/>
  <c r="AA58" i="108"/>
  <c r="T97" i="108"/>
  <c r="T125" i="108" s="1"/>
  <c r="U100" i="108"/>
  <c r="AB32" i="118"/>
  <c r="AA29" i="118"/>
  <c r="AA117" i="118" s="1"/>
  <c r="P6" i="13"/>
  <c r="P5" i="13" s="1"/>
  <c r="V10" i="103" s="1"/>
  <c r="V11" i="103" s="1"/>
  <c r="Q32" i="21"/>
  <c r="R5" i="11"/>
  <c r="R129" i="108"/>
  <c r="Q7" i="14"/>
  <c r="Q6" i="14" s="1"/>
  <c r="Q5" i="14" s="1"/>
  <c r="AN123" i="118"/>
  <c r="AG113" i="108"/>
  <c r="AE11" i="115"/>
  <c r="AD26" i="115"/>
  <c r="AD24" i="115" s="1"/>
  <c r="AC34" i="21" s="1"/>
  <c r="V109" i="118"/>
  <c r="U106" i="118"/>
  <c r="U128" i="118" s="1"/>
  <c r="R14" i="84"/>
  <c r="R15" i="83" s="1"/>
  <c r="O15" i="84"/>
  <c r="O15" i="96"/>
  <c r="R14" i="96"/>
  <c r="R15" i="95" s="1"/>
  <c r="R14" i="78"/>
  <c r="R15" i="79" s="1"/>
  <c r="O15" i="78"/>
  <c r="R14" i="77"/>
  <c r="R15" i="76" s="1"/>
  <c r="O15" i="77"/>
  <c r="AB34" i="108"/>
  <c r="AB116" i="108" s="1"/>
  <c r="AC37" i="108"/>
  <c r="AN69" i="108"/>
  <c r="AO72" i="108"/>
  <c r="W121" i="108"/>
  <c r="T124" i="108"/>
  <c r="AG22" i="8"/>
  <c r="AP65" i="108"/>
  <c r="AO62" i="108"/>
  <c r="AC43" i="118"/>
  <c r="AC119" i="118" s="1"/>
  <c r="AD46" i="118"/>
  <c r="U123" i="108"/>
  <c r="AQ114" i="118"/>
  <c r="C8" i="118"/>
  <c r="C11" i="118" s="1"/>
  <c r="Y71" i="118"/>
  <c r="Z74" i="118"/>
  <c r="AC25" i="118"/>
  <c r="AB22" i="118"/>
  <c r="AN78" i="118"/>
  <c r="AN124" i="118" s="1"/>
  <c r="AO81" i="118"/>
  <c r="Y81" i="118"/>
  <c r="X78" i="118"/>
  <c r="X124" i="118" s="1"/>
  <c r="AQ58" i="108"/>
  <c r="AQ55" i="108" s="1"/>
  <c r="AP55" i="108"/>
  <c r="AP119" i="108" s="1"/>
  <c r="AN88" i="118"/>
  <c r="X88" i="118"/>
  <c r="W85" i="118"/>
  <c r="W125" i="118" s="1"/>
  <c r="Q131" i="108"/>
  <c r="Q130" i="108"/>
  <c r="Q132" i="108"/>
  <c r="BK33" i="8"/>
  <c r="BI9" i="8"/>
  <c r="AG23" i="8" s="1"/>
  <c r="AF15" i="118"/>
  <c r="AG18" i="118"/>
  <c r="BG6" i="8"/>
  <c r="AF27" i="8" s="1"/>
  <c r="L10" i="13"/>
  <c r="L9" i="13" s="1"/>
  <c r="L15" i="13" s="1"/>
  <c r="M11" i="91"/>
  <c r="M10" i="91" s="1"/>
  <c r="M17" i="91" s="1"/>
  <c r="M19" i="91" s="1"/>
  <c r="M11" i="79"/>
  <c r="M10" i="79" s="1"/>
  <c r="M17" i="79" s="1"/>
  <c r="M19" i="79" s="1"/>
  <c r="M18" i="14"/>
  <c r="M11" i="76"/>
  <c r="M10" i="76" s="1"/>
  <c r="M17" i="76" s="1"/>
  <c r="M19" i="76" s="1"/>
  <c r="M11" i="95"/>
  <c r="M10" i="95" s="1"/>
  <c r="M17" i="95" s="1"/>
  <c r="M19" i="95" s="1"/>
  <c r="M11" i="80"/>
  <c r="M10" i="80" s="1"/>
  <c r="M17" i="80" s="1"/>
  <c r="M19" i="80" s="1"/>
  <c r="M11" i="83"/>
  <c r="M10" i="83" s="1"/>
  <c r="M17" i="83" s="1"/>
  <c r="M19" i="83" s="1"/>
  <c r="M11" i="74"/>
  <c r="M10" i="74" s="1"/>
  <c r="M17" i="74" s="1"/>
  <c r="M19" i="74" s="1"/>
  <c r="M11" i="86"/>
  <c r="M10" i="86" s="1"/>
  <c r="M17" i="86" s="1"/>
  <c r="M19" i="86" s="1"/>
  <c r="AH48" i="108"/>
  <c r="AH118" i="108" s="1"/>
  <c r="AI51" i="108"/>
  <c r="Y119" i="108"/>
  <c r="S125" i="108"/>
  <c r="S5" i="108"/>
  <c r="X20" i="45" s="1"/>
  <c r="T104" i="108"/>
  <c r="T126" i="108" s="1"/>
  <c r="T111" i="108" s="1"/>
  <c r="U107" i="108"/>
  <c r="AO71" i="118"/>
  <c r="AP74" i="118"/>
  <c r="AC60" i="118"/>
  <c r="AB57" i="118"/>
  <c r="AI16" i="108"/>
  <c r="AH13" i="108"/>
  <c r="AH113" i="108" s="1"/>
  <c r="V92" i="118"/>
  <c r="V126" i="118" s="1"/>
  <c r="W95" i="118"/>
  <c r="AE23" i="108"/>
  <c r="AD20" i="108"/>
  <c r="AD114" i="108" s="1"/>
  <c r="AF64" i="118"/>
  <c r="AG67" i="118"/>
  <c r="T113" i="118"/>
  <c r="T130" i="118" s="1"/>
  <c r="I26" i="45"/>
  <c r="O39" i="21"/>
  <c r="O12" i="21"/>
  <c r="O5" i="21" s="1"/>
  <c r="O15" i="94"/>
  <c r="R14" i="94"/>
  <c r="R15" i="91" s="1"/>
  <c r="R14" i="82"/>
  <c r="R15" i="80" s="1"/>
  <c r="O15" i="82"/>
  <c r="R14" i="88"/>
  <c r="R15" i="86" s="1"/>
  <c r="O15" i="88"/>
  <c r="P128" i="108"/>
  <c r="AA115" i="108"/>
  <c r="Z10" i="11"/>
  <c r="AB27" i="108"/>
  <c r="AC30" i="108"/>
  <c r="W13" i="13"/>
  <c r="X22" i="14"/>
  <c r="AF10" i="115"/>
  <c r="AE9" i="115"/>
  <c r="AE25" i="115"/>
  <c r="AC112" i="108"/>
  <c r="AE9" i="108"/>
  <c r="AD6" i="108"/>
  <c r="D18" i="91"/>
  <c r="E18" i="91" s="1"/>
  <c r="F18" i="91" s="1"/>
  <c r="G18" i="91" s="1"/>
  <c r="H18" i="91" s="1"/>
  <c r="I18" i="91" s="1"/>
  <c r="J18" i="91" s="1"/>
  <c r="K18" i="91" s="1"/>
  <c r="L18" i="91" s="1"/>
  <c r="M18" i="91" s="1"/>
  <c r="N18" i="91" s="1"/>
  <c r="D20" i="80"/>
  <c r="E20" i="80" s="1"/>
  <c r="F20" i="80" s="1"/>
  <c r="G20" i="80" s="1"/>
  <c r="H20" i="80" s="1"/>
  <c r="I20" i="80" s="1"/>
  <c r="J20" i="80" s="1"/>
  <c r="K20" i="80" s="1"/>
  <c r="L20" i="80" s="1"/>
  <c r="D18" i="80"/>
  <c r="E18" i="80" s="1"/>
  <c r="F18" i="80" s="1"/>
  <c r="G18" i="80" s="1"/>
  <c r="H18" i="80" s="1"/>
  <c r="I18" i="80" s="1"/>
  <c r="J18" i="80" s="1"/>
  <c r="K18" i="80" s="1"/>
  <c r="L18" i="80" s="1"/>
  <c r="M18" i="80" s="1"/>
  <c r="N18" i="80" s="1"/>
  <c r="S14" i="84"/>
  <c r="F15" i="83"/>
  <c r="S15" i="83" s="1"/>
  <c r="F15" i="84"/>
  <c r="J15" i="80"/>
  <c r="J15" i="82"/>
  <c r="S14" i="88"/>
  <c r="F15" i="86"/>
  <c r="S15" i="86" s="1"/>
  <c r="F15" i="88"/>
  <c r="J15" i="76"/>
  <c r="J15" i="77"/>
  <c r="W20" i="77"/>
  <c r="C24" i="77"/>
  <c r="W20" i="84"/>
  <c r="C24" i="84"/>
  <c r="S15" i="84"/>
  <c r="F18" i="84"/>
  <c r="S18" i="84" s="1"/>
  <c r="C19" i="84"/>
  <c r="S19" i="84" s="1"/>
  <c r="C17" i="84"/>
  <c r="C21" i="84" s="1"/>
  <c r="D16" i="84" s="1"/>
  <c r="D17" i="84" s="1"/>
  <c r="D21" i="84" s="1"/>
  <c r="E16" i="84" s="1"/>
  <c r="E17" i="84" s="1"/>
  <c r="E21" i="84" s="1"/>
  <c r="F16" i="84" s="1"/>
  <c r="D18" i="79"/>
  <c r="E18" i="79" s="1"/>
  <c r="F18" i="79" s="1"/>
  <c r="G18" i="79" s="1"/>
  <c r="H18" i="79" s="1"/>
  <c r="I18" i="79" s="1"/>
  <c r="J18" i="79" s="1"/>
  <c r="K18" i="79" s="1"/>
  <c r="L18" i="79" s="1"/>
  <c r="D20" i="91"/>
  <c r="E20" i="91" s="1"/>
  <c r="F20" i="91" s="1"/>
  <c r="G20" i="91" s="1"/>
  <c r="H20" i="91" s="1"/>
  <c r="I20" i="91" s="1"/>
  <c r="J20" i="91" s="1"/>
  <c r="K20" i="91" s="1"/>
  <c r="L20" i="91" s="1"/>
  <c r="M20" i="91" s="1"/>
  <c r="N20" i="91" s="1"/>
  <c r="D18" i="76"/>
  <c r="E18" i="76" s="1"/>
  <c r="F18" i="76" s="1"/>
  <c r="G18" i="76" s="1"/>
  <c r="H18" i="76" s="1"/>
  <c r="I18" i="76" s="1"/>
  <c r="J18" i="76" s="1"/>
  <c r="K18" i="76" s="1"/>
  <c r="L18" i="76" s="1"/>
  <c r="D20" i="74"/>
  <c r="E20" i="74" s="1"/>
  <c r="F20" i="74" s="1"/>
  <c r="G20" i="74" s="1"/>
  <c r="H20" i="74" s="1"/>
  <c r="I20" i="74" s="1"/>
  <c r="J20" i="74" s="1"/>
  <c r="K20" i="74" s="1"/>
  <c r="L20" i="74" s="1"/>
  <c r="M20" i="74" s="1"/>
  <c r="N20" i="74" s="1"/>
  <c r="D20" i="83"/>
  <c r="E20" i="83" s="1"/>
  <c r="F20" i="83" s="1"/>
  <c r="G20" i="83" s="1"/>
  <c r="H20" i="83" s="1"/>
  <c r="I20" i="83" s="1"/>
  <c r="J20" i="83" s="1"/>
  <c r="K20" i="83" s="1"/>
  <c r="L20" i="83" s="1"/>
  <c r="M20" i="83" s="1"/>
  <c r="N20" i="83" s="1"/>
  <c r="C24" i="82"/>
  <c r="W20" i="82"/>
  <c r="F15" i="80"/>
  <c r="S15" i="80" s="1"/>
  <c r="S14" i="82"/>
  <c r="T15" i="80" s="1"/>
  <c r="F15" i="82"/>
  <c r="S14" i="78"/>
  <c r="F15" i="79"/>
  <c r="S15" i="79" s="1"/>
  <c r="F15" i="78"/>
  <c r="J15" i="79"/>
  <c r="J15" i="78"/>
  <c r="F18" i="78"/>
  <c r="S18" i="78" s="1"/>
  <c r="S15" i="78"/>
  <c r="C19" i="78"/>
  <c r="S19" i="78" s="1"/>
  <c r="C17" i="78"/>
  <c r="C21" i="78" s="1"/>
  <c r="D16" i="78" s="1"/>
  <c r="D17" i="78" s="1"/>
  <c r="D21" i="78" s="1"/>
  <c r="E16" i="78" s="1"/>
  <c r="E17" i="78" s="1"/>
  <c r="E21" i="78" s="1"/>
  <c r="F16" i="78" s="1"/>
  <c r="F17" i="78" s="1"/>
  <c r="F18" i="88"/>
  <c r="S18" i="88" s="1"/>
  <c r="C17" i="88"/>
  <c r="C21" i="88" s="1"/>
  <c r="D16" i="88" s="1"/>
  <c r="D17" i="88" s="1"/>
  <c r="D21" i="88" s="1"/>
  <c r="E16" i="88" s="1"/>
  <c r="E17" i="88" s="1"/>
  <c r="E21" i="88" s="1"/>
  <c r="F16" i="88" s="1"/>
  <c r="C19" i="88"/>
  <c r="S19" i="88" s="1"/>
  <c r="S15" i="88"/>
  <c r="J15" i="86"/>
  <c r="J15" i="88"/>
  <c r="C24" i="88"/>
  <c r="W20" i="88"/>
  <c r="F15" i="76"/>
  <c r="S15" i="76" s="1"/>
  <c r="S14" i="77"/>
  <c r="F15" i="77"/>
  <c r="D18" i="95"/>
  <c r="E18" i="95" s="1"/>
  <c r="F18" i="95" s="1"/>
  <c r="G18" i="95" s="1"/>
  <c r="H18" i="95" s="1"/>
  <c r="I18" i="95" s="1"/>
  <c r="J18" i="95" s="1"/>
  <c r="K18" i="95" s="1"/>
  <c r="L18" i="95" s="1"/>
  <c r="M18" i="95" s="1"/>
  <c r="N18" i="95" s="1"/>
  <c r="D20" i="95"/>
  <c r="E20" i="95" s="1"/>
  <c r="F20" i="95" s="1"/>
  <c r="G20" i="95" s="1"/>
  <c r="H20" i="95" s="1"/>
  <c r="I20" i="95" s="1"/>
  <c r="J20" i="95" s="1"/>
  <c r="K20" i="95" s="1"/>
  <c r="L20" i="95" s="1"/>
  <c r="M20" i="95" s="1"/>
  <c r="N20" i="95" s="1"/>
  <c r="D20" i="79"/>
  <c r="E20" i="79" s="1"/>
  <c r="F20" i="79" s="1"/>
  <c r="G20" i="79" s="1"/>
  <c r="H20" i="79" s="1"/>
  <c r="I20" i="79" s="1"/>
  <c r="J20" i="79" s="1"/>
  <c r="K20" i="79" s="1"/>
  <c r="L20" i="79" s="1"/>
  <c r="S15" i="96"/>
  <c r="F18" i="96"/>
  <c r="S18" i="96" s="1"/>
  <c r="C19" i="96"/>
  <c r="S19" i="96" s="1"/>
  <c r="C17" i="96"/>
  <c r="C21" i="96" s="1"/>
  <c r="D16" i="96" s="1"/>
  <c r="D17" i="96" s="1"/>
  <c r="D21" i="96" s="1"/>
  <c r="E16" i="96" s="1"/>
  <c r="E17" i="96" s="1"/>
  <c r="E21" i="96" s="1"/>
  <c r="F16" i="96" s="1"/>
  <c r="S14" i="96"/>
  <c r="F15" i="95"/>
  <c r="S15" i="95" s="1"/>
  <c r="F15" i="96"/>
  <c r="J15" i="91"/>
  <c r="J15" i="94"/>
  <c r="C19" i="94"/>
  <c r="S19" i="94" s="1"/>
  <c r="C17" i="94"/>
  <c r="C21" i="94" s="1"/>
  <c r="D16" i="94" s="1"/>
  <c r="D17" i="94" s="1"/>
  <c r="D21" i="94" s="1"/>
  <c r="E16" i="94" s="1"/>
  <c r="E17" i="94" s="1"/>
  <c r="E21" i="94" s="1"/>
  <c r="F16" i="94" s="1"/>
  <c r="F18" i="94"/>
  <c r="S18" i="94" s="1"/>
  <c r="S15" i="94"/>
  <c r="D18" i="74"/>
  <c r="E18" i="74" s="1"/>
  <c r="F18" i="74" s="1"/>
  <c r="G18" i="74" s="1"/>
  <c r="H18" i="74" s="1"/>
  <c r="I18" i="74" s="1"/>
  <c r="J18" i="74" s="1"/>
  <c r="K18" i="74" s="1"/>
  <c r="L18" i="74" s="1"/>
  <c r="J15" i="83"/>
  <c r="J15" i="84"/>
  <c r="F18" i="82"/>
  <c r="S18" i="82" s="1"/>
  <c r="C17" i="82"/>
  <c r="C21" i="82" s="1"/>
  <c r="D16" i="82" s="1"/>
  <c r="D17" i="82" s="1"/>
  <c r="D21" i="82" s="1"/>
  <c r="E16" i="82" s="1"/>
  <c r="E17" i="82" s="1"/>
  <c r="E21" i="82" s="1"/>
  <c r="F16" i="82" s="1"/>
  <c r="C19" i="82"/>
  <c r="S19" i="82" s="1"/>
  <c r="S15" i="82"/>
  <c r="C24" i="78"/>
  <c r="W20" i="78"/>
  <c r="C19" i="77"/>
  <c r="S19" i="77" s="1"/>
  <c r="C17" i="77"/>
  <c r="C21" i="77" s="1"/>
  <c r="D16" i="77" s="1"/>
  <c r="D17" i="77" s="1"/>
  <c r="D21" i="77" s="1"/>
  <c r="E16" i="77" s="1"/>
  <c r="E17" i="77" s="1"/>
  <c r="E21" i="77" s="1"/>
  <c r="F16" i="77" s="1"/>
  <c r="F18" i="77"/>
  <c r="S18" i="77" s="1"/>
  <c r="S15" i="77"/>
  <c r="C15" i="13"/>
  <c r="C26" i="13"/>
  <c r="D26" i="13" s="1"/>
  <c r="D18" i="86"/>
  <c r="E18" i="86" s="1"/>
  <c r="F18" i="86" s="1"/>
  <c r="G18" i="86" s="1"/>
  <c r="H18" i="86" s="1"/>
  <c r="I18" i="86" s="1"/>
  <c r="J18" i="86" s="1"/>
  <c r="K18" i="86" s="1"/>
  <c r="L18" i="86" s="1"/>
  <c r="M18" i="86" s="1"/>
  <c r="N18" i="86" s="1"/>
  <c r="D20" i="86"/>
  <c r="E20" i="86" s="1"/>
  <c r="F20" i="86" s="1"/>
  <c r="G20" i="86" s="1"/>
  <c r="H20" i="86" s="1"/>
  <c r="I20" i="86" s="1"/>
  <c r="J20" i="86" s="1"/>
  <c r="K20" i="86" s="1"/>
  <c r="L20" i="86" s="1"/>
  <c r="M20" i="86" s="1"/>
  <c r="N20" i="86" s="1"/>
  <c r="J15" i="95"/>
  <c r="J15" i="96"/>
  <c r="C24" i="96"/>
  <c r="W20" i="96"/>
  <c r="W20" i="94"/>
  <c r="C24" i="94"/>
  <c r="S14" i="94"/>
  <c r="F15" i="91"/>
  <c r="S15" i="91" s="1"/>
  <c r="F15" i="94"/>
  <c r="D5" i="14"/>
  <c r="AQ10" i="14"/>
  <c r="D20" i="76"/>
  <c r="E20" i="76" s="1"/>
  <c r="F20" i="76" s="1"/>
  <c r="G20" i="76" s="1"/>
  <c r="H20" i="76" s="1"/>
  <c r="I20" i="76" s="1"/>
  <c r="J20" i="76" s="1"/>
  <c r="K20" i="76" s="1"/>
  <c r="L20" i="76" s="1"/>
  <c r="M20" i="76" s="1"/>
  <c r="N20" i="76" s="1"/>
  <c r="D18" i="83"/>
  <c r="E18" i="83" s="1"/>
  <c r="F18" i="83" s="1"/>
  <c r="G18" i="83" s="1"/>
  <c r="H18" i="83" s="1"/>
  <c r="I18" i="83" s="1"/>
  <c r="J18" i="83" s="1"/>
  <c r="K18" i="83" s="1"/>
  <c r="L18" i="83" s="1"/>
  <c r="M18" i="83" s="1"/>
  <c r="N18" i="83" s="1"/>
  <c r="I13" i="103"/>
  <c r="M18" i="74" l="1"/>
  <c r="N18" i="74" s="1"/>
  <c r="M20" i="79"/>
  <c r="N20" i="79" s="1"/>
  <c r="M18" i="76"/>
  <c r="N18" i="76" s="1"/>
  <c r="M18" i="79"/>
  <c r="N18" i="79" s="1"/>
  <c r="M20" i="80"/>
  <c r="N20" i="80" s="1"/>
  <c r="Q128" i="108"/>
  <c r="Q8" i="11" s="1"/>
  <c r="AC21" i="14"/>
  <c r="AD13" i="11"/>
  <c r="O19" i="88"/>
  <c r="R18" i="88"/>
  <c r="R18" i="82"/>
  <c r="O19" i="82"/>
  <c r="AH67" i="118"/>
  <c r="AG64" i="118"/>
  <c r="AG122" i="118" s="1"/>
  <c r="AI13" i="108"/>
  <c r="AI113" i="108" s="1"/>
  <c r="AJ16" i="108"/>
  <c r="AB121" i="118"/>
  <c r="AP71" i="118"/>
  <c r="AQ74" i="118"/>
  <c r="AQ71" i="118" s="1"/>
  <c r="S7" i="14"/>
  <c r="S6" i="14" s="1"/>
  <c r="S5" i="14" s="1"/>
  <c r="T129" i="108"/>
  <c r="R6" i="13"/>
  <c r="R5" i="13" s="1"/>
  <c r="X10" i="103" s="1"/>
  <c r="X11" i="103" s="1"/>
  <c r="T5" i="11"/>
  <c r="S32" i="21"/>
  <c r="S111" i="108"/>
  <c r="AG15" i="118"/>
  <c r="AH18" i="118"/>
  <c r="AN85" i="118"/>
  <c r="AN125" i="118" s="1"/>
  <c r="AO88" i="118"/>
  <c r="AQ119" i="108"/>
  <c r="Z81" i="118"/>
  <c r="Y78" i="118"/>
  <c r="Y124" i="118" s="1"/>
  <c r="AC22" i="118"/>
  <c r="AD25" i="118"/>
  <c r="AA74" i="118"/>
  <c r="Z71" i="118"/>
  <c r="C114" i="118"/>
  <c r="AQ65" i="108"/>
  <c r="AQ62" i="108" s="1"/>
  <c r="AP62" i="108"/>
  <c r="AP120" i="108" s="1"/>
  <c r="T5" i="108"/>
  <c r="U22" i="45" s="1"/>
  <c r="R18" i="96"/>
  <c r="O19" i="96"/>
  <c r="W109" i="118"/>
  <c r="V106" i="118"/>
  <c r="V128" i="118" s="1"/>
  <c r="AF11" i="115"/>
  <c r="AE26" i="115"/>
  <c r="AE24" i="115" s="1"/>
  <c r="AD34" i="21" s="1"/>
  <c r="AB29" i="118"/>
  <c r="AB117" i="118" s="1"/>
  <c r="AC32" i="118"/>
  <c r="U97" i="108"/>
  <c r="V100" i="108"/>
  <c r="AA55" i="108"/>
  <c r="AB58" i="108"/>
  <c r="W83" i="108"/>
  <c r="AN86" i="108"/>
  <c r="X86" i="108"/>
  <c r="U127" i="118"/>
  <c r="U7" i="118"/>
  <c r="AB120" i="118"/>
  <c r="BO32" i="8"/>
  <c r="BM8" i="8"/>
  <c r="V90" i="108"/>
  <c r="W93" i="108"/>
  <c r="X76" i="108"/>
  <c r="X122" i="108" s="1"/>
  <c r="Y79" i="108"/>
  <c r="AN76" i="108"/>
  <c r="AO79" i="108"/>
  <c r="Z72" i="108"/>
  <c r="Y69" i="108"/>
  <c r="N12" i="13"/>
  <c r="O20" i="14" s="1"/>
  <c r="P8" i="11"/>
  <c r="O19" i="94"/>
  <c r="R18" i="94"/>
  <c r="O11" i="79"/>
  <c r="O10" i="79" s="1"/>
  <c r="O17" i="79" s="1"/>
  <c r="O19" i="79" s="1"/>
  <c r="O20" i="79" s="1"/>
  <c r="O11" i="83"/>
  <c r="O10" i="83" s="1"/>
  <c r="O17" i="83" s="1"/>
  <c r="O19" i="83" s="1"/>
  <c r="O20" i="83" s="1"/>
  <c r="O11" i="86"/>
  <c r="O10" i="86" s="1"/>
  <c r="O17" i="86" s="1"/>
  <c r="O19" i="86" s="1"/>
  <c r="O20" i="86" s="1"/>
  <c r="O11" i="76"/>
  <c r="O10" i="76" s="1"/>
  <c r="O17" i="76" s="1"/>
  <c r="O19" i="76" s="1"/>
  <c r="O20" i="76" s="1"/>
  <c r="O11" i="74"/>
  <c r="O10" i="74" s="1"/>
  <c r="O17" i="74" s="1"/>
  <c r="O19" i="74" s="1"/>
  <c r="O20" i="74" s="1"/>
  <c r="N10" i="13"/>
  <c r="O11" i="95"/>
  <c r="O10" i="95" s="1"/>
  <c r="O17" i="95" s="1"/>
  <c r="O19" i="95" s="1"/>
  <c r="O20" i="95" s="1"/>
  <c r="O18" i="14"/>
  <c r="O11" i="91"/>
  <c r="O10" i="91" s="1"/>
  <c r="O17" i="91" s="1"/>
  <c r="O19" i="91" s="1"/>
  <c r="O20" i="91" s="1"/>
  <c r="O11" i="80"/>
  <c r="O10" i="80" s="1"/>
  <c r="O17" i="80" s="1"/>
  <c r="O19" i="80" s="1"/>
  <c r="T132" i="118"/>
  <c r="T131" i="118"/>
  <c r="T133" i="118"/>
  <c r="AF122" i="118"/>
  <c r="AF23" i="108"/>
  <c r="AE20" i="108"/>
  <c r="AE114" i="108" s="1"/>
  <c r="W92" i="118"/>
  <c r="W126" i="118" s="1"/>
  <c r="X95" i="118"/>
  <c r="AN95" i="118"/>
  <c r="AC57" i="118"/>
  <c r="AC121" i="118" s="1"/>
  <c r="AD60" i="118"/>
  <c r="AO123" i="118"/>
  <c r="U104" i="108"/>
  <c r="U126" i="108" s="1"/>
  <c r="V107" i="108"/>
  <c r="AI48" i="108"/>
  <c r="AI118" i="108" s="1"/>
  <c r="AJ51" i="108"/>
  <c r="AF115" i="118"/>
  <c r="BM33" i="8"/>
  <c r="BK9" i="8"/>
  <c r="AH23" i="8" s="1"/>
  <c r="Y88" i="118"/>
  <c r="X85" i="118"/>
  <c r="X125" i="118" s="1"/>
  <c r="AO78" i="118"/>
  <c r="AO124" i="118" s="1"/>
  <c r="AP81" i="118"/>
  <c r="AB116" i="118"/>
  <c r="Y123" i="118"/>
  <c r="AD43" i="118"/>
  <c r="AD119" i="118" s="1"/>
  <c r="AE46" i="118"/>
  <c r="BI6" i="8"/>
  <c r="AG27" i="8" s="1"/>
  <c r="AP72" i="108"/>
  <c r="AO69" i="108"/>
  <c r="AC34" i="108"/>
  <c r="AC116" i="108" s="1"/>
  <c r="AD37" i="108"/>
  <c r="O19" i="77"/>
  <c r="R18" i="77"/>
  <c r="O19" i="78"/>
  <c r="R18" i="78"/>
  <c r="O19" i="84"/>
  <c r="R18" i="84"/>
  <c r="U113" i="118"/>
  <c r="U130" i="118" s="1"/>
  <c r="R132" i="108"/>
  <c r="R131" i="108"/>
  <c r="R130" i="108"/>
  <c r="Q10" i="88"/>
  <c r="Q13" i="88" s="1"/>
  <c r="Q15" i="88" s="1"/>
  <c r="Q10" i="82"/>
  <c r="Q13" i="82" s="1"/>
  <c r="Q15" i="82" s="1"/>
  <c r="Q10" i="94"/>
  <c r="Q13" i="94" s="1"/>
  <c r="Q15" i="94" s="1"/>
  <c r="Q10" i="84"/>
  <c r="Q13" i="84" s="1"/>
  <c r="Q15" i="84" s="1"/>
  <c r="Q14" i="21"/>
  <c r="Q10" i="96"/>
  <c r="Q13" i="96" s="1"/>
  <c r="Q15" i="96" s="1"/>
  <c r="Q10" i="77"/>
  <c r="Q13" i="77" s="1"/>
  <c r="Q15" i="77" s="1"/>
  <c r="Q10" i="78"/>
  <c r="Q13" i="78" s="1"/>
  <c r="Q15" i="78" s="1"/>
  <c r="R11" i="11"/>
  <c r="Q38" i="21"/>
  <c r="Z119" i="108"/>
  <c r="AE36" i="118"/>
  <c r="AF39" i="118"/>
  <c r="AI41" i="108"/>
  <c r="AI117" i="108" s="1"/>
  <c r="AJ44" i="108"/>
  <c r="V99" i="118"/>
  <c r="V127" i="118" s="1"/>
  <c r="W102" i="118"/>
  <c r="AD53" i="118"/>
  <c r="AC50" i="118"/>
  <c r="AC120" i="118" s="1"/>
  <c r="AA65" i="108"/>
  <c r="Z62" i="108"/>
  <c r="Z120" i="108" s="1"/>
  <c r="AH22" i="8"/>
  <c r="BK6" i="8"/>
  <c r="AH27" i="8" s="1"/>
  <c r="X121" i="108"/>
  <c r="AB115" i="108"/>
  <c r="AC27" i="108"/>
  <c r="AD30" i="108"/>
  <c r="Y22" i="14"/>
  <c r="X13" i="13"/>
  <c r="AA10" i="11"/>
  <c r="F17" i="82"/>
  <c r="F21" i="82" s="1"/>
  <c r="G16" i="82" s="1"/>
  <c r="G17" i="82" s="1"/>
  <c r="G21" i="82" s="1"/>
  <c r="H16" i="82" s="1"/>
  <c r="H17" i="82" s="1"/>
  <c r="H21" i="82" s="1"/>
  <c r="I16" i="82" s="1"/>
  <c r="I17" i="82" s="1"/>
  <c r="I21" i="82" s="1"/>
  <c r="J16" i="82" s="1"/>
  <c r="J17" i="82" s="1"/>
  <c r="J21" i="82" s="1"/>
  <c r="K16" i="82" s="1"/>
  <c r="K17" i="82" s="1"/>
  <c r="K21" i="82" s="1"/>
  <c r="L16" i="82" s="1"/>
  <c r="L17" i="82" s="1"/>
  <c r="L21" i="82" s="1"/>
  <c r="M16" i="82" s="1"/>
  <c r="M17" i="82" s="1"/>
  <c r="M21" i="82" s="1"/>
  <c r="N16" i="82" s="1"/>
  <c r="N17" i="82" s="1"/>
  <c r="N21" i="82" s="1"/>
  <c r="O16" i="82" s="1"/>
  <c r="O17" i="82" s="1"/>
  <c r="O21" i="82" s="1"/>
  <c r="P16" i="82" s="1"/>
  <c r="AG10" i="115"/>
  <c r="AF25" i="115"/>
  <c r="AF9" i="115"/>
  <c r="AE6" i="108"/>
  <c r="AF9" i="108"/>
  <c r="AD112" i="108"/>
  <c r="F17" i="84"/>
  <c r="F21" i="84" s="1"/>
  <c r="G16" i="84" s="1"/>
  <c r="G17" i="84" s="1"/>
  <c r="G21" i="84" s="1"/>
  <c r="H16" i="84" s="1"/>
  <c r="H17" i="84" s="1"/>
  <c r="H21" i="84" s="1"/>
  <c r="I16" i="84" s="1"/>
  <c r="I17" i="84" s="1"/>
  <c r="I21" i="84" s="1"/>
  <c r="J16" i="84" s="1"/>
  <c r="J17" i="84" s="1"/>
  <c r="J21" i="84" s="1"/>
  <c r="K16" i="84" s="1"/>
  <c r="K17" i="84" s="1"/>
  <c r="K21" i="84" s="1"/>
  <c r="L16" i="84" s="1"/>
  <c r="L17" i="84" s="1"/>
  <c r="L21" i="84" s="1"/>
  <c r="M16" i="84" s="1"/>
  <c r="M17" i="84" s="1"/>
  <c r="M21" i="84" s="1"/>
  <c r="N16" i="84" s="1"/>
  <c r="N17" i="84" s="1"/>
  <c r="N21" i="84" s="1"/>
  <c r="O16" i="84" s="1"/>
  <c r="O17" i="84" s="1"/>
  <c r="O21" i="84" s="1"/>
  <c r="P16" i="84" s="1"/>
  <c r="F17" i="88"/>
  <c r="F21" i="88" s="1"/>
  <c r="G16" i="88" s="1"/>
  <c r="G17" i="88" s="1"/>
  <c r="G21" i="88" s="1"/>
  <c r="H16" i="88" s="1"/>
  <c r="H17" i="88" s="1"/>
  <c r="H21" i="88" s="1"/>
  <c r="I16" i="88" s="1"/>
  <c r="I17" i="88" s="1"/>
  <c r="I21" i="88" s="1"/>
  <c r="J16" i="88" s="1"/>
  <c r="J17" i="88" s="1"/>
  <c r="J21" i="88" s="1"/>
  <c r="K16" i="88" s="1"/>
  <c r="K17" i="88" s="1"/>
  <c r="K21" i="88" s="1"/>
  <c r="L16" i="88" s="1"/>
  <c r="L17" i="88" s="1"/>
  <c r="L21" i="88" s="1"/>
  <c r="M16" i="88" s="1"/>
  <c r="M17" i="88" s="1"/>
  <c r="M21" i="88" s="1"/>
  <c r="N16" i="88" s="1"/>
  <c r="N17" i="88" s="1"/>
  <c r="N21" i="88" s="1"/>
  <c r="O16" i="88" s="1"/>
  <c r="O17" i="88" s="1"/>
  <c r="O21" i="88" s="1"/>
  <c r="P16" i="88" s="1"/>
  <c r="F21" i="78"/>
  <c r="G16" i="78" s="1"/>
  <c r="G17" i="78" s="1"/>
  <c r="G21" i="78" s="1"/>
  <c r="H16" i="78" s="1"/>
  <c r="H17" i="78" s="1"/>
  <c r="H21" i="78" s="1"/>
  <c r="I16" i="78" s="1"/>
  <c r="I17" i="78" s="1"/>
  <c r="I21" i="78" s="1"/>
  <c r="J16" i="78" s="1"/>
  <c r="J17" i="78" s="1"/>
  <c r="J21" i="78" s="1"/>
  <c r="K16" i="78" s="1"/>
  <c r="K17" i="78" s="1"/>
  <c r="K21" i="78" s="1"/>
  <c r="L16" i="78" s="1"/>
  <c r="L17" i="78" s="1"/>
  <c r="L21" i="78" s="1"/>
  <c r="M16" i="78" s="1"/>
  <c r="M17" i="78" s="1"/>
  <c r="M21" i="78" s="1"/>
  <c r="N16" i="78" s="1"/>
  <c r="N17" i="78" s="1"/>
  <c r="N21" i="78" s="1"/>
  <c r="O16" i="78" s="1"/>
  <c r="O17" i="78" s="1"/>
  <c r="O21" i="78" s="1"/>
  <c r="P16" i="78" s="1"/>
  <c r="D28" i="14"/>
  <c r="E26" i="13"/>
  <c r="F26" i="13" s="1"/>
  <c r="D17" i="13"/>
  <c r="F17" i="77"/>
  <c r="F21" i="77" s="1"/>
  <c r="G16" i="77" s="1"/>
  <c r="G17" i="77" s="1"/>
  <c r="G21" i="77" s="1"/>
  <c r="H16" i="77" s="1"/>
  <c r="H17" i="77" s="1"/>
  <c r="H21" i="77" s="1"/>
  <c r="I16" i="77" s="1"/>
  <c r="I17" i="77" s="1"/>
  <c r="I21" i="77" s="1"/>
  <c r="J16" i="77" s="1"/>
  <c r="J17" i="77" s="1"/>
  <c r="J21" i="77" s="1"/>
  <c r="K16" i="77" s="1"/>
  <c r="K17" i="77" s="1"/>
  <c r="K21" i="77" s="1"/>
  <c r="L16" i="77" s="1"/>
  <c r="L17" i="77" s="1"/>
  <c r="L21" i="77" s="1"/>
  <c r="M16" i="77" s="1"/>
  <c r="M17" i="77" s="1"/>
  <c r="M21" i="77" s="1"/>
  <c r="N16" i="77" s="1"/>
  <c r="N17" i="77" s="1"/>
  <c r="N21" i="77" s="1"/>
  <c r="O16" i="77" s="1"/>
  <c r="O17" i="77" s="1"/>
  <c r="O21" i="77" s="1"/>
  <c r="P16" i="77" s="1"/>
  <c r="F17" i="94"/>
  <c r="F21" i="94" s="1"/>
  <c r="G16" i="94" s="1"/>
  <c r="G17" i="94" s="1"/>
  <c r="G21" i="94" s="1"/>
  <c r="H16" i="94" s="1"/>
  <c r="H17" i="94" s="1"/>
  <c r="H21" i="94" s="1"/>
  <c r="I16" i="94" s="1"/>
  <c r="I17" i="94" s="1"/>
  <c r="I21" i="94" s="1"/>
  <c r="J16" i="94" s="1"/>
  <c r="J17" i="94" s="1"/>
  <c r="J21" i="94" s="1"/>
  <c r="K16" i="94" s="1"/>
  <c r="K17" i="94" s="1"/>
  <c r="K21" i="94" s="1"/>
  <c r="L16" i="94" s="1"/>
  <c r="L17" i="94" s="1"/>
  <c r="L21" i="94" s="1"/>
  <c r="M16" i="94" s="1"/>
  <c r="M17" i="94" s="1"/>
  <c r="M21" i="94" s="1"/>
  <c r="N16" i="94" s="1"/>
  <c r="N17" i="94" s="1"/>
  <c r="N21" i="94" s="1"/>
  <c r="O16" i="94" s="1"/>
  <c r="O17" i="94" s="1"/>
  <c r="O21" i="94" s="1"/>
  <c r="P16" i="94" s="1"/>
  <c r="F17" i="96"/>
  <c r="F21" i="96" s="1"/>
  <c r="G16" i="96" s="1"/>
  <c r="G17" i="96" s="1"/>
  <c r="G21" i="96" s="1"/>
  <c r="H16" i="96" s="1"/>
  <c r="H17" i="96" s="1"/>
  <c r="H21" i="96" s="1"/>
  <c r="I16" i="96" s="1"/>
  <c r="I17" i="96" s="1"/>
  <c r="I21" i="96" s="1"/>
  <c r="J16" i="96" s="1"/>
  <c r="J17" i="96" s="1"/>
  <c r="J21" i="96" s="1"/>
  <c r="K16" i="96" s="1"/>
  <c r="K17" i="96" s="1"/>
  <c r="K21" i="96" s="1"/>
  <c r="L16" i="96" s="1"/>
  <c r="L17" i="96" s="1"/>
  <c r="L21" i="96" s="1"/>
  <c r="M16" i="96" s="1"/>
  <c r="M17" i="96" s="1"/>
  <c r="M21" i="96" s="1"/>
  <c r="N16" i="96" s="1"/>
  <c r="N17" i="96" s="1"/>
  <c r="N21" i="96" s="1"/>
  <c r="O16" i="96" s="1"/>
  <c r="O17" i="96" s="1"/>
  <c r="O21" i="96" s="1"/>
  <c r="P16" i="96" s="1"/>
  <c r="C17" i="13"/>
  <c r="C18" i="13" s="1"/>
  <c r="C16" i="13"/>
  <c r="D16" i="13" s="1"/>
  <c r="T15" i="95"/>
  <c r="T15" i="83"/>
  <c r="T15" i="86"/>
  <c r="T129" i="118" l="1"/>
  <c r="O20" i="80"/>
  <c r="O12" i="13"/>
  <c r="P20" i="14" s="1"/>
  <c r="R128" i="108"/>
  <c r="R8" i="11" s="1"/>
  <c r="AE13" i="11"/>
  <c r="AD21" i="14"/>
  <c r="AD50" i="118"/>
  <c r="AD120" i="118" s="1"/>
  <c r="AE53" i="118"/>
  <c r="AJ41" i="108"/>
  <c r="AJ117" i="108" s="1"/>
  <c r="AK44" i="108"/>
  <c r="AF36" i="118"/>
  <c r="AF118" i="118" s="1"/>
  <c r="AG39" i="118"/>
  <c r="U131" i="118"/>
  <c r="U133" i="118"/>
  <c r="U132" i="118"/>
  <c r="U129" i="118"/>
  <c r="AQ72" i="108"/>
  <c r="AQ69" i="108" s="1"/>
  <c r="AP69" i="108"/>
  <c r="AP121" i="108" s="1"/>
  <c r="AF46" i="118"/>
  <c r="AE43" i="118"/>
  <c r="AE119" i="118" s="1"/>
  <c r="Y85" i="118"/>
  <c r="Z88" i="118"/>
  <c r="BM9" i="8"/>
  <c r="AI23" i="8" s="1"/>
  <c r="BO33" i="8"/>
  <c r="X92" i="118"/>
  <c r="X126" i="118" s="1"/>
  <c r="Y95" i="118"/>
  <c r="O17" i="14"/>
  <c r="N9" i="13"/>
  <c r="N15" i="13" s="1"/>
  <c r="O18" i="76"/>
  <c r="O18" i="95"/>
  <c r="O18" i="74"/>
  <c r="Z69" i="108"/>
  <c r="AA72" i="108"/>
  <c r="AN93" i="108"/>
  <c r="W90" i="108"/>
  <c r="W124" i="108" s="1"/>
  <c r="X93" i="108"/>
  <c r="AI22" i="8"/>
  <c r="BM6" i="8"/>
  <c r="AI27" i="8" s="1"/>
  <c r="X83" i="108"/>
  <c r="Y86" i="108"/>
  <c r="W123" i="108"/>
  <c r="V7" i="118"/>
  <c r="AA119" i="108"/>
  <c r="U125" i="108"/>
  <c r="U111" i="108" s="1"/>
  <c r="U5" i="108"/>
  <c r="V22" i="45" s="1"/>
  <c r="AG11" i="115"/>
  <c r="AF26" i="115"/>
  <c r="AF24" i="115" s="1"/>
  <c r="AE34" i="21" s="1"/>
  <c r="X109" i="118"/>
  <c r="AN109" i="118"/>
  <c r="W106" i="118"/>
  <c r="W128" i="118" s="1"/>
  <c r="Z123" i="118"/>
  <c r="AD22" i="118"/>
  <c r="AE25" i="118"/>
  <c r="AO85" i="118"/>
  <c r="AP88" i="118"/>
  <c r="AI18" i="118"/>
  <c r="AH15" i="118"/>
  <c r="R7" i="14"/>
  <c r="R6" i="14" s="1"/>
  <c r="R5" i="14" s="1"/>
  <c r="Q6" i="13"/>
  <c r="Q5" i="13" s="1"/>
  <c r="W10" i="103" s="1"/>
  <c r="W11" i="103" s="1"/>
  <c r="R32" i="21"/>
  <c r="S5" i="11"/>
  <c r="S129" i="108"/>
  <c r="S127" i="108"/>
  <c r="T127" i="108" s="1"/>
  <c r="T130" i="108"/>
  <c r="T132" i="108"/>
  <c r="T131" i="108"/>
  <c r="AP123" i="118"/>
  <c r="AI67" i="118"/>
  <c r="AH64" i="118"/>
  <c r="O18" i="91"/>
  <c r="O18" i="83"/>
  <c r="AA62" i="108"/>
  <c r="AA120" i="108" s="1"/>
  <c r="AB65" i="108"/>
  <c r="AN102" i="118"/>
  <c r="X102" i="118"/>
  <c r="W99" i="118"/>
  <c r="AE118" i="118"/>
  <c r="Q12" i="21"/>
  <c r="Q5" i="21" s="1"/>
  <c r="I28" i="45"/>
  <c r="Q39" i="21"/>
  <c r="AD34" i="108"/>
  <c r="AD116" i="108" s="1"/>
  <c r="AE37" i="108"/>
  <c r="AP78" i="118"/>
  <c r="AP124" i="118" s="1"/>
  <c r="AQ81" i="118"/>
  <c r="AQ78" i="118" s="1"/>
  <c r="AJ48" i="108"/>
  <c r="AJ118" i="108" s="1"/>
  <c r="AK51" i="108"/>
  <c r="V104" i="108"/>
  <c r="V126" i="108" s="1"/>
  <c r="W107" i="108"/>
  <c r="AD57" i="118"/>
  <c r="AD121" i="118" s="1"/>
  <c r="AE60" i="118"/>
  <c r="AO95" i="118"/>
  <c r="AN92" i="118"/>
  <c r="AG23" i="108"/>
  <c r="AF20" i="108"/>
  <c r="AF114" i="108" s="1"/>
  <c r="O18" i="79"/>
  <c r="Y121" i="108"/>
  <c r="AP79" i="108"/>
  <c r="AO76" i="108"/>
  <c r="Y76" i="108"/>
  <c r="Y122" i="108" s="1"/>
  <c r="Z79" i="108"/>
  <c r="V124" i="108"/>
  <c r="BQ32" i="8"/>
  <c r="BQ8" i="8" s="1"/>
  <c r="BO8" i="8"/>
  <c r="AO86" i="108"/>
  <c r="AN83" i="108"/>
  <c r="AB55" i="108"/>
  <c r="AC58" i="108"/>
  <c r="V97" i="108"/>
  <c r="V125" i="108" s="1"/>
  <c r="W100" i="108"/>
  <c r="AC29" i="118"/>
  <c r="AD32" i="118"/>
  <c r="V113" i="118"/>
  <c r="V130" i="118" s="1"/>
  <c r="AQ120" i="108"/>
  <c r="AA71" i="118"/>
  <c r="AB74" i="118"/>
  <c r="AC116" i="118"/>
  <c r="Z78" i="118"/>
  <c r="Z124" i="118" s="1"/>
  <c r="AA81" i="118"/>
  <c r="AG115" i="118"/>
  <c r="S14" i="21"/>
  <c r="T11" i="11"/>
  <c r="S38" i="21"/>
  <c r="AQ123" i="118"/>
  <c r="AK16" i="108"/>
  <c r="AJ13" i="108"/>
  <c r="AJ113" i="108" s="1"/>
  <c r="O18" i="80"/>
  <c r="O18" i="86"/>
  <c r="AC115" i="108"/>
  <c r="AB10" i="11"/>
  <c r="Z22" i="14"/>
  <c r="Y13" i="13"/>
  <c r="AD27" i="108"/>
  <c r="AE30" i="108"/>
  <c r="AH10" i="115"/>
  <c r="AG25" i="115"/>
  <c r="AG9" i="115"/>
  <c r="AE112" i="108"/>
  <c r="AG9" i="108"/>
  <c r="AF6" i="108"/>
  <c r="D18" i="13"/>
  <c r="G26" i="13"/>
  <c r="F17" i="13"/>
  <c r="D6" i="107"/>
  <c r="E6" i="115"/>
  <c r="P12" i="13" l="1"/>
  <c r="Q20" i="14" s="1"/>
  <c r="T32" i="21"/>
  <c r="T7" i="14"/>
  <c r="T6" i="14" s="1"/>
  <c r="T5" i="14" s="1"/>
  <c r="S6" i="13"/>
  <c r="S5" i="13" s="1"/>
  <c r="Y10" i="103" s="1"/>
  <c r="Y11" i="103" s="1"/>
  <c r="U129" i="108"/>
  <c r="U5" i="11"/>
  <c r="AF13" i="11"/>
  <c r="AE21" i="14"/>
  <c r="AA123" i="118"/>
  <c r="AD29" i="118"/>
  <c r="AD117" i="118" s="1"/>
  <c r="AE32" i="118"/>
  <c r="W97" i="108"/>
  <c r="X100" i="108"/>
  <c r="AN100" i="108"/>
  <c r="AD58" i="108"/>
  <c r="AC55" i="108"/>
  <c r="AJ22" i="8"/>
  <c r="V5" i="108"/>
  <c r="W22" i="45" s="1"/>
  <c r="Z76" i="108"/>
  <c r="Z122" i="108" s="1"/>
  <c r="AA79" i="108"/>
  <c r="AH23" i="108"/>
  <c r="AG20" i="108"/>
  <c r="AG114" i="108" s="1"/>
  <c r="AO92" i="118"/>
  <c r="AO126" i="118" s="1"/>
  <c r="AP95" i="118"/>
  <c r="AE34" i="108"/>
  <c r="AF37" i="108"/>
  <c r="P10" i="13"/>
  <c r="P9" i="13" s="1"/>
  <c r="P15" i="13" s="1"/>
  <c r="Q11" i="79"/>
  <c r="Q10" i="79" s="1"/>
  <c r="Q17" i="79" s="1"/>
  <c r="Q19" i="79" s="1"/>
  <c r="Q11" i="76"/>
  <c r="Q10" i="76" s="1"/>
  <c r="Q17" i="76" s="1"/>
  <c r="Q19" i="76" s="1"/>
  <c r="Q11" i="86"/>
  <c r="Q10" i="86" s="1"/>
  <c r="Q17" i="86" s="1"/>
  <c r="Q19" i="86" s="1"/>
  <c r="Q11" i="95"/>
  <c r="Q10" i="95" s="1"/>
  <c r="Q17" i="95" s="1"/>
  <c r="Q19" i="95" s="1"/>
  <c r="Q11" i="80"/>
  <c r="Q10" i="80" s="1"/>
  <c r="Q17" i="80" s="1"/>
  <c r="Q19" i="80" s="1"/>
  <c r="Q18" i="14"/>
  <c r="Q17" i="14" s="1"/>
  <c r="Q11" i="83"/>
  <c r="Q10" i="83" s="1"/>
  <c r="Q17" i="83" s="1"/>
  <c r="Q19" i="83" s="1"/>
  <c r="Q11" i="91"/>
  <c r="Q10" i="91" s="1"/>
  <c r="Q17" i="91" s="1"/>
  <c r="Q19" i="91" s="1"/>
  <c r="Q11" i="74"/>
  <c r="Q10" i="74" s="1"/>
  <c r="Q17" i="74" s="1"/>
  <c r="Q19" i="74" s="1"/>
  <c r="Y102" i="118"/>
  <c r="X99" i="118"/>
  <c r="X127" i="118" s="1"/>
  <c r="AC65" i="108"/>
  <c r="AB62" i="108"/>
  <c r="AH122" i="118"/>
  <c r="U127" i="108"/>
  <c r="AH115" i="118"/>
  <c r="AP85" i="118"/>
  <c r="AP125" i="118" s="1"/>
  <c r="AQ88" i="118"/>
  <c r="AQ85" i="118" s="1"/>
  <c r="AD116" i="118"/>
  <c r="AO109" i="118"/>
  <c r="AN106" i="118"/>
  <c r="AN128" i="118" s="1"/>
  <c r="X123" i="108"/>
  <c r="X90" i="108"/>
  <c r="X124" i="108" s="1"/>
  <c r="Y93" i="108"/>
  <c r="AO93" i="108"/>
  <c r="AN90" i="108"/>
  <c r="AA69" i="108"/>
  <c r="AA121" i="108" s="1"/>
  <c r="AB72" i="108"/>
  <c r="T12" i="103"/>
  <c r="T13" i="103" s="1"/>
  <c r="O28" i="14"/>
  <c r="Y125" i="118"/>
  <c r="AG36" i="118"/>
  <c r="AH39" i="118"/>
  <c r="AL44" i="108"/>
  <c r="AK41" i="108"/>
  <c r="AK117" i="108" s="1"/>
  <c r="AK13" i="108"/>
  <c r="AK113" i="108" s="1"/>
  <c r="AL16" i="108"/>
  <c r="S39" i="21"/>
  <c r="I30" i="45"/>
  <c r="S12" i="21"/>
  <c r="S5" i="21" s="1"/>
  <c r="AA78" i="118"/>
  <c r="AA124" i="118" s="1"/>
  <c r="AB81" i="118"/>
  <c r="AB71" i="118"/>
  <c r="AC74" i="118"/>
  <c r="V131" i="118"/>
  <c r="V133" i="118"/>
  <c r="V132" i="118"/>
  <c r="V129" i="118"/>
  <c r="AC117" i="118"/>
  <c r="AB119" i="108"/>
  <c r="AP86" i="108"/>
  <c r="AO83" i="108"/>
  <c r="AK22" i="8"/>
  <c r="BS8" i="8"/>
  <c r="BV8" i="8" s="1"/>
  <c r="V111" i="108"/>
  <c r="AQ79" i="108"/>
  <c r="AQ76" i="108" s="1"/>
  <c r="AP76" i="108"/>
  <c r="AP122" i="108" s="1"/>
  <c r="AN126" i="118"/>
  <c r="AF60" i="118"/>
  <c r="AE57" i="118"/>
  <c r="X107" i="108"/>
  <c r="W104" i="108"/>
  <c r="W126" i="108" s="1"/>
  <c r="AN107" i="108"/>
  <c r="AL51" i="108"/>
  <c r="AK48" i="108"/>
  <c r="AK118" i="108" s="1"/>
  <c r="AQ124" i="118"/>
  <c r="W127" i="118"/>
  <c r="W7" i="118"/>
  <c r="AN99" i="118"/>
  <c r="AN127" i="118" s="1"/>
  <c r="AO102" i="118"/>
  <c r="AI64" i="118"/>
  <c r="AI122" i="118" s="1"/>
  <c r="AJ67" i="118"/>
  <c r="T128" i="108"/>
  <c r="S130" i="108"/>
  <c r="S131" i="108"/>
  <c r="S132" i="108"/>
  <c r="R10" i="77"/>
  <c r="R10" i="94"/>
  <c r="R14" i="21"/>
  <c r="R10" i="82"/>
  <c r="R10" i="78"/>
  <c r="R10" i="84"/>
  <c r="S11" i="11"/>
  <c r="R10" i="88"/>
  <c r="R10" i="96"/>
  <c r="R38" i="21"/>
  <c r="AI15" i="118"/>
  <c r="AJ18" i="118"/>
  <c r="AO125" i="118"/>
  <c r="AE22" i="118"/>
  <c r="AF25" i="118"/>
  <c r="W113" i="118"/>
  <c r="W130" i="118" s="1"/>
  <c r="Y109" i="118"/>
  <c r="X106" i="118"/>
  <c r="X128" i="118" s="1"/>
  <c r="X113" i="118" s="1"/>
  <c r="X130" i="118" s="1"/>
  <c r="AH11" i="115"/>
  <c r="AG26" i="115"/>
  <c r="AG24" i="115" s="1"/>
  <c r="AF34" i="21" s="1"/>
  <c r="Y83" i="108"/>
  <c r="Y123" i="108" s="1"/>
  <c r="Z86" i="108"/>
  <c r="Z121" i="108"/>
  <c r="Y92" i="118"/>
  <c r="Y126" i="118" s="1"/>
  <c r="Z95" i="118"/>
  <c r="BQ33" i="8"/>
  <c r="BQ9" i="8" s="1"/>
  <c r="BO9" i="8"/>
  <c r="AJ23" i="8" s="1"/>
  <c r="Z85" i="118"/>
  <c r="Z125" i="118" s="1"/>
  <c r="AA88" i="118"/>
  <c r="AG46" i="118"/>
  <c r="AF43" i="118"/>
  <c r="AF119" i="118" s="1"/>
  <c r="AQ121" i="108"/>
  <c r="AF53" i="118"/>
  <c r="AE50" i="118"/>
  <c r="AD115" i="108"/>
  <c r="AA22" i="14"/>
  <c r="Z13" i="13"/>
  <c r="AE27" i="108"/>
  <c r="AF30" i="108"/>
  <c r="AC10" i="11"/>
  <c r="AI10" i="115"/>
  <c r="AH9" i="115"/>
  <c r="AH25" i="115"/>
  <c r="AF112" i="108"/>
  <c r="AG6" i="108"/>
  <c r="AH9" i="108"/>
  <c r="H26" i="13"/>
  <c r="G17" i="13"/>
  <c r="S128" i="108" l="1"/>
  <c r="S8" i="11" s="1"/>
  <c r="AF21" i="14"/>
  <c r="AG13" i="11"/>
  <c r="AF50" i="118"/>
  <c r="AF120" i="118" s="1"/>
  <c r="AG53" i="118"/>
  <c r="AH46" i="118"/>
  <c r="AG43" i="118"/>
  <c r="AG119" i="118" s="1"/>
  <c r="AI11" i="115"/>
  <c r="AH26" i="115"/>
  <c r="Z109" i="118"/>
  <c r="Y106" i="118"/>
  <c r="Y128" i="118" s="1"/>
  <c r="AE116" i="118"/>
  <c r="AI115" i="118"/>
  <c r="T8" i="11"/>
  <c r="R12" i="13"/>
  <c r="S20" i="14" s="1"/>
  <c r="AK67" i="118"/>
  <c r="AJ64" i="118"/>
  <c r="AJ122" i="118" s="1"/>
  <c r="AP102" i="118"/>
  <c r="AO99" i="118"/>
  <c r="AN104" i="108"/>
  <c r="AO107" i="108"/>
  <c r="X104" i="108"/>
  <c r="X126" i="108" s="1"/>
  <c r="Y107" i="108"/>
  <c r="AG60" i="118"/>
  <c r="AF57" i="118"/>
  <c r="AF121" i="118" s="1"/>
  <c r="U7" i="14"/>
  <c r="U6" i="14" s="1"/>
  <c r="U5" i="14" s="1"/>
  <c r="V129" i="108"/>
  <c r="V5" i="11"/>
  <c r="T6" i="13"/>
  <c r="T5" i="13" s="1"/>
  <c r="Z10" i="103" s="1"/>
  <c r="Z11" i="103" s="1"/>
  <c r="U32" i="21"/>
  <c r="AC71" i="118"/>
  <c r="AD74" i="118"/>
  <c r="AC81" i="118"/>
  <c r="AB78" i="118"/>
  <c r="AM16" i="108"/>
  <c r="AM13" i="108" s="1"/>
  <c r="AL13" i="108"/>
  <c r="AL113" i="108" s="1"/>
  <c r="X7" i="118"/>
  <c r="AM44" i="108"/>
  <c r="AM41" i="108" s="1"/>
  <c r="AL41" i="108"/>
  <c r="AL117" i="108" s="1"/>
  <c r="AG118" i="118"/>
  <c r="AP93" i="108"/>
  <c r="AO90" i="108"/>
  <c r="AP109" i="118"/>
  <c r="AO106" i="118"/>
  <c r="AO128" i="118" s="1"/>
  <c r="AQ125" i="118"/>
  <c r="V127" i="108"/>
  <c r="AB120" i="108"/>
  <c r="V12" i="103"/>
  <c r="V13" i="103" s="1"/>
  <c r="Q28" i="14"/>
  <c r="AE116" i="108"/>
  <c r="AP92" i="118"/>
  <c r="AQ95" i="118"/>
  <c r="AQ92" i="118" s="1"/>
  <c r="AB79" i="108"/>
  <c r="AA76" i="108"/>
  <c r="AA122" i="108" s="1"/>
  <c r="AC119" i="108"/>
  <c r="AN97" i="108"/>
  <c r="AO100" i="108"/>
  <c r="W125" i="108"/>
  <c r="W111" i="108" s="1"/>
  <c r="W5" i="108"/>
  <c r="X22" i="45" s="1"/>
  <c r="T38" i="21"/>
  <c r="U11" i="11"/>
  <c r="T14" i="21"/>
  <c r="AK23" i="8"/>
  <c r="BS9" i="8"/>
  <c r="BV9" i="8" s="1"/>
  <c r="AH24" i="115"/>
  <c r="AG34" i="21" s="1"/>
  <c r="AE120" i="118"/>
  <c r="AB88" i="118"/>
  <c r="AA85" i="118"/>
  <c r="AA125" i="118" s="1"/>
  <c r="Z92" i="118"/>
  <c r="Z126" i="118" s="1"/>
  <c r="AA95" i="118"/>
  <c r="Z83" i="108"/>
  <c r="AA86" i="108"/>
  <c r="X131" i="118"/>
  <c r="X132" i="118"/>
  <c r="X133" i="118"/>
  <c r="W132" i="118"/>
  <c r="W131" i="118"/>
  <c r="W133" i="118"/>
  <c r="AG25" i="118"/>
  <c r="AF22" i="118"/>
  <c r="AJ15" i="118"/>
  <c r="AK18" i="118"/>
  <c r="R12" i="21"/>
  <c r="R5" i="21" s="1"/>
  <c r="I29" i="45"/>
  <c r="R39" i="21"/>
  <c r="AM51" i="108"/>
  <c r="AM48" i="108" s="1"/>
  <c r="AL48" i="108"/>
  <c r="AL118" i="108" s="1"/>
  <c r="AE121" i="118"/>
  <c r="AN7" i="118"/>
  <c r="AQ122" i="108"/>
  <c r="BQ6" i="8"/>
  <c r="AK27" i="8" s="1"/>
  <c r="AQ86" i="108"/>
  <c r="AQ83" i="108" s="1"/>
  <c r="AP83" i="108"/>
  <c r="AP123" i="108" s="1"/>
  <c r="AB123" i="118"/>
  <c r="R10" i="13"/>
  <c r="R9" i="13" s="1"/>
  <c r="R15" i="13" s="1"/>
  <c r="S18" i="14"/>
  <c r="AH36" i="118"/>
  <c r="AH118" i="118" s="1"/>
  <c r="AI39" i="118"/>
  <c r="O6" i="107"/>
  <c r="P6" i="115"/>
  <c r="AB69" i="108"/>
  <c r="AC72" i="108"/>
  <c r="Y90" i="108"/>
  <c r="Y124" i="108" s="1"/>
  <c r="Z93" i="108"/>
  <c r="AN113" i="118"/>
  <c r="AN130" i="118" s="1"/>
  <c r="AD65" i="108"/>
  <c r="AC62" i="108"/>
  <c r="AC120" i="108" s="1"/>
  <c r="Z102" i="118"/>
  <c r="Y99" i="118"/>
  <c r="Y127" i="118" s="1"/>
  <c r="AF34" i="108"/>
  <c r="AF116" i="108" s="1"/>
  <c r="AG37" i="108"/>
  <c r="AH20" i="108"/>
  <c r="AH114" i="108" s="1"/>
  <c r="AI23" i="108"/>
  <c r="BO6" i="8"/>
  <c r="AJ27" i="8" s="1"/>
  <c r="AE58" i="108"/>
  <c r="AD55" i="108"/>
  <c r="X97" i="108"/>
  <c r="X125" i="108" s="1"/>
  <c r="X111" i="108" s="1"/>
  <c r="Y100" i="108"/>
  <c r="AF32" i="118"/>
  <c r="AE29" i="118"/>
  <c r="U130" i="108"/>
  <c r="U131" i="108"/>
  <c r="U132" i="108"/>
  <c r="AF27" i="108"/>
  <c r="AG30" i="108"/>
  <c r="AA13" i="13"/>
  <c r="AB22" i="14"/>
  <c r="AE115" i="108"/>
  <c r="AD10" i="11"/>
  <c r="AG21" i="14"/>
  <c r="AH13" i="11"/>
  <c r="AJ10" i="115"/>
  <c r="AI9" i="115"/>
  <c r="AI25" i="115"/>
  <c r="AI9" i="108"/>
  <c r="AH6" i="108"/>
  <c r="AG112" i="108"/>
  <c r="H17" i="13"/>
  <c r="I26" i="13"/>
  <c r="X129" i="118" l="1"/>
  <c r="U128" i="108"/>
  <c r="S17" i="14"/>
  <c r="X12" i="103" s="1"/>
  <c r="X13" i="103" s="1"/>
  <c r="Q12" i="13"/>
  <c r="R20" i="14" s="1"/>
  <c r="X5" i="11"/>
  <c r="W32" i="21"/>
  <c r="W7" i="14"/>
  <c r="W6" i="14" s="1"/>
  <c r="W5" i="14" s="1"/>
  <c r="V6" i="13"/>
  <c r="V5" i="13" s="1"/>
  <c r="X129" i="108"/>
  <c r="U6" i="13"/>
  <c r="U5" i="13" s="1"/>
  <c r="AA10" i="103" s="1"/>
  <c r="AA11" i="103" s="1"/>
  <c r="V32" i="21"/>
  <c r="W129" i="108"/>
  <c r="W5" i="11"/>
  <c r="V7" i="14"/>
  <c r="V6" i="14" s="1"/>
  <c r="V5" i="14" s="1"/>
  <c r="U8" i="11"/>
  <c r="S12" i="13"/>
  <c r="T20" i="14" s="1"/>
  <c r="AE117" i="118"/>
  <c r="Y97" i="108"/>
  <c r="Y125" i="108" s="1"/>
  <c r="Z100" i="108"/>
  <c r="AD119" i="108"/>
  <c r="Z99" i="118"/>
  <c r="Z127" i="118" s="1"/>
  <c r="AA102" i="118"/>
  <c r="AE65" i="108"/>
  <c r="AD62" i="108"/>
  <c r="AD120" i="108" s="1"/>
  <c r="AN133" i="118"/>
  <c r="AN131" i="118"/>
  <c r="AN129" i="118" s="1"/>
  <c r="AN132" i="118"/>
  <c r="Z90" i="108"/>
  <c r="Z124" i="108" s="1"/>
  <c r="AA93" i="108"/>
  <c r="AB121" i="108"/>
  <c r="AJ39" i="118"/>
  <c r="AI36" i="118"/>
  <c r="AI118" i="118" s="1"/>
  <c r="AK15" i="118"/>
  <c r="AL18" i="118"/>
  <c r="AF116" i="118"/>
  <c r="Z123" i="108"/>
  <c r="AC88" i="118"/>
  <c r="AB85" i="118"/>
  <c r="AB76" i="108"/>
  <c r="AC79" i="108"/>
  <c r="AQ126" i="118"/>
  <c r="R6" i="115"/>
  <c r="Q6" i="107"/>
  <c r="W127" i="108"/>
  <c r="X127" i="108" s="1"/>
  <c r="AM113" i="108"/>
  <c r="AN113" i="108"/>
  <c r="AO113" i="108"/>
  <c r="C113" i="108" s="1"/>
  <c r="C13" i="108"/>
  <c r="AC78" i="118"/>
  <c r="AC124" i="118" s="1"/>
  <c r="AD81" i="118"/>
  <c r="AC123" i="118"/>
  <c r="V11" i="11"/>
  <c r="U38" i="21"/>
  <c r="U14" i="21"/>
  <c r="AG57" i="118"/>
  <c r="AH60" i="118"/>
  <c r="AP99" i="118"/>
  <c r="AP127" i="118" s="1"/>
  <c r="AQ102" i="118"/>
  <c r="AQ99" i="118" s="1"/>
  <c r="AL67" i="118"/>
  <c r="AK64" i="118"/>
  <c r="AK122" i="118" s="1"/>
  <c r="AA109" i="118"/>
  <c r="Z106" i="118"/>
  <c r="Z128" i="118" s="1"/>
  <c r="Z113" i="118" s="1"/>
  <c r="Z130" i="118" s="1"/>
  <c r="AJ11" i="115"/>
  <c r="AI26" i="115"/>
  <c r="AI24" i="115" s="1"/>
  <c r="AH34" i="21" s="1"/>
  <c r="AG50" i="118"/>
  <c r="AH53" i="118"/>
  <c r="AF29" i="118"/>
  <c r="AF117" i="118" s="1"/>
  <c r="AG32" i="118"/>
  <c r="AF58" i="108"/>
  <c r="AE55" i="108"/>
  <c r="AI20" i="108"/>
  <c r="AI114" i="108" s="1"/>
  <c r="AJ23" i="108"/>
  <c r="AG34" i="108"/>
  <c r="AG116" i="108" s="1"/>
  <c r="AH37" i="108"/>
  <c r="X5" i="108"/>
  <c r="U24" i="45" s="1"/>
  <c r="AC69" i="108"/>
  <c r="AC121" i="108" s="1"/>
  <c r="AD72" i="108"/>
  <c r="Y7" i="118"/>
  <c r="AQ123" i="108"/>
  <c r="AM118" i="108"/>
  <c r="AN118" i="108"/>
  <c r="AO118" i="108"/>
  <c r="C48" i="108"/>
  <c r="R18" i="14"/>
  <c r="R11" i="74"/>
  <c r="Q10" i="13"/>
  <c r="Q9" i="13" s="1"/>
  <c r="Q15" i="13" s="1"/>
  <c r="R11" i="80"/>
  <c r="R11" i="79"/>
  <c r="R11" i="76"/>
  <c r="R11" i="86"/>
  <c r="R11" i="95"/>
  <c r="R11" i="91"/>
  <c r="R11" i="83"/>
  <c r="AJ115" i="118"/>
  <c r="AG22" i="118"/>
  <c r="AH25" i="118"/>
  <c r="W129" i="118"/>
  <c r="AA83" i="108"/>
  <c r="AA123" i="108" s="1"/>
  <c r="AB86" i="108"/>
  <c r="AA92" i="118"/>
  <c r="AA126" i="118" s="1"/>
  <c r="AB95" i="118"/>
  <c r="I31" i="45"/>
  <c r="T39" i="21"/>
  <c r="T12" i="21"/>
  <c r="T5" i="21" s="1"/>
  <c r="AO97" i="108"/>
  <c r="AP100" i="108"/>
  <c r="AP126" i="118"/>
  <c r="AQ109" i="118"/>
  <c r="AQ106" i="118" s="1"/>
  <c r="AP106" i="118"/>
  <c r="AP128" i="118" s="1"/>
  <c r="AQ93" i="108"/>
  <c r="AQ90" i="108" s="1"/>
  <c r="AP90" i="108"/>
  <c r="AP124" i="108" s="1"/>
  <c r="AM117" i="108"/>
  <c r="AN117" i="108"/>
  <c r="AO117" i="108"/>
  <c r="C117" i="108" s="1"/>
  <c r="C41" i="108"/>
  <c r="AB124" i="118"/>
  <c r="AE74" i="118"/>
  <c r="AD71" i="118"/>
  <c r="V132" i="108"/>
  <c r="V130" i="108"/>
  <c r="V131" i="108"/>
  <c r="Y104" i="108"/>
  <c r="Y126" i="108" s="1"/>
  <c r="Y111" i="108" s="1"/>
  <c r="Z107" i="108"/>
  <c r="AO104" i="108"/>
  <c r="AP107" i="108"/>
  <c r="AO127" i="118"/>
  <c r="AO113" i="118" s="1"/>
  <c r="AO130" i="118" s="1"/>
  <c r="AO7" i="118"/>
  <c r="Y113" i="118"/>
  <c r="Y130" i="118" s="1"/>
  <c r="AH43" i="118"/>
  <c r="AH119" i="118" s="1"/>
  <c r="AI46" i="118"/>
  <c r="AE10" i="11"/>
  <c r="AG27" i="108"/>
  <c r="AH30" i="108"/>
  <c r="AB13" i="13"/>
  <c r="AC22" i="14"/>
  <c r="AF115" i="108"/>
  <c r="AK10" i="115"/>
  <c r="AJ9" i="115"/>
  <c r="AJ25" i="115"/>
  <c r="AH112" i="108"/>
  <c r="AI6" i="108"/>
  <c r="AJ9" i="108"/>
  <c r="J26" i="13"/>
  <c r="R17" i="14" l="1"/>
  <c r="R28" i="14" s="1"/>
  <c r="V128" i="108"/>
  <c r="S28" i="14"/>
  <c r="S6" i="107" s="1"/>
  <c r="AH21" i="14"/>
  <c r="AI13" i="11"/>
  <c r="V8" i="11"/>
  <c r="T12" i="13"/>
  <c r="U20" i="14" s="1"/>
  <c r="AO133" i="118"/>
  <c r="AO131" i="118"/>
  <c r="AO132" i="118"/>
  <c r="AI43" i="118"/>
  <c r="AI119" i="118" s="1"/>
  <c r="AJ46" i="118"/>
  <c r="Y133" i="118"/>
  <c r="Y131" i="118"/>
  <c r="Y132" i="118"/>
  <c r="Y129" i="118" s="1"/>
  <c r="AP104" i="108"/>
  <c r="AP126" i="108" s="1"/>
  <c r="AQ107" i="108"/>
  <c r="AQ104" i="108" s="1"/>
  <c r="Z104" i="108"/>
  <c r="Z126" i="108" s="1"/>
  <c r="AA107" i="108"/>
  <c r="AD123" i="118"/>
  <c r="Q19" i="45"/>
  <c r="C44" i="108"/>
  <c r="N19" i="45" s="1"/>
  <c r="AP113" i="118"/>
  <c r="AP130" i="118" s="1"/>
  <c r="AP7" i="118"/>
  <c r="Y5" i="108"/>
  <c r="V24" i="45" s="1"/>
  <c r="T18" i="14"/>
  <c r="T17" i="14" s="1"/>
  <c r="S10" i="13"/>
  <c r="S9" i="13" s="1"/>
  <c r="S15" i="13" s="1"/>
  <c r="AB92" i="118"/>
  <c r="AB126" i="118" s="1"/>
  <c r="AC95" i="118"/>
  <c r="AB83" i="108"/>
  <c r="AB123" i="108" s="1"/>
  <c r="AC86" i="108"/>
  <c r="AG116" i="118"/>
  <c r="W12" i="103"/>
  <c r="W13" i="103" s="1"/>
  <c r="C118" i="108"/>
  <c r="AD69" i="108"/>
  <c r="AD121" i="108" s="1"/>
  <c r="AE72" i="108"/>
  <c r="AG58" i="108"/>
  <c r="AF55" i="108"/>
  <c r="AI53" i="118"/>
  <c r="AH50" i="118"/>
  <c r="AH120" i="118" s="1"/>
  <c r="Z132" i="118"/>
  <c r="Z133" i="118"/>
  <c r="Z131" i="118"/>
  <c r="Z7" i="118"/>
  <c r="AL64" i="118"/>
  <c r="AL122" i="118" s="1"/>
  <c r="AM67" i="118"/>
  <c r="AM64" i="118" s="1"/>
  <c r="AH57" i="118"/>
  <c r="AH121" i="118" s="1"/>
  <c r="AI60" i="118"/>
  <c r="AE81" i="118"/>
  <c r="AD78" i="118"/>
  <c r="C16" i="108"/>
  <c r="N15" i="45" s="1"/>
  <c r="Q15" i="45"/>
  <c r="AB122" i="108"/>
  <c r="AD88" i="118"/>
  <c r="AC85" i="118"/>
  <c r="AC125" i="118" s="1"/>
  <c r="AK115" i="118"/>
  <c r="AK39" i="118"/>
  <c r="AJ36" i="118"/>
  <c r="AJ118" i="118" s="1"/>
  <c r="AA90" i="108"/>
  <c r="AA124" i="108" s="1"/>
  <c r="AB93" i="108"/>
  <c r="AA99" i="118"/>
  <c r="AA127" i="118" s="1"/>
  <c r="AB102" i="118"/>
  <c r="Z97" i="108"/>
  <c r="AA100" i="108"/>
  <c r="V14" i="21"/>
  <c r="V38" i="21"/>
  <c r="W11" i="11"/>
  <c r="W38" i="21"/>
  <c r="W14" i="21"/>
  <c r="X11" i="11"/>
  <c r="Y129" i="108"/>
  <c r="X32" i="21"/>
  <c r="X7" i="14"/>
  <c r="X6" i="14" s="1"/>
  <c r="X5" i="14" s="1"/>
  <c r="Y5" i="11"/>
  <c r="W6" i="13"/>
  <c r="W5" i="13" s="1"/>
  <c r="AF74" i="118"/>
  <c r="AE71" i="118"/>
  <c r="AQ124" i="108"/>
  <c r="AQ128" i="118"/>
  <c r="AP97" i="108"/>
  <c r="AP125" i="108" s="1"/>
  <c r="AQ100" i="108"/>
  <c r="AQ97" i="108" s="1"/>
  <c r="AH22" i="118"/>
  <c r="AI25" i="118"/>
  <c r="Q20" i="45"/>
  <c r="C51" i="108"/>
  <c r="N20" i="45" s="1"/>
  <c r="AH34" i="108"/>
  <c r="AH116" i="108" s="1"/>
  <c r="AI37" i="108"/>
  <c r="AK23" i="108"/>
  <c r="AJ20" i="108"/>
  <c r="AJ114" i="108" s="1"/>
  <c r="AE119" i="108"/>
  <c r="AG29" i="118"/>
  <c r="AG117" i="118" s="1"/>
  <c r="AH32" i="118"/>
  <c r="AG120" i="118"/>
  <c r="AK11" i="115"/>
  <c r="AJ26" i="115"/>
  <c r="AJ24" i="115" s="1"/>
  <c r="AI34" i="21" s="1"/>
  <c r="AB109" i="118"/>
  <c r="AA106" i="118"/>
  <c r="AA128" i="118" s="1"/>
  <c r="AA113" i="118" s="1"/>
  <c r="AA130" i="118" s="1"/>
  <c r="AQ127" i="118"/>
  <c r="AQ7" i="118"/>
  <c r="AG121" i="118"/>
  <c r="I32" i="45"/>
  <c r="U12" i="21"/>
  <c r="U5" i="21" s="1"/>
  <c r="U39" i="21"/>
  <c r="Y127" i="108"/>
  <c r="AC76" i="108"/>
  <c r="AD79" i="108"/>
  <c r="AA7" i="118"/>
  <c r="AB125" i="118"/>
  <c r="AM18" i="118"/>
  <c r="AM15" i="118" s="1"/>
  <c r="AL15" i="118"/>
  <c r="AF65" i="108"/>
  <c r="AE62" i="108"/>
  <c r="W130" i="108"/>
  <c r="W131" i="108"/>
  <c r="W132" i="108"/>
  <c r="X132" i="108"/>
  <c r="X131" i="108"/>
  <c r="X130" i="108"/>
  <c r="AG115" i="108"/>
  <c r="AF10" i="11"/>
  <c r="AH27" i="108"/>
  <c r="AI30" i="108"/>
  <c r="AD22" i="14"/>
  <c r="AC13" i="13"/>
  <c r="AL10" i="115"/>
  <c r="AK25" i="115"/>
  <c r="AK9" i="115"/>
  <c r="AI112" i="108"/>
  <c r="AJ6" i="108"/>
  <c r="AK9" i="108"/>
  <c r="J17" i="13"/>
  <c r="K26" i="13"/>
  <c r="AO129" i="118" l="1"/>
  <c r="Z129" i="118"/>
  <c r="T6" i="115"/>
  <c r="X128" i="108"/>
  <c r="X8" i="11" s="1"/>
  <c r="W128" i="108"/>
  <c r="W8" i="11" s="1"/>
  <c r="AI21" i="14"/>
  <c r="AJ13" i="11"/>
  <c r="V12" i="13"/>
  <c r="W20" i="14" s="1"/>
  <c r="U12" i="13"/>
  <c r="V20" i="14" s="1"/>
  <c r="AE120" i="108"/>
  <c r="AM115" i="118"/>
  <c r="C15" i="118"/>
  <c r="C18" i="118" s="1"/>
  <c r="AC122" i="108"/>
  <c r="T10" i="13"/>
  <c r="T9" i="13" s="1"/>
  <c r="T15" i="13" s="1"/>
  <c r="U18" i="14"/>
  <c r="U17" i="14" s="1"/>
  <c r="AA132" i="118"/>
  <c r="AA133" i="118"/>
  <c r="AA131" i="118"/>
  <c r="AH29" i="118"/>
  <c r="AH117" i="118" s="1"/>
  <c r="AI32" i="118"/>
  <c r="AI34" i="108"/>
  <c r="AI116" i="108" s="1"/>
  <c r="AJ37" i="108"/>
  <c r="AH116" i="118"/>
  <c r="AQ113" i="118"/>
  <c r="AE123" i="118"/>
  <c r="Y130" i="108"/>
  <c r="Y132" i="108"/>
  <c r="Y131" i="108"/>
  <c r="Z125" i="108"/>
  <c r="Z111" i="108" s="1"/>
  <c r="Z5" i="108"/>
  <c r="W24" i="45" s="1"/>
  <c r="AC102" i="118"/>
  <c r="AB99" i="118"/>
  <c r="AB90" i="108"/>
  <c r="AC93" i="108"/>
  <c r="AL39" i="118"/>
  <c r="AK36" i="118"/>
  <c r="AK118" i="118" s="1"/>
  <c r="AD85" i="118"/>
  <c r="AD125" i="118" s="1"/>
  <c r="AE88" i="118"/>
  <c r="AD124" i="118"/>
  <c r="AF119" i="108"/>
  <c r="AF72" i="108"/>
  <c r="AE69" i="108"/>
  <c r="S6" i="115"/>
  <c r="R6" i="107"/>
  <c r="Y12" i="103"/>
  <c r="Y13" i="103" s="1"/>
  <c r="T28" i="14"/>
  <c r="AP132" i="118"/>
  <c r="AP131" i="118"/>
  <c r="AP133" i="118"/>
  <c r="AP129" i="118"/>
  <c r="AA104" i="108"/>
  <c r="AA126" i="108" s="1"/>
  <c r="AB107" i="108"/>
  <c r="AQ126" i="108"/>
  <c r="AJ43" i="118"/>
  <c r="AJ119" i="118" s="1"/>
  <c r="AK46" i="118"/>
  <c r="AG65" i="108"/>
  <c r="AF62" i="108"/>
  <c r="AF120" i="108" s="1"/>
  <c r="AL115" i="118"/>
  <c r="AD76" i="108"/>
  <c r="AE79" i="108"/>
  <c r="AC109" i="118"/>
  <c r="AB106" i="118"/>
  <c r="AB128" i="118" s="1"/>
  <c r="AL11" i="115"/>
  <c r="AK26" i="115"/>
  <c r="AK24" i="115" s="1"/>
  <c r="AJ34" i="21" s="1"/>
  <c r="AL23" i="108"/>
  <c r="AK20" i="108"/>
  <c r="AK114" i="108" s="1"/>
  <c r="AI22" i="118"/>
  <c r="AJ25" i="118"/>
  <c r="AQ125" i="108"/>
  <c r="AG74" i="118"/>
  <c r="AF71" i="118"/>
  <c r="X14" i="21"/>
  <c r="X38" i="21"/>
  <c r="Y11" i="11"/>
  <c r="I34" i="45"/>
  <c r="W39" i="21"/>
  <c r="W12" i="21"/>
  <c r="W5" i="21" s="1"/>
  <c r="V39" i="21"/>
  <c r="V12" i="21"/>
  <c r="V5" i="21" s="1"/>
  <c r="I33" i="45"/>
  <c r="AA97" i="108"/>
  <c r="AB100" i="108"/>
  <c r="AF81" i="118"/>
  <c r="AE78" i="118"/>
  <c r="AE124" i="118" s="1"/>
  <c r="AJ60" i="118"/>
  <c r="AI57" i="118"/>
  <c r="AI121" i="118" s="1"/>
  <c r="AM122" i="118"/>
  <c r="C122" i="118" s="1"/>
  <c r="C64" i="118"/>
  <c r="C67" i="118" s="1"/>
  <c r="AI50" i="118"/>
  <c r="AI120" i="118" s="1"/>
  <c r="AJ53" i="118"/>
  <c r="AG55" i="108"/>
  <c r="AH58" i="108"/>
  <c r="AC83" i="108"/>
  <c r="AD86" i="108"/>
  <c r="AC92" i="118"/>
  <c r="AD95" i="118"/>
  <c r="AH115" i="108"/>
  <c r="AE22" i="14"/>
  <c r="AD13" i="13"/>
  <c r="AG10" i="11"/>
  <c r="AJ30" i="108"/>
  <c r="AI27" i="108"/>
  <c r="AM10" i="115"/>
  <c r="AL25" i="115"/>
  <c r="AL9" i="115"/>
  <c r="AK6" i="108"/>
  <c r="AL9" i="108"/>
  <c r="AJ112" i="108"/>
  <c r="K17" i="13"/>
  <c r="L26" i="13"/>
  <c r="Y128" i="108" l="1"/>
  <c r="W12" i="13" s="1"/>
  <c r="X20" i="14" s="1"/>
  <c r="AK13" i="11"/>
  <c r="AJ21" i="14"/>
  <c r="AE95" i="118"/>
  <c r="AD92" i="118"/>
  <c r="AD83" i="108"/>
  <c r="AD123" i="108" s="1"/>
  <c r="AE86" i="108"/>
  <c r="AG119" i="108"/>
  <c r="AJ57" i="118"/>
  <c r="AJ121" i="118" s="1"/>
  <c r="AK60" i="118"/>
  <c r="AF78" i="118"/>
  <c r="AF124" i="118" s="1"/>
  <c r="AG81" i="118"/>
  <c r="AA125" i="108"/>
  <c r="AA111" i="108" s="1"/>
  <c r="AA5" i="108"/>
  <c r="X24" i="45" s="1"/>
  <c r="AF123" i="118"/>
  <c r="AI116" i="118"/>
  <c r="AM23" i="108"/>
  <c r="AM20" i="108" s="1"/>
  <c r="AL20" i="108"/>
  <c r="AE76" i="108"/>
  <c r="AF79" i="108"/>
  <c r="AG62" i="108"/>
  <c r="AG120" i="108" s="1"/>
  <c r="AH65" i="108"/>
  <c r="T6" i="107"/>
  <c r="U6" i="115"/>
  <c r="AF69" i="108"/>
  <c r="AF121" i="108" s="1"/>
  <c r="AG72" i="108"/>
  <c r="AC90" i="108"/>
  <c r="AC124" i="108" s="1"/>
  <c r="AD93" i="108"/>
  <c r="AB127" i="118"/>
  <c r="AB7" i="118"/>
  <c r="AJ32" i="118"/>
  <c r="AI29" i="118"/>
  <c r="AI117" i="118" s="1"/>
  <c r="AA129" i="118"/>
  <c r="C115" i="118"/>
  <c r="AC126" i="118"/>
  <c r="AC123" i="108"/>
  <c r="AI58" i="108"/>
  <c r="AH55" i="108"/>
  <c r="AJ50" i="118"/>
  <c r="AJ120" i="118" s="1"/>
  <c r="AK53" i="118"/>
  <c r="AC100" i="108"/>
  <c r="AB97" i="108"/>
  <c r="AB125" i="108" s="1"/>
  <c r="V18" i="14"/>
  <c r="V17" i="14" s="1"/>
  <c r="U10" i="13"/>
  <c r="U9" i="13" s="1"/>
  <c r="U15" i="13" s="1"/>
  <c r="W18" i="14"/>
  <c r="W17" i="14" s="1"/>
  <c r="W28" i="14" s="1"/>
  <c r="X6" i="115" s="1"/>
  <c r="V10" i="13"/>
  <c r="V9" i="13" s="1"/>
  <c r="V15" i="13" s="1"/>
  <c r="X39" i="21"/>
  <c r="I35" i="45"/>
  <c r="X12" i="21"/>
  <c r="X5" i="21" s="1"/>
  <c r="AG71" i="118"/>
  <c r="AH74" i="118"/>
  <c r="AK25" i="118"/>
  <c r="AJ22" i="118"/>
  <c r="AM11" i="115"/>
  <c r="AL26" i="115"/>
  <c r="AL24" i="115" s="1"/>
  <c r="AK34" i="21" s="1"/>
  <c r="AD109" i="118"/>
  <c r="AC106" i="118"/>
  <c r="AD122" i="108"/>
  <c r="AK43" i="118"/>
  <c r="AK119" i="118" s="1"/>
  <c r="AL46" i="118"/>
  <c r="AC107" i="108"/>
  <c r="AB104" i="108"/>
  <c r="AE121" i="108"/>
  <c r="AE85" i="118"/>
  <c r="AE125" i="118" s="1"/>
  <c r="AF88" i="118"/>
  <c r="AL36" i="118"/>
  <c r="AL118" i="118" s="1"/>
  <c r="AM39" i="118"/>
  <c r="AM36" i="118" s="1"/>
  <c r="AB124" i="108"/>
  <c r="AB5" i="108"/>
  <c r="U26" i="45" s="1"/>
  <c r="AD102" i="118"/>
  <c r="AC99" i="118"/>
  <c r="AC127" i="118" s="1"/>
  <c r="X6" i="13"/>
  <c r="X5" i="13" s="1"/>
  <c r="Z5" i="11"/>
  <c r="Z129" i="108"/>
  <c r="Y32" i="21"/>
  <c r="Y7" i="14"/>
  <c r="Y6" i="14" s="1"/>
  <c r="Y5" i="14" s="1"/>
  <c r="AQ130" i="118"/>
  <c r="AJ34" i="108"/>
  <c r="AJ116" i="108" s="1"/>
  <c r="AK37" i="108"/>
  <c r="Z12" i="103"/>
  <c r="Z13" i="103" s="1"/>
  <c r="U28" i="14"/>
  <c r="Z127" i="108"/>
  <c r="AI115" i="108"/>
  <c r="AE13" i="13"/>
  <c r="AF22" i="14"/>
  <c r="AH10" i="11"/>
  <c r="AJ27" i="108"/>
  <c r="AK30" i="108"/>
  <c r="AN10" i="115"/>
  <c r="AM25" i="115"/>
  <c r="AM9" i="115"/>
  <c r="AK112" i="108"/>
  <c r="AL6" i="108"/>
  <c r="AM9" i="108"/>
  <c r="M26" i="13"/>
  <c r="L17" i="13"/>
  <c r="Y8" i="11" l="1"/>
  <c r="AA127" i="108"/>
  <c r="AL13" i="11"/>
  <c r="AK21" i="14"/>
  <c r="AK34" i="108"/>
  <c r="AK116" i="108" s="1"/>
  <c r="AL37" i="108"/>
  <c r="Z130" i="108"/>
  <c r="Z132" i="108"/>
  <c r="Z131" i="108"/>
  <c r="AE102" i="118"/>
  <c r="AD99" i="118"/>
  <c r="AD127" i="118" s="1"/>
  <c r="AM118" i="118"/>
  <c r="C118" i="118" s="1"/>
  <c r="C36" i="118"/>
  <c r="C39" i="118" s="1"/>
  <c r="AF85" i="118"/>
  <c r="AG88" i="118"/>
  <c r="AD107" i="108"/>
  <c r="AC104" i="108"/>
  <c r="AC126" i="108" s="1"/>
  <c r="AE109" i="118"/>
  <c r="AD106" i="118"/>
  <c r="AD128" i="118" s="1"/>
  <c r="AN11" i="115"/>
  <c r="AM26" i="115"/>
  <c r="AM24" i="115" s="1"/>
  <c r="AL34" i="21" s="1"/>
  <c r="AK22" i="118"/>
  <c r="AL25" i="118"/>
  <c r="AI74" i="118"/>
  <c r="AH71" i="118"/>
  <c r="X18" i="14"/>
  <c r="X17" i="14" s="1"/>
  <c r="X28" i="14" s="1"/>
  <c r="Y6" i="115" s="1"/>
  <c r="W10" i="13"/>
  <c r="W9" i="13" s="1"/>
  <c r="W15" i="13" s="1"/>
  <c r="AA12" i="103"/>
  <c r="AA13" i="103" s="1"/>
  <c r="V28" i="14"/>
  <c r="AC97" i="108"/>
  <c r="AD100" i="108"/>
  <c r="AJ58" i="108"/>
  <c r="AI55" i="108"/>
  <c r="AE93" i="108"/>
  <c r="AD90" i="108"/>
  <c r="AH62" i="108"/>
  <c r="AH120" i="108" s="1"/>
  <c r="AI65" i="108"/>
  <c r="AE122" i="108"/>
  <c r="AL114" i="108"/>
  <c r="C20" i="108"/>
  <c r="AA5" i="11"/>
  <c r="AA129" i="108"/>
  <c r="Z7" i="14"/>
  <c r="Z6" i="14" s="1"/>
  <c r="Z5" i="14" s="1"/>
  <c r="Z32" i="21"/>
  <c r="Y6" i="13"/>
  <c r="Y5" i="13" s="1"/>
  <c r="AE92" i="118"/>
  <c r="AF95" i="118"/>
  <c r="V6" i="115"/>
  <c r="U6" i="107"/>
  <c r="AQ133" i="118"/>
  <c r="AQ132" i="118"/>
  <c r="AQ131" i="118"/>
  <c r="AQ129" i="118" s="1"/>
  <c r="Z11" i="11"/>
  <c r="Y38" i="21"/>
  <c r="Y14" i="21"/>
  <c r="AC7" i="118"/>
  <c r="AB126" i="108"/>
  <c r="AM46" i="118"/>
  <c r="AM43" i="118" s="1"/>
  <c r="AL43" i="118"/>
  <c r="AL119" i="118" s="1"/>
  <c r="AC128" i="118"/>
  <c r="AJ116" i="118"/>
  <c r="AG123" i="118"/>
  <c r="AK50" i="118"/>
  <c r="AK120" i="118" s="1"/>
  <c r="AL53" i="118"/>
  <c r="AH119" i="108"/>
  <c r="AJ29" i="118"/>
  <c r="AJ117" i="118" s="1"/>
  <c r="AK32" i="118"/>
  <c r="AH72" i="108"/>
  <c r="AG69" i="108"/>
  <c r="AF76" i="108"/>
  <c r="AG79" i="108"/>
  <c r="AB113" i="118"/>
  <c r="AN114" i="108"/>
  <c r="AM114" i="108"/>
  <c r="AO114" i="108"/>
  <c r="AG78" i="118"/>
  <c r="AH81" i="118"/>
  <c r="AL60" i="118"/>
  <c r="AK57" i="118"/>
  <c r="AK121" i="118" s="1"/>
  <c r="AF86" i="108"/>
  <c r="AE83" i="108"/>
  <c r="AD126" i="118"/>
  <c r="AD7" i="118"/>
  <c r="AC5" i="108"/>
  <c r="V26" i="45" s="1"/>
  <c r="AK27" i="108"/>
  <c r="AL30" i="108"/>
  <c r="AF13" i="13"/>
  <c r="AG22" i="14"/>
  <c r="AJ115" i="108"/>
  <c r="AI10" i="11"/>
  <c r="AO10" i="115"/>
  <c r="AN9" i="115"/>
  <c r="AN25" i="115"/>
  <c r="AL112" i="108"/>
  <c r="AN9" i="108"/>
  <c r="AM6" i="108"/>
  <c r="N26" i="13"/>
  <c r="Z128" i="108" l="1"/>
  <c r="X12" i="13" s="1"/>
  <c r="Y20" i="14" s="1"/>
  <c r="AL21" i="14"/>
  <c r="AM13" i="11"/>
  <c r="AE123" i="108"/>
  <c r="AM60" i="118"/>
  <c r="AM57" i="118" s="1"/>
  <c r="AL57" i="118"/>
  <c r="AL121" i="118" s="1"/>
  <c r="AG124" i="118"/>
  <c r="C114" i="108"/>
  <c r="AG76" i="108"/>
  <c r="AH79" i="108"/>
  <c r="AG121" i="108"/>
  <c r="AK29" i="118"/>
  <c r="AK117" i="118" s="1"/>
  <c r="AL32" i="118"/>
  <c r="AL50" i="118"/>
  <c r="AL120" i="118" s="1"/>
  <c r="AM53" i="118"/>
  <c r="AM50" i="118" s="1"/>
  <c r="AC113" i="118"/>
  <c r="AC130" i="118" s="1"/>
  <c r="AM119" i="118"/>
  <c r="C119" i="118" s="1"/>
  <c r="C43" i="118"/>
  <c r="C46" i="118" s="1"/>
  <c r="AB111" i="108"/>
  <c r="AE126" i="118"/>
  <c r="AE90" i="108"/>
  <c r="AE124" i="108" s="1"/>
  <c r="AF93" i="108"/>
  <c r="AJ55" i="108"/>
  <c r="AK58" i="108"/>
  <c r="AC125" i="108"/>
  <c r="AJ74" i="118"/>
  <c r="AI71" i="118"/>
  <c r="AK116" i="118"/>
  <c r="AO11" i="115"/>
  <c r="AN26" i="115"/>
  <c r="AN24" i="115" s="1"/>
  <c r="AM34" i="21" s="1"/>
  <c r="AF109" i="118"/>
  <c r="AE106" i="118"/>
  <c r="AD104" i="108"/>
  <c r="AE107" i="108"/>
  <c r="AF125" i="118"/>
  <c r="AE99" i="118"/>
  <c r="AE7" i="118" s="1"/>
  <c r="AF102" i="118"/>
  <c r="AG86" i="108"/>
  <c r="AF83" i="108"/>
  <c r="AF123" i="108" s="1"/>
  <c r="AH78" i="118"/>
  <c r="AH124" i="118" s="1"/>
  <c r="AI81" i="118"/>
  <c r="AB130" i="118"/>
  <c r="AF122" i="108"/>
  <c r="AH69" i="108"/>
  <c r="AI72" i="108"/>
  <c r="Y39" i="21"/>
  <c r="I36" i="45"/>
  <c r="Y12" i="21"/>
  <c r="Y5" i="21" s="1"/>
  <c r="AF92" i="118"/>
  <c r="AF126" i="118" s="1"/>
  <c r="AG95" i="118"/>
  <c r="Z14" i="21"/>
  <c r="Z38" i="21"/>
  <c r="AA11" i="11"/>
  <c r="AA131" i="108"/>
  <c r="AA132" i="108"/>
  <c r="AA130" i="108"/>
  <c r="Q16" i="45"/>
  <c r="C23" i="108"/>
  <c r="N16" i="45" s="1"/>
  <c r="AJ65" i="108"/>
  <c r="AI62" i="108"/>
  <c r="AI120" i="108" s="1"/>
  <c r="AD124" i="108"/>
  <c r="AI119" i="108"/>
  <c r="AD97" i="108"/>
  <c r="AD125" i="108" s="1"/>
  <c r="AE100" i="108"/>
  <c r="W6" i="115"/>
  <c r="V6" i="107"/>
  <c r="AH123" i="118"/>
  <c r="AL22" i="118"/>
  <c r="AM25" i="118"/>
  <c r="AM22" i="118" s="1"/>
  <c r="AD113" i="118"/>
  <c r="AD130" i="118" s="1"/>
  <c r="AC111" i="108"/>
  <c r="AG85" i="118"/>
  <c r="AG125" i="118" s="1"/>
  <c r="AH88" i="118"/>
  <c r="Z8" i="11"/>
  <c r="AL34" i="108"/>
  <c r="AL116" i="108" s="1"/>
  <c r="AM37" i="108"/>
  <c r="AM34" i="108" s="1"/>
  <c r="AJ10" i="11"/>
  <c r="AL27" i="108"/>
  <c r="AM30" i="108"/>
  <c r="AM27" i="108" s="1"/>
  <c r="AG13" i="13"/>
  <c r="AH22" i="14"/>
  <c r="AK115" i="108"/>
  <c r="AP10" i="115"/>
  <c r="AO9" i="115"/>
  <c r="AO25" i="115"/>
  <c r="AM112" i="108"/>
  <c r="AN6" i="108"/>
  <c r="AO9" i="108"/>
  <c r="O26" i="13"/>
  <c r="N17" i="13"/>
  <c r="AA128" i="108" l="1"/>
  <c r="AA8" i="11" s="1"/>
  <c r="AN13" i="11"/>
  <c r="AM21" i="14"/>
  <c r="AM116" i="108"/>
  <c r="AN116" i="108"/>
  <c r="AO116" i="108"/>
  <c r="C34" i="108"/>
  <c r="AI88" i="118"/>
  <c r="AH85" i="118"/>
  <c r="AC129" i="108"/>
  <c r="AB32" i="21"/>
  <c r="AC5" i="11"/>
  <c r="AB7" i="14"/>
  <c r="AB6" i="14" s="1"/>
  <c r="AB5" i="14" s="1"/>
  <c r="AA6" i="13"/>
  <c r="AA5" i="13" s="1"/>
  <c r="AM116" i="118"/>
  <c r="C22" i="118"/>
  <c r="C25" i="118" s="1"/>
  <c r="AF100" i="108"/>
  <c r="AE97" i="108"/>
  <c r="AE125" i="108" s="1"/>
  <c r="AK65" i="108"/>
  <c r="AJ62" i="108"/>
  <c r="AJ120" i="108" s="1"/>
  <c r="Y12" i="13"/>
  <c r="Z20" i="14" s="1"/>
  <c r="I37" i="45"/>
  <c r="Z39" i="21"/>
  <c r="Z12" i="21"/>
  <c r="Z5" i="21" s="1"/>
  <c r="AI69" i="108"/>
  <c r="AJ72" i="108"/>
  <c r="AI78" i="118"/>
  <c r="AI124" i="118" s="1"/>
  <c r="AJ81" i="118"/>
  <c r="AF99" i="118"/>
  <c r="AF127" i="118" s="1"/>
  <c r="AG102" i="118"/>
  <c r="AE104" i="108"/>
  <c r="AE126" i="108" s="1"/>
  <c r="AE111" i="108" s="1"/>
  <c r="AF107" i="108"/>
  <c r="AE128" i="118"/>
  <c r="AI123" i="118"/>
  <c r="AK55" i="108"/>
  <c r="AL58" i="108"/>
  <c r="AC133" i="118"/>
  <c r="AC132" i="118"/>
  <c r="AC131" i="118"/>
  <c r="AC129" i="118"/>
  <c r="AG122" i="108"/>
  <c r="AE5" i="108"/>
  <c r="X26" i="45" s="1"/>
  <c r="AD131" i="118"/>
  <c r="AD132" i="118"/>
  <c r="AD133" i="118"/>
  <c r="AL116" i="118"/>
  <c r="AD5" i="108"/>
  <c r="W26" i="45" s="1"/>
  <c r="AG92" i="118"/>
  <c r="AG126" i="118" s="1"/>
  <c r="AH95" i="118"/>
  <c r="X10" i="13"/>
  <c r="X9" i="13" s="1"/>
  <c r="X15" i="13" s="1"/>
  <c r="Y18" i="14"/>
  <c r="Y17" i="14" s="1"/>
  <c r="Y28" i="14" s="1"/>
  <c r="Z6" i="115" s="1"/>
  <c r="AH121" i="108"/>
  <c r="AB131" i="118"/>
  <c r="AB132" i="118"/>
  <c r="AB133" i="118"/>
  <c r="AB129" i="118"/>
  <c r="AG83" i="108"/>
  <c r="AG123" i="108" s="1"/>
  <c r="AH86" i="108"/>
  <c r="AE127" i="118"/>
  <c r="AD126" i="108"/>
  <c r="AG109" i="118"/>
  <c r="AF106" i="118"/>
  <c r="AF128" i="118" s="1"/>
  <c r="AF113" i="118" s="1"/>
  <c r="AF130" i="118" s="1"/>
  <c r="AP11" i="115"/>
  <c r="AO26" i="115"/>
  <c r="AO24" i="115" s="1"/>
  <c r="AN34" i="21" s="1"/>
  <c r="AK74" i="118"/>
  <c r="AJ71" i="118"/>
  <c r="AJ119" i="108"/>
  <c r="AF90" i="108"/>
  <c r="AG93" i="108"/>
  <c r="AB5" i="11"/>
  <c r="Z6" i="13"/>
  <c r="Z5" i="13" s="1"/>
  <c r="AA7" i="14"/>
  <c r="AA6" i="14" s="1"/>
  <c r="AA5" i="14" s="1"/>
  <c r="AA32" i="21"/>
  <c r="AB129" i="108"/>
  <c r="AB127" i="108"/>
  <c r="AC127" i="108" s="1"/>
  <c r="AM120" i="118"/>
  <c r="C120" i="118" s="1"/>
  <c r="C50" i="118"/>
  <c r="C53" i="118" s="1"/>
  <c r="AM32" i="118"/>
  <c r="AM29" i="118" s="1"/>
  <c r="AL29" i="118"/>
  <c r="AL117" i="118" s="1"/>
  <c r="AI79" i="108"/>
  <c r="AH76" i="108"/>
  <c r="AH122" i="108" s="1"/>
  <c r="AM121" i="118"/>
  <c r="C121" i="118" s="1"/>
  <c r="C57" i="118"/>
  <c r="C60" i="118" s="1"/>
  <c r="AM115" i="108"/>
  <c r="AN115" i="108"/>
  <c r="AO115" i="108"/>
  <c r="C27" i="108"/>
  <c r="AI22" i="14"/>
  <c r="AH13" i="13"/>
  <c r="AK10" i="11"/>
  <c r="AL115" i="108"/>
  <c r="AQ10" i="115"/>
  <c r="AP25" i="115"/>
  <c r="AP9" i="115"/>
  <c r="AN5" i="108"/>
  <c r="U32" i="45" s="1"/>
  <c r="AN112" i="108"/>
  <c r="AP9" i="108"/>
  <c r="AO6" i="108"/>
  <c r="AM10" i="11"/>
  <c r="P26" i="13"/>
  <c r="AN21" i="14" l="1"/>
  <c r="AO13" i="11"/>
  <c r="AI76" i="108"/>
  <c r="AI122" i="108" s="1"/>
  <c r="AJ79" i="108"/>
  <c r="AM117" i="118"/>
  <c r="C117" i="118" s="1"/>
  <c r="C29" i="118"/>
  <c r="C32" i="118" s="1"/>
  <c r="AB130" i="108"/>
  <c r="AB131" i="108"/>
  <c r="AB132" i="108"/>
  <c r="AH93" i="108"/>
  <c r="AG90" i="108"/>
  <c r="AG124" i="108" s="1"/>
  <c r="AK71" i="118"/>
  <c r="AL74" i="118"/>
  <c r="AF132" i="118"/>
  <c r="AF133" i="118"/>
  <c r="AF131" i="118"/>
  <c r="AF129" i="118"/>
  <c r="AI86" i="108"/>
  <c r="AH83" i="108"/>
  <c r="AH123" i="108" s="1"/>
  <c r="AH92" i="118"/>
  <c r="AH126" i="118" s="1"/>
  <c r="AI95" i="118"/>
  <c r="AD129" i="118"/>
  <c r="AK119" i="108"/>
  <c r="AF104" i="108"/>
  <c r="AG107" i="108"/>
  <c r="AF7" i="118"/>
  <c r="AJ69" i="108"/>
  <c r="AK72" i="108"/>
  <c r="AL65" i="108"/>
  <c r="AK62" i="108"/>
  <c r="AK120" i="108" s="1"/>
  <c r="AF97" i="108"/>
  <c r="AF5" i="108" s="1"/>
  <c r="U28" i="45" s="1"/>
  <c r="AG100" i="108"/>
  <c r="AC131" i="108"/>
  <c r="AC130" i="108"/>
  <c r="AC132" i="108"/>
  <c r="AI85" i="118"/>
  <c r="AJ88" i="118"/>
  <c r="C116" i="108"/>
  <c r="AA38" i="21"/>
  <c r="AA14" i="21"/>
  <c r="AB11" i="11"/>
  <c r="AF124" i="108"/>
  <c r="AJ123" i="118"/>
  <c r="AQ11" i="115"/>
  <c r="AQ26" i="115" s="1"/>
  <c r="AP26" i="115"/>
  <c r="AP24" i="115" s="1"/>
  <c r="AO34" i="21" s="1"/>
  <c r="AG106" i="118"/>
  <c r="AG128" i="118" s="1"/>
  <c r="AH109" i="118"/>
  <c r="AM58" i="108"/>
  <c r="AM55" i="108" s="1"/>
  <c r="AL55" i="108"/>
  <c r="AE113" i="118"/>
  <c r="AD7" i="14"/>
  <c r="AD6" i="14" s="1"/>
  <c r="AD5" i="14" s="1"/>
  <c r="AE5" i="11"/>
  <c r="AD32" i="21"/>
  <c r="AE129" i="108"/>
  <c r="AC6" i="13"/>
  <c r="AC5" i="13" s="1"/>
  <c r="AG99" i="118"/>
  <c r="AH102" i="118"/>
  <c r="AJ78" i="118"/>
  <c r="AJ124" i="118" s="1"/>
  <c r="AK81" i="118"/>
  <c r="AI121" i="108"/>
  <c r="Z18" i="14"/>
  <c r="Z17" i="14" s="1"/>
  <c r="Z28" i="14" s="1"/>
  <c r="AA6" i="115" s="1"/>
  <c r="Y10" i="13"/>
  <c r="Y9" i="13" s="1"/>
  <c r="Y15" i="13" s="1"/>
  <c r="AD111" i="108"/>
  <c r="C116" i="118"/>
  <c r="AB38" i="21"/>
  <c r="AC11" i="11"/>
  <c r="AB14" i="21"/>
  <c r="AH125" i="118"/>
  <c r="Q18" i="45"/>
  <c r="C37" i="108"/>
  <c r="N18" i="45" s="1"/>
  <c r="C115" i="108"/>
  <c r="AL10" i="11"/>
  <c r="Q17" i="45"/>
  <c r="C30" i="108"/>
  <c r="N17" i="45" s="1"/>
  <c r="AJ22" i="14"/>
  <c r="AI13" i="13"/>
  <c r="AQ25" i="115"/>
  <c r="AQ9" i="115"/>
  <c r="AL22" i="14"/>
  <c r="AK13" i="13"/>
  <c r="AQ9" i="108"/>
  <c r="AQ6" i="108" s="1"/>
  <c r="AP6" i="108"/>
  <c r="AN10" i="11"/>
  <c r="AO5" i="108"/>
  <c r="V32" i="45" s="1"/>
  <c r="AO112" i="108"/>
  <c r="P17" i="13"/>
  <c r="Q26" i="13"/>
  <c r="C26" i="115" l="1"/>
  <c r="AB128" i="108"/>
  <c r="Z12" i="13" s="1"/>
  <c r="AA20" i="14" s="1"/>
  <c r="AC128" i="108"/>
  <c r="AC8" i="11" s="1"/>
  <c r="AO21" i="14"/>
  <c r="AP13" i="11"/>
  <c r="AB12" i="21"/>
  <c r="AB5" i="21" s="1"/>
  <c r="AB39" i="21"/>
  <c r="I39" i="45"/>
  <c r="AC7" i="14"/>
  <c r="AC6" i="14" s="1"/>
  <c r="AC5" i="14" s="1"/>
  <c r="AB6" i="13"/>
  <c r="AB5" i="13" s="1"/>
  <c r="AD129" i="108"/>
  <c r="AC32" i="21"/>
  <c r="AD5" i="11"/>
  <c r="AG127" i="118"/>
  <c r="AE130" i="108"/>
  <c r="AE131" i="108"/>
  <c r="AE132" i="108"/>
  <c r="AL119" i="108"/>
  <c r="AI109" i="118"/>
  <c r="AH106" i="118"/>
  <c r="AH128" i="118" s="1"/>
  <c r="AJ85" i="118"/>
  <c r="AJ125" i="118" s="1"/>
  <c r="AK88" i="118"/>
  <c r="AH100" i="108"/>
  <c r="AG97" i="108"/>
  <c r="AK69" i="108"/>
  <c r="AK121" i="108" s="1"/>
  <c r="AL72" i="108"/>
  <c r="AF126" i="108"/>
  <c r="AG7" i="118"/>
  <c r="AJ95" i="118"/>
  <c r="AI92" i="118"/>
  <c r="AI126" i="118" s="1"/>
  <c r="AJ86" i="108"/>
  <c r="AI83" i="108"/>
  <c r="AK123" i="118"/>
  <c r="AH90" i="108"/>
  <c r="AI93" i="108"/>
  <c r="AK78" i="118"/>
  <c r="AK124" i="118" s="1"/>
  <c r="AL81" i="118"/>
  <c r="AH99" i="118"/>
  <c r="AI102" i="118"/>
  <c r="AE11" i="11"/>
  <c r="AD38" i="21"/>
  <c r="AD14" i="21"/>
  <c r="AE130" i="118"/>
  <c r="AM119" i="108"/>
  <c r="AN119" i="108"/>
  <c r="AO119" i="108"/>
  <c r="C55" i="108"/>
  <c r="AG113" i="118"/>
  <c r="AG130" i="118" s="1"/>
  <c r="I38" i="45"/>
  <c r="AA12" i="21"/>
  <c r="AA5" i="21" s="1"/>
  <c r="AA39" i="21"/>
  <c r="AD127" i="108"/>
  <c r="AE127" i="108" s="1"/>
  <c r="AI125" i="118"/>
  <c r="AF125" i="108"/>
  <c r="AF111" i="108" s="1"/>
  <c r="AL62" i="108"/>
  <c r="AL120" i="108" s="1"/>
  <c r="AM65" i="108"/>
  <c r="AM62" i="108" s="1"/>
  <c r="AJ121" i="108"/>
  <c r="AG104" i="108"/>
  <c r="AG126" i="108" s="1"/>
  <c r="AH107" i="108"/>
  <c r="AM74" i="118"/>
  <c r="AM71" i="118" s="1"/>
  <c r="AL71" i="118"/>
  <c r="AB8" i="11"/>
  <c r="AJ76" i="108"/>
  <c r="AJ122" i="108" s="1"/>
  <c r="AK79" i="108"/>
  <c r="AK22" i="14"/>
  <c r="AJ13" i="13"/>
  <c r="AQ24" i="115"/>
  <c r="AP34" i="21" s="1"/>
  <c r="C25" i="115"/>
  <c r="C24" i="115" s="1"/>
  <c r="B111" i="21" s="1"/>
  <c r="AO10" i="11"/>
  <c r="AM22" i="14"/>
  <c r="AL13" i="13"/>
  <c r="AP5" i="108"/>
  <c r="W32" i="45" s="1"/>
  <c r="AP112" i="108"/>
  <c r="AQ5" i="108"/>
  <c r="AQ112" i="108"/>
  <c r="C6" i="108"/>
  <c r="R26" i="13"/>
  <c r="Q17" i="13"/>
  <c r="AA12" i="13" l="1"/>
  <c r="AB20" i="14" s="1"/>
  <c r="AE128" i="108"/>
  <c r="AC12" i="13" s="1"/>
  <c r="AD20" i="14" s="1"/>
  <c r="AF129" i="108"/>
  <c r="AD6" i="13"/>
  <c r="AD5" i="13" s="1"/>
  <c r="AF5" i="11"/>
  <c r="AE32" i="21"/>
  <c r="AE7" i="14"/>
  <c r="AE6" i="14" s="1"/>
  <c r="AE5" i="14" s="1"/>
  <c r="AE8" i="11"/>
  <c r="AK76" i="108"/>
  <c r="AL79" i="108"/>
  <c r="AL123" i="118"/>
  <c r="AA18" i="14"/>
  <c r="AA17" i="14" s="1"/>
  <c r="AA28" i="14" s="1"/>
  <c r="AB6" i="115" s="1"/>
  <c r="Z10" i="13"/>
  <c r="Z9" i="13" s="1"/>
  <c r="Z15" i="13" s="1"/>
  <c r="C119" i="108"/>
  <c r="AE131" i="118"/>
  <c r="AE132" i="118"/>
  <c r="AE133" i="118"/>
  <c r="AJ102" i="118"/>
  <c r="AI99" i="118"/>
  <c r="AL78" i="118"/>
  <c r="AL124" i="118" s="1"/>
  <c r="AM81" i="118"/>
  <c r="AM78" i="118" s="1"/>
  <c r="AI90" i="108"/>
  <c r="AI124" i="108" s="1"/>
  <c r="AJ93" i="108"/>
  <c r="AI123" i="108"/>
  <c r="AJ92" i="118"/>
  <c r="AK95" i="118"/>
  <c r="AH97" i="108"/>
  <c r="AH125" i="108" s="1"/>
  <c r="AI100" i="108"/>
  <c r="AC38" i="21"/>
  <c r="AD11" i="11"/>
  <c r="AC14" i="21"/>
  <c r="AM123" i="118"/>
  <c r="C71" i="118"/>
  <c r="C74" i="118" s="1"/>
  <c r="AH104" i="108"/>
  <c r="AH126" i="108" s="1"/>
  <c r="AI107" i="108"/>
  <c r="AM120" i="108"/>
  <c r="AN120" i="108"/>
  <c r="AO120" i="108"/>
  <c r="C62" i="108"/>
  <c r="AF127" i="108"/>
  <c r="AG131" i="118"/>
  <c r="AG133" i="118"/>
  <c r="AG132" i="118"/>
  <c r="C58" i="108"/>
  <c r="N21" i="45" s="1"/>
  <c r="Q21" i="45"/>
  <c r="I41" i="45"/>
  <c r="AD39" i="21"/>
  <c r="AD12" i="21"/>
  <c r="AD5" i="21" s="1"/>
  <c r="AH127" i="118"/>
  <c r="AH113" i="118" s="1"/>
  <c r="AH130" i="118" s="1"/>
  <c r="AH7" i="118"/>
  <c r="AH124" i="108"/>
  <c r="AH111" i="108" s="1"/>
  <c r="AJ83" i="108"/>
  <c r="AJ123" i="108" s="1"/>
  <c r="AK86" i="108"/>
  <c r="AM72" i="108"/>
  <c r="AM69" i="108" s="1"/>
  <c r="AL69" i="108"/>
  <c r="AL121" i="108" s="1"/>
  <c r="AG125" i="108"/>
  <c r="AG111" i="108" s="1"/>
  <c r="AG5" i="108"/>
  <c r="V28" i="45" s="1"/>
  <c r="AL88" i="118"/>
  <c r="AK85" i="118"/>
  <c r="AK125" i="118" s="1"/>
  <c r="AJ109" i="118"/>
  <c r="AI106" i="118"/>
  <c r="AI128" i="118" s="1"/>
  <c r="AD131" i="108"/>
  <c r="AD130" i="108"/>
  <c r="AD132" i="108"/>
  <c r="AB18" i="14"/>
  <c r="AB17" i="14" s="1"/>
  <c r="AB28" i="14" s="1"/>
  <c r="AC6" i="115" s="1"/>
  <c r="AA10" i="13"/>
  <c r="AA9" i="13" s="1"/>
  <c r="AA15" i="13" s="1"/>
  <c r="C14" i="103"/>
  <c r="C21" i="45"/>
  <c r="E21" i="45" s="1"/>
  <c r="AQ13" i="11"/>
  <c r="C13" i="11" s="1"/>
  <c r="AP21" i="14"/>
  <c r="AQ21" i="14" s="1"/>
  <c r="B34" i="21"/>
  <c r="C9" i="108"/>
  <c r="N14" i="45" s="1"/>
  <c r="Q14" i="45"/>
  <c r="X32" i="45"/>
  <c r="AP10" i="11"/>
  <c r="AP111" i="108"/>
  <c r="AQ10" i="11"/>
  <c r="AQ111" i="108"/>
  <c r="C112" i="108"/>
  <c r="AM13" i="13"/>
  <c r="AN22" i="14"/>
  <c r="R17" i="13"/>
  <c r="S26" i="13"/>
  <c r="AG129" i="118" l="1"/>
  <c r="AD128" i="108"/>
  <c r="AG5" i="11"/>
  <c r="AF7" i="14"/>
  <c r="AF6" i="14" s="1"/>
  <c r="AF5" i="14" s="1"/>
  <c r="AE6" i="13"/>
  <c r="AE5" i="13" s="1"/>
  <c r="AG129" i="108"/>
  <c r="AF32" i="21"/>
  <c r="AH131" i="118"/>
  <c r="AH132" i="118"/>
  <c r="AH133" i="118"/>
  <c r="AH129" i="118" s="1"/>
  <c r="AG7" i="14"/>
  <c r="AG6" i="14" s="1"/>
  <c r="AG5" i="14" s="1"/>
  <c r="AH5" i="11"/>
  <c r="AG32" i="21"/>
  <c r="AH129" i="108"/>
  <c r="AF6" i="13"/>
  <c r="AF5" i="13" s="1"/>
  <c r="AC10" i="13"/>
  <c r="AC9" i="13" s="1"/>
  <c r="AC15" i="13" s="1"/>
  <c r="AD18" i="14"/>
  <c r="AG127" i="108"/>
  <c r="AH127" i="108" s="1"/>
  <c r="C120" i="108"/>
  <c r="AI104" i="108"/>
  <c r="AI126" i="108" s="1"/>
  <c r="AJ107" i="108"/>
  <c r="C123" i="118"/>
  <c r="AI97" i="108"/>
  <c r="AJ100" i="108"/>
  <c r="AL95" i="118"/>
  <c r="AK92" i="118"/>
  <c r="AK126" i="118" s="1"/>
  <c r="AJ99" i="118"/>
  <c r="AJ127" i="118" s="1"/>
  <c r="AK102" i="118"/>
  <c r="AK122" i="108"/>
  <c r="AF132" i="108"/>
  <c r="AF131" i="108"/>
  <c r="AF130" i="108"/>
  <c r="AB12" i="13"/>
  <c r="AC20" i="14" s="1"/>
  <c r="AD8" i="11"/>
  <c r="AK109" i="118"/>
  <c r="AJ106" i="118"/>
  <c r="AJ128" i="118" s="1"/>
  <c r="AM88" i="118"/>
  <c r="AM85" i="118" s="1"/>
  <c r="AL85" i="118"/>
  <c r="AL125" i="118" s="1"/>
  <c r="AM121" i="108"/>
  <c r="AN121" i="108"/>
  <c r="AO121" i="108"/>
  <c r="C121" i="108" s="1"/>
  <c r="C69" i="108"/>
  <c r="AK83" i="108"/>
  <c r="AK123" i="108" s="1"/>
  <c r="AL86" i="108"/>
  <c r="C65" i="108"/>
  <c r="N22" i="45" s="1"/>
  <c r="Q22" i="45"/>
  <c r="I40" i="45"/>
  <c r="AC39" i="21"/>
  <c r="AC12" i="21"/>
  <c r="AC5" i="21" s="1"/>
  <c r="AJ126" i="118"/>
  <c r="AJ7" i="118"/>
  <c r="AK93" i="108"/>
  <c r="AJ90" i="108"/>
  <c r="AJ124" i="108" s="1"/>
  <c r="AM124" i="118"/>
  <c r="C124" i="118" s="1"/>
  <c r="C78" i="118"/>
  <c r="C81" i="118" s="1"/>
  <c r="AI127" i="118"/>
  <c r="AI113" i="118" s="1"/>
  <c r="AI130" i="118" s="1"/>
  <c r="AI7" i="118"/>
  <c r="AE129" i="118"/>
  <c r="AL76" i="108"/>
  <c r="AL122" i="108" s="1"/>
  <c r="AM79" i="108"/>
  <c r="AM76" i="108" s="1"/>
  <c r="AH5" i="108"/>
  <c r="AE38" i="21"/>
  <c r="AF11" i="11"/>
  <c r="AE14" i="21"/>
  <c r="T12" i="82"/>
  <c r="T12" i="94"/>
  <c r="T12" i="77"/>
  <c r="T12" i="96"/>
  <c r="T12" i="78"/>
  <c r="T12" i="88"/>
  <c r="T12" i="84"/>
  <c r="D14" i="103"/>
  <c r="D9" i="103" s="1"/>
  <c r="D15" i="103" s="1"/>
  <c r="C9" i="103"/>
  <c r="C15" i="103" s="1"/>
  <c r="AP22" i="14"/>
  <c r="AO13" i="13"/>
  <c r="AO22" i="14"/>
  <c r="AN13" i="13"/>
  <c r="AO6" i="13"/>
  <c r="AQ5" i="11"/>
  <c r="AP7" i="14"/>
  <c r="AP32" i="21"/>
  <c r="AQ129" i="108"/>
  <c r="AP5" i="11"/>
  <c r="AP129" i="108"/>
  <c r="AN6" i="13"/>
  <c r="AN5" i="13" s="1"/>
  <c r="AD10" i="103" s="1"/>
  <c r="AD11" i="103" s="1"/>
  <c r="AO32" i="21"/>
  <c r="AO7" i="14"/>
  <c r="AO6" i="14" s="1"/>
  <c r="AO5" i="14" s="1"/>
  <c r="T26" i="13"/>
  <c r="S17" i="13"/>
  <c r="AF128" i="108" l="1"/>
  <c r="AF8" i="11" s="1"/>
  <c r="AI133" i="118"/>
  <c r="AI131" i="118"/>
  <c r="AI132" i="118"/>
  <c r="AI129" i="118" s="1"/>
  <c r="AD12" i="13"/>
  <c r="AE20" i="14" s="1"/>
  <c r="I42" i="45"/>
  <c r="AE39" i="21"/>
  <c r="AE12" i="21"/>
  <c r="AE5" i="21" s="1"/>
  <c r="AM122" i="108"/>
  <c r="AN122" i="108"/>
  <c r="AO122" i="108"/>
  <c r="C122" i="108" s="1"/>
  <c r="C76" i="108"/>
  <c r="AK90" i="108"/>
  <c r="AK124" i="108" s="1"/>
  <c r="AL93" i="108"/>
  <c r="AM86" i="108"/>
  <c r="AM83" i="108" s="1"/>
  <c r="AL83" i="108"/>
  <c r="AL123" i="108" s="1"/>
  <c r="C72" i="108"/>
  <c r="N23" i="45" s="1"/>
  <c r="Q23" i="45"/>
  <c r="AJ113" i="118"/>
  <c r="AJ130" i="118" s="1"/>
  <c r="AL102" i="118"/>
  <c r="AK99" i="118"/>
  <c r="AK127" i="118" s="1"/>
  <c r="AM95" i="118"/>
  <c r="AM92" i="118" s="1"/>
  <c r="AL92" i="118"/>
  <c r="AI125" i="108"/>
  <c r="AI111" i="108" s="1"/>
  <c r="AI5" i="108"/>
  <c r="X28" i="45" s="1"/>
  <c r="AJ104" i="108"/>
  <c r="AJ126" i="108" s="1"/>
  <c r="AK107" i="108"/>
  <c r="AI127" i="108"/>
  <c r="AH130" i="108"/>
  <c r="AH131" i="108"/>
  <c r="AH132" i="108"/>
  <c r="AG130" i="108"/>
  <c r="AG132" i="108"/>
  <c r="AG131" i="108"/>
  <c r="W28" i="45"/>
  <c r="AC18" i="14"/>
  <c r="AB10" i="13"/>
  <c r="AB9" i="13" s="1"/>
  <c r="AB15" i="13" s="1"/>
  <c r="AM125" i="118"/>
  <c r="C125" i="118" s="1"/>
  <c r="C85" i="118"/>
  <c r="C88" i="118" s="1"/>
  <c r="AL109" i="118"/>
  <c r="AK106" i="118"/>
  <c r="AK128" i="118" s="1"/>
  <c r="AK113" i="118" s="1"/>
  <c r="AK130" i="118" s="1"/>
  <c r="AJ97" i="108"/>
  <c r="AJ125" i="108" s="1"/>
  <c r="AK100" i="108"/>
  <c r="AG14" i="21"/>
  <c r="AG38" i="21"/>
  <c r="AH11" i="11"/>
  <c r="AF38" i="21"/>
  <c r="AG11" i="11"/>
  <c r="AF14" i="21"/>
  <c r="D16" i="103"/>
  <c r="D17" i="103"/>
  <c r="C17" i="103"/>
  <c r="C16" i="103"/>
  <c r="AO14" i="21"/>
  <c r="AO38" i="21"/>
  <c r="AP11" i="11"/>
  <c r="AP132" i="108"/>
  <c r="AP130" i="108"/>
  <c r="AP131" i="108"/>
  <c r="AQ11" i="11"/>
  <c r="AP14" i="21"/>
  <c r="AP38" i="21"/>
  <c r="AQ131" i="108"/>
  <c r="AQ130" i="108"/>
  <c r="AQ132" i="108"/>
  <c r="AP6" i="14"/>
  <c r="AO5" i="13"/>
  <c r="U26" i="13"/>
  <c r="T17" i="13"/>
  <c r="AH128" i="108" l="1"/>
  <c r="AH8" i="11" s="1"/>
  <c r="AG128" i="108"/>
  <c r="AF12" i="13"/>
  <c r="AG20" i="14" s="1"/>
  <c r="AG8" i="11"/>
  <c r="AE12" i="13"/>
  <c r="AF20" i="14" s="1"/>
  <c r="AG39" i="21"/>
  <c r="AG12" i="21"/>
  <c r="AG5" i="21" s="1"/>
  <c r="I44" i="45"/>
  <c r="AL100" i="108"/>
  <c r="AK97" i="108"/>
  <c r="AM109" i="118"/>
  <c r="AM106" i="118" s="1"/>
  <c r="AL106" i="118"/>
  <c r="AL128" i="118" s="1"/>
  <c r="AJ5" i="108"/>
  <c r="U30" i="45" s="1"/>
  <c r="AK104" i="108"/>
  <c r="AK126" i="108" s="1"/>
  <c r="AL107" i="108"/>
  <c r="AH32" i="21"/>
  <c r="AH7" i="14"/>
  <c r="AI5" i="11"/>
  <c r="AI129" i="108"/>
  <c r="AG6" i="13"/>
  <c r="AM126" i="118"/>
  <c r="C92" i="118"/>
  <c r="C95" i="118" s="1"/>
  <c r="AM123" i="108"/>
  <c r="AN123" i="108"/>
  <c r="AO123" i="108"/>
  <c r="C83" i="108"/>
  <c r="C79" i="108"/>
  <c r="N24" i="45" s="1"/>
  <c r="Q24" i="45"/>
  <c r="AF39" i="21"/>
  <c r="I43" i="45"/>
  <c r="AF12" i="21"/>
  <c r="AF5" i="21" s="1"/>
  <c r="AK133" i="118"/>
  <c r="AK131" i="118"/>
  <c r="AK129" i="118" s="1"/>
  <c r="AK132" i="118"/>
  <c r="AJ111" i="108"/>
  <c r="AL126" i="118"/>
  <c r="AK7" i="118"/>
  <c r="AM102" i="118"/>
  <c r="AM99" i="118" s="1"/>
  <c r="AL99" i="118"/>
  <c r="AL127" i="118" s="1"/>
  <c r="AJ131" i="118"/>
  <c r="AJ133" i="118"/>
  <c r="AJ132" i="118"/>
  <c r="AJ129" i="118"/>
  <c r="AL90" i="108"/>
  <c r="AM93" i="108"/>
  <c r="AM90" i="108" s="1"/>
  <c r="AD10" i="13"/>
  <c r="AD9" i="13" s="1"/>
  <c r="AD15" i="13" s="1"/>
  <c r="AE18" i="14"/>
  <c r="AE17" i="14" s="1"/>
  <c r="AE28" i="14" s="1"/>
  <c r="AF6" i="115" s="1"/>
  <c r="D19" i="103"/>
  <c r="D21" i="103" s="1"/>
  <c r="D22" i="103" s="1"/>
  <c r="D23" i="103" s="1"/>
  <c r="D24" i="103" s="1"/>
  <c r="C19" i="103"/>
  <c r="C21" i="103" s="1"/>
  <c r="C22" i="103" s="1"/>
  <c r="C23" i="103" s="1"/>
  <c r="C24" i="103" s="1"/>
  <c r="AE10" i="103"/>
  <c r="AP5" i="14"/>
  <c r="AQ128" i="108"/>
  <c r="AP128" i="108"/>
  <c r="AO39" i="21"/>
  <c r="I52" i="45"/>
  <c r="I53" i="45"/>
  <c r="AP39" i="21"/>
  <c r="U17" i="13"/>
  <c r="V26" i="13"/>
  <c r="AL124" i="108" l="1"/>
  <c r="AM127" i="118"/>
  <c r="C127" i="118" s="1"/>
  <c r="C99" i="118"/>
  <c r="C102" i="118" s="1"/>
  <c r="AM7" i="118"/>
  <c r="AL7" i="118"/>
  <c r="AJ127" i="108"/>
  <c r="AI32" i="21"/>
  <c r="AI7" i="14"/>
  <c r="AI6" i="14" s="1"/>
  <c r="AI5" i="14" s="1"/>
  <c r="AJ5" i="11"/>
  <c r="AH6" i="13"/>
  <c r="AH5" i="13" s="1"/>
  <c r="AJ129" i="108"/>
  <c r="C123" i="108"/>
  <c r="C126" i="118"/>
  <c r="AG5" i="13"/>
  <c r="AI11" i="11"/>
  <c r="AH14" i="21"/>
  <c r="AH38" i="21"/>
  <c r="AM128" i="118"/>
  <c r="C106" i="118"/>
  <c r="C109" i="118" s="1"/>
  <c r="AL97" i="108"/>
  <c r="AL125" i="108" s="1"/>
  <c r="AM100" i="108"/>
  <c r="AM97" i="108" s="1"/>
  <c r="AM124" i="108"/>
  <c r="AN124" i="108"/>
  <c r="AO124" i="108"/>
  <c r="C124" i="108" s="1"/>
  <c r="C90" i="108"/>
  <c r="AF18" i="14"/>
  <c r="AF17" i="14" s="1"/>
  <c r="AF28" i="14" s="1"/>
  <c r="AG6" i="115" s="1"/>
  <c r="AE10" i="13"/>
  <c r="AE9" i="13" s="1"/>
  <c r="AE15" i="13" s="1"/>
  <c r="C86" i="108"/>
  <c r="N25" i="45" s="1"/>
  <c r="Q25" i="45"/>
  <c r="AI130" i="108"/>
  <c r="AI132" i="108"/>
  <c r="AI131" i="108"/>
  <c r="AH6" i="14"/>
  <c r="AL104" i="108"/>
  <c r="AL126" i="108" s="1"/>
  <c r="AM107" i="108"/>
  <c r="AM104" i="108" s="1"/>
  <c r="AL113" i="118"/>
  <c r="AL130" i="118" s="1"/>
  <c r="AK125" i="108"/>
  <c r="AK111" i="108" s="1"/>
  <c r="AK5" i="108"/>
  <c r="AG18" i="14"/>
  <c r="AG17" i="14" s="1"/>
  <c r="AG28" i="14" s="1"/>
  <c r="AH6" i="115" s="1"/>
  <c r="AF10" i="13"/>
  <c r="AF9" i="13" s="1"/>
  <c r="AF15" i="13" s="1"/>
  <c r="AO18" i="14"/>
  <c r="AN10" i="13"/>
  <c r="AP8" i="11"/>
  <c r="AN12" i="13"/>
  <c r="AO20" i="14" s="1"/>
  <c r="AO12" i="13"/>
  <c r="AQ8" i="11"/>
  <c r="AE11" i="103"/>
  <c r="AP18" i="14"/>
  <c r="AO10" i="13"/>
  <c r="W26" i="13"/>
  <c r="V17" i="13"/>
  <c r="AI128" i="108" l="1"/>
  <c r="AI8" i="11" s="1"/>
  <c r="V30" i="45"/>
  <c r="AL131" i="118"/>
  <c r="AL133" i="118"/>
  <c r="AL132" i="118"/>
  <c r="AL129" i="118" s="1"/>
  <c r="AH5" i="14"/>
  <c r="C93" i="108"/>
  <c r="N26" i="45" s="1"/>
  <c r="Q26" i="45"/>
  <c r="AM125" i="108"/>
  <c r="AN125" i="108"/>
  <c r="AO125" i="108"/>
  <c r="C97" i="108"/>
  <c r="AK127" i="108"/>
  <c r="C7" i="118"/>
  <c r="AL111" i="108"/>
  <c r="AK5" i="11"/>
  <c r="AI6" i="13"/>
  <c r="AJ32" i="21"/>
  <c r="AK129" i="108"/>
  <c r="AJ7" i="14"/>
  <c r="AM126" i="108"/>
  <c r="AM111" i="108" s="1"/>
  <c r="AN126" i="108"/>
  <c r="AO126" i="108"/>
  <c r="C126" i="108" s="1"/>
  <c r="C104" i="108"/>
  <c r="C128" i="118"/>
  <c r="AM113" i="118"/>
  <c r="I45" i="45"/>
  <c r="AH12" i="21"/>
  <c r="AH5" i="21" s="1"/>
  <c r="AH39" i="21"/>
  <c r="AO111" i="108"/>
  <c r="AJ131" i="108"/>
  <c r="AJ130" i="108"/>
  <c r="AJ132" i="108"/>
  <c r="AI38" i="21"/>
  <c r="AI14" i="21"/>
  <c r="AJ11" i="11"/>
  <c r="AL5" i="108"/>
  <c r="W30" i="45" s="1"/>
  <c r="AM5" i="108"/>
  <c r="X30" i="45" s="1"/>
  <c r="AO17" i="14"/>
  <c r="AP20" i="14"/>
  <c r="AN9" i="13"/>
  <c r="AN15" i="13" s="1"/>
  <c r="X26" i="13"/>
  <c r="W17" i="13"/>
  <c r="AJ128" i="108" l="1"/>
  <c r="AH12" i="13" s="1"/>
  <c r="AG12" i="13"/>
  <c r="AH20" i="14" s="1"/>
  <c r="I46" i="45"/>
  <c r="AI39" i="21"/>
  <c r="AI12" i="21"/>
  <c r="AI5" i="21" s="1"/>
  <c r="AM130" i="118"/>
  <c r="C113" i="118"/>
  <c r="C107" i="108"/>
  <c r="N28" i="45" s="1"/>
  <c r="Q28" i="45"/>
  <c r="AN111" i="108"/>
  <c r="AJ6" i="14"/>
  <c r="AK11" i="11"/>
  <c r="AJ38" i="21"/>
  <c r="AJ14" i="21"/>
  <c r="AK32" i="21"/>
  <c r="AJ6" i="13"/>
  <c r="AJ5" i="13" s="1"/>
  <c r="AK7" i="14"/>
  <c r="AK6" i="14" s="1"/>
  <c r="AK5" i="14" s="1"/>
  <c r="AL129" i="108"/>
  <c r="AL5" i="11"/>
  <c r="AL127" i="108"/>
  <c r="AM127" i="108" s="1"/>
  <c r="AN127" i="108" s="1"/>
  <c r="AO127" i="108" s="1"/>
  <c r="AP127" i="108" s="1"/>
  <c r="C125" i="108"/>
  <c r="C5" i="108"/>
  <c r="AJ8" i="11"/>
  <c r="AM6" i="13"/>
  <c r="AM5" i="13" s="1"/>
  <c r="AC10" i="103" s="1"/>
  <c r="AC11" i="103" s="1"/>
  <c r="AN7" i="14"/>
  <c r="AN6" i="14" s="1"/>
  <c r="AN5" i="14" s="1"/>
  <c r="AN32" i="21"/>
  <c r="AO129" i="108"/>
  <c r="AO5" i="11"/>
  <c r="AH18" i="14"/>
  <c r="AG10" i="13"/>
  <c r="AG9" i="13" s="1"/>
  <c r="AG15" i="13" s="1"/>
  <c r="AL32" i="21"/>
  <c r="AK6" i="13"/>
  <c r="AK5" i="13" s="1"/>
  <c r="AM5" i="11"/>
  <c r="AL7" i="14"/>
  <c r="AL6" i="14" s="1"/>
  <c r="AL5" i="14" s="1"/>
  <c r="AM129" i="108"/>
  <c r="AK130" i="108"/>
  <c r="AK131" i="108"/>
  <c r="AK132" i="108"/>
  <c r="AI5" i="13"/>
  <c r="C100" i="108"/>
  <c r="N27" i="45" s="1"/>
  <c r="Q27" i="45"/>
  <c r="C111" i="108"/>
  <c r="AD12" i="103"/>
  <c r="AD13" i="103" s="1"/>
  <c r="AO28" i="14"/>
  <c r="Y26" i="13"/>
  <c r="X17" i="13"/>
  <c r="AH17" i="14" l="1"/>
  <c r="AH28" i="14" s="1"/>
  <c r="AI6" i="115" s="1"/>
  <c r="AK128" i="108"/>
  <c r="AK8" i="11" s="1"/>
  <c r="AI12" i="13"/>
  <c r="AJ20" i="14" s="1"/>
  <c r="AM130" i="108"/>
  <c r="AM131" i="108"/>
  <c r="AM132" i="108"/>
  <c r="AM11" i="11"/>
  <c r="AL14" i="21"/>
  <c r="AL38" i="21"/>
  <c r="AO130" i="108"/>
  <c r="AO132" i="108"/>
  <c r="AO131" i="108"/>
  <c r="AI20" i="14"/>
  <c r="G5" i="45"/>
  <c r="D7" i="45"/>
  <c r="AK38" i="21"/>
  <c r="AK14" i="21"/>
  <c r="AL11" i="11"/>
  <c r="AL6" i="13"/>
  <c r="AN5" i="11"/>
  <c r="AM7" i="14"/>
  <c r="AM6" i="14" s="1"/>
  <c r="AM5" i="14" s="1"/>
  <c r="AM32" i="21"/>
  <c r="AN129" i="108"/>
  <c r="AM133" i="118"/>
  <c r="C133" i="118" s="1"/>
  <c r="AM132" i="118"/>
  <c r="C132" i="118" s="1"/>
  <c r="AM131" i="118"/>
  <c r="C131" i="118" s="1"/>
  <c r="C130" i="118"/>
  <c r="AI18" i="14"/>
  <c r="AH10" i="13"/>
  <c r="AH9" i="13" s="1"/>
  <c r="AH15" i="13" s="1"/>
  <c r="E5" i="102"/>
  <c r="B109" i="21"/>
  <c r="AO11" i="11"/>
  <c r="AN38" i="21"/>
  <c r="AN14" i="21"/>
  <c r="AQ127" i="108"/>
  <c r="AO12" i="21"/>
  <c r="AO5" i="21" s="1"/>
  <c r="AL130" i="108"/>
  <c r="AL131" i="108"/>
  <c r="AL132" i="108"/>
  <c r="I47" i="45"/>
  <c r="AJ12" i="21"/>
  <c r="AJ5" i="21" s="1"/>
  <c r="AJ39" i="21"/>
  <c r="AJ5" i="14"/>
  <c r="AQ5" i="14" s="1"/>
  <c r="AQ6" i="14"/>
  <c r="Q29" i="45"/>
  <c r="Y6" i="107"/>
  <c r="AP6" i="115"/>
  <c r="Y17" i="13"/>
  <c r="Z26" i="13"/>
  <c r="AO128" i="108" l="1"/>
  <c r="AI17" i="14"/>
  <c r="AI28" i="14" s="1"/>
  <c r="AJ6" i="115" s="1"/>
  <c r="AM128" i="108"/>
  <c r="AQ7" i="14"/>
  <c r="AL128" i="108"/>
  <c r="AJ12" i="13" s="1"/>
  <c r="G5" i="102"/>
  <c r="G4" i="102" s="1"/>
  <c r="M4" i="102" s="1"/>
  <c r="AM129" i="118"/>
  <c r="C129" i="118" s="1"/>
  <c r="AN130" i="108"/>
  <c r="AN132" i="108"/>
  <c r="AN131" i="108"/>
  <c r="C131" i="108" s="1"/>
  <c r="C129" i="108"/>
  <c r="AL5" i="13"/>
  <c r="AP6" i="13"/>
  <c r="C130" i="108"/>
  <c r="I49" i="45"/>
  <c r="AL12" i="21"/>
  <c r="AL5" i="21" s="1"/>
  <c r="AL39" i="21"/>
  <c r="AI10" i="13"/>
  <c r="AI9" i="13" s="1"/>
  <c r="AI15" i="13" s="1"/>
  <c r="AJ18" i="14"/>
  <c r="AJ17" i="14" s="1"/>
  <c r="AJ28" i="14" s="1"/>
  <c r="AK6" i="115" s="1"/>
  <c r="C127" i="108"/>
  <c r="AP12" i="21"/>
  <c r="AP5" i="21" s="1"/>
  <c r="AN12" i="21"/>
  <c r="AN5" i="21" s="1"/>
  <c r="AN39" i="21"/>
  <c r="I51" i="45"/>
  <c r="B114" i="21"/>
  <c r="P32" i="21"/>
  <c r="C19" i="45"/>
  <c r="AM14" i="21"/>
  <c r="AN11" i="11"/>
  <c r="AM38" i="21"/>
  <c r="C5" i="11"/>
  <c r="AN7" i="11" s="1"/>
  <c r="AK39" i="21"/>
  <c r="AK12" i="21"/>
  <c r="AK5" i="21" s="1"/>
  <c r="I48" i="45"/>
  <c r="AM12" i="13"/>
  <c r="AN20" i="14" s="1"/>
  <c r="AO8" i="11"/>
  <c r="C132" i="108"/>
  <c r="AM8" i="11"/>
  <c r="AK12" i="13"/>
  <c r="AL20" i="14" s="1"/>
  <c r="Z17" i="13"/>
  <c r="AA26" i="13"/>
  <c r="AL8" i="11" l="1"/>
  <c r="AN128" i="108"/>
  <c r="AL12" i="13" s="1"/>
  <c r="F5" i="102"/>
  <c r="AN8" i="11"/>
  <c r="AN14" i="11" s="1"/>
  <c r="AK18" i="14"/>
  <c r="AJ10" i="13"/>
  <c r="AJ9" i="13" s="1"/>
  <c r="AJ15" i="13" s="1"/>
  <c r="E19" i="45"/>
  <c r="C24" i="45"/>
  <c r="D19" i="45" s="1"/>
  <c r="AN18" i="14"/>
  <c r="AN17" i="14" s="1"/>
  <c r="AM10" i="13"/>
  <c r="AM9" i="13" s="1"/>
  <c r="AM15" i="13" s="1"/>
  <c r="AL18" i="14"/>
  <c r="AL17" i="14" s="1"/>
  <c r="AL28" i="14" s="1"/>
  <c r="AM6" i="115" s="1"/>
  <c r="AK10" i="13"/>
  <c r="AK9" i="13" s="1"/>
  <c r="AK15" i="13" s="1"/>
  <c r="AQ7" i="11"/>
  <c r="AQ14" i="11" s="1"/>
  <c r="O7" i="11"/>
  <c r="L7" i="11"/>
  <c r="T7" i="11"/>
  <c r="R7" i="11"/>
  <c r="I7" i="11"/>
  <c r="P7" i="11"/>
  <c r="W7" i="11"/>
  <c r="M7" i="11"/>
  <c r="D7" i="11"/>
  <c r="Q7" i="11"/>
  <c r="AC20" i="45" s="1"/>
  <c r="Y7" i="11"/>
  <c r="Y14" i="11" s="1"/>
  <c r="Y16" i="11" s="1"/>
  <c r="AA7" i="11"/>
  <c r="AA14" i="11" s="1"/>
  <c r="AA16" i="11" s="1"/>
  <c r="AC7" i="11"/>
  <c r="AC14" i="11" s="1"/>
  <c r="AC16" i="11" s="1"/>
  <c r="AE7" i="11"/>
  <c r="AE14" i="11" s="1"/>
  <c r="AE16" i="11" s="1"/>
  <c r="AE20" i="11" s="1"/>
  <c r="AD25" i="14" s="1"/>
  <c r="AD17" i="14" s="1"/>
  <c r="AD28" i="14" s="1"/>
  <c r="AE6" i="115" s="1"/>
  <c r="AG7" i="11"/>
  <c r="AG14" i="11" s="1"/>
  <c r="AG16" i="11" s="1"/>
  <c r="AI7" i="11"/>
  <c r="AI14" i="11" s="1"/>
  <c r="AI16" i="11" s="1"/>
  <c r="AP7" i="11"/>
  <c r="AP14" i="11" s="1"/>
  <c r="AP16" i="11" s="1"/>
  <c r="K7" i="11"/>
  <c r="V7" i="11"/>
  <c r="S7" i="11"/>
  <c r="N7" i="11"/>
  <c r="F7" i="11"/>
  <c r="X7" i="11"/>
  <c r="X14" i="11" s="1"/>
  <c r="X16" i="11" s="1"/>
  <c r="J7" i="11"/>
  <c r="E7" i="11"/>
  <c r="H7" i="11"/>
  <c r="G7" i="11"/>
  <c r="U7" i="11"/>
  <c r="Z7" i="11"/>
  <c r="Z14" i="11" s="1"/>
  <c r="Z16" i="11" s="1"/>
  <c r="AB7" i="11"/>
  <c r="AB14" i="11" s="1"/>
  <c r="AB16" i="11" s="1"/>
  <c r="AD7" i="11"/>
  <c r="AD14" i="11" s="1"/>
  <c r="AD16" i="11" s="1"/>
  <c r="AD20" i="11" s="1"/>
  <c r="AC25" i="14" s="1"/>
  <c r="AC17" i="14" s="1"/>
  <c r="AC28" i="14" s="1"/>
  <c r="AD6" i="115" s="1"/>
  <c r="AF7" i="11"/>
  <c r="AF14" i="11" s="1"/>
  <c r="AF16" i="11" s="1"/>
  <c r="AH7" i="11"/>
  <c r="AH14" i="11" s="1"/>
  <c r="AH16" i="11" s="1"/>
  <c r="AJ7" i="11"/>
  <c r="AJ14" i="11" s="1"/>
  <c r="AJ16" i="11" s="1"/>
  <c r="AK7" i="11"/>
  <c r="AK14" i="11" s="1"/>
  <c r="AK16" i="11" s="1"/>
  <c r="AL7" i="11"/>
  <c r="AL14" i="11" s="1"/>
  <c r="AL16" i="11" s="1"/>
  <c r="AM7" i="11"/>
  <c r="AM14" i="11" s="1"/>
  <c r="AM16" i="11" s="1"/>
  <c r="AO7" i="11"/>
  <c r="AO14" i="11" s="1"/>
  <c r="AO16" i="11" s="1"/>
  <c r="AM12" i="21"/>
  <c r="AM5" i="21" s="1"/>
  <c r="AM39" i="21"/>
  <c r="I50" i="45"/>
  <c r="P10" i="77"/>
  <c r="P14" i="21"/>
  <c r="P10" i="88"/>
  <c r="P10" i="82"/>
  <c r="Q11" i="11"/>
  <c r="C11" i="11" s="1"/>
  <c r="B32" i="21"/>
  <c r="P10" i="96"/>
  <c r="P10" i="78"/>
  <c r="P10" i="94"/>
  <c r="P38" i="21"/>
  <c r="B38" i="21" s="1"/>
  <c r="P10" i="84"/>
  <c r="AB10" i="103"/>
  <c r="AP5" i="13"/>
  <c r="AK20" i="14"/>
  <c r="AA17" i="13"/>
  <c r="AB26" i="13"/>
  <c r="C8" i="11" l="1"/>
  <c r="AI19" i="11"/>
  <c r="AE19" i="11"/>
  <c r="C128" i="108"/>
  <c r="AM20" i="14"/>
  <c r="AQ20" i="14" s="1"/>
  <c r="AP12" i="13"/>
  <c r="AN16" i="11"/>
  <c r="AQ15" i="11"/>
  <c r="P13" i="78"/>
  <c r="P15" i="78" s="1"/>
  <c r="S10" i="78"/>
  <c r="E14" i="102"/>
  <c r="T10" i="78"/>
  <c r="T10" i="96"/>
  <c r="T10" i="82"/>
  <c r="T10" i="88"/>
  <c r="T10" i="77"/>
  <c r="E14" i="117"/>
  <c r="T10" i="84"/>
  <c r="T10" i="94"/>
  <c r="S10" i="82"/>
  <c r="P13" i="82"/>
  <c r="P15" i="82" s="1"/>
  <c r="I27" i="45"/>
  <c r="I54" i="45" s="1"/>
  <c r="P39" i="21"/>
  <c r="P12" i="21"/>
  <c r="B14" i="21"/>
  <c r="P43" i="21" s="1"/>
  <c r="J50" i="45"/>
  <c r="AE14" i="45"/>
  <c r="G14" i="11"/>
  <c r="AC14" i="45"/>
  <c r="E14" i="11"/>
  <c r="E16" i="11" s="1"/>
  <c r="AA19" i="11"/>
  <c r="AD18" i="45"/>
  <c r="N14" i="11"/>
  <c r="N16" i="11" s="1"/>
  <c r="N20" i="11" s="1"/>
  <c r="M25" i="14" s="1"/>
  <c r="M17" i="14" s="1"/>
  <c r="AD22" i="45"/>
  <c r="V14" i="11"/>
  <c r="V16" i="11" s="1"/>
  <c r="C7" i="11"/>
  <c r="D14" i="11"/>
  <c r="AB14" i="45"/>
  <c r="AE22" i="45"/>
  <c r="W14" i="11"/>
  <c r="W16" i="11" s="1"/>
  <c r="I14" i="11"/>
  <c r="I16" i="11" s="1"/>
  <c r="AC16" i="45"/>
  <c r="AB22" i="45"/>
  <c r="T14" i="11"/>
  <c r="T16" i="11" s="1"/>
  <c r="AE18" i="45"/>
  <c r="O14" i="11"/>
  <c r="AK17" i="14"/>
  <c r="AK28" i="14" s="1"/>
  <c r="AL6" i="115" s="1"/>
  <c r="AB11" i="103"/>
  <c r="G10" i="103"/>
  <c r="G11" i="103" s="1"/>
  <c r="P13" i="84"/>
  <c r="P15" i="84" s="1"/>
  <c r="S10" i="84"/>
  <c r="S10" i="94"/>
  <c r="P13" i="94"/>
  <c r="P15" i="94" s="1"/>
  <c r="S10" i="96"/>
  <c r="P13" i="96"/>
  <c r="P15" i="96" s="1"/>
  <c r="S10" i="88"/>
  <c r="P13" i="88"/>
  <c r="P15" i="88" s="1"/>
  <c r="S10" i="77"/>
  <c r="P13" i="77"/>
  <c r="P15" i="77" s="1"/>
  <c r="AL10" i="13"/>
  <c r="AL9" i="13" s="1"/>
  <c r="AL15" i="13" s="1"/>
  <c r="AM18" i="14"/>
  <c r="AM19" i="11"/>
  <c r="U14" i="11"/>
  <c r="U16" i="11" s="1"/>
  <c r="AC22" i="45"/>
  <c r="H14" i="11"/>
  <c r="H16" i="11" s="1"/>
  <c r="AB16" i="45"/>
  <c r="AD16" i="45"/>
  <c r="J14" i="11"/>
  <c r="J16" i="11" s="1"/>
  <c r="F14" i="11"/>
  <c r="F16" i="11" s="1"/>
  <c r="AD14" i="45"/>
  <c r="AE20" i="45"/>
  <c r="S14" i="11"/>
  <c r="S16" i="11" s="1"/>
  <c r="K14" i="11"/>
  <c r="AE16" i="45"/>
  <c r="M14" i="11"/>
  <c r="M16" i="11" s="1"/>
  <c r="AC18" i="45"/>
  <c r="AB20" i="45"/>
  <c r="P14" i="11"/>
  <c r="P16" i="11" s="1"/>
  <c r="AD20" i="45"/>
  <c r="R14" i="11"/>
  <c r="R16" i="11" s="1"/>
  <c r="L14" i="11"/>
  <c r="L16" i="11" s="1"/>
  <c r="AB18" i="45"/>
  <c r="AC12" i="103"/>
  <c r="AC13" i="103" s="1"/>
  <c r="AN28" i="14"/>
  <c r="D16" i="45"/>
  <c r="D18" i="45"/>
  <c r="D20" i="45"/>
  <c r="D21" i="45"/>
  <c r="D22" i="45"/>
  <c r="D17" i="45"/>
  <c r="D23" i="45"/>
  <c r="E24" i="45"/>
  <c r="D15" i="45"/>
  <c r="AB17" i="13"/>
  <c r="AC26" i="13"/>
  <c r="AM17" i="14" l="1"/>
  <c r="AB12" i="103" s="1"/>
  <c r="AB13" i="103" s="1"/>
  <c r="P17" i="77"/>
  <c r="P21" i="77" s="1"/>
  <c r="Q16" i="77" s="1"/>
  <c r="Q17" i="77" s="1"/>
  <c r="Q21" i="77" s="1"/>
  <c r="R16" i="77" s="1"/>
  <c r="P19" i="77"/>
  <c r="P17" i="88"/>
  <c r="P21" i="88" s="1"/>
  <c r="Q16" i="88" s="1"/>
  <c r="Q17" i="88" s="1"/>
  <c r="Q21" i="88" s="1"/>
  <c r="R16" i="88" s="1"/>
  <c r="P19" i="88"/>
  <c r="P17" i="96"/>
  <c r="P21" i="96" s="1"/>
  <c r="Q16" i="96" s="1"/>
  <c r="Q17" i="96" s="1"/>
  <c r="Q21" i="96" s="1"/>
  <c r="R16" i="96" s="1"/>
  <c r="P19" i="96"/>
  <c r="P17" i="94"/>
  <c r="P21" i="94" s="1"/>
  <c r="Q16" i="94" s="1"/>
  <c r="Q17" i="94" s="1"/>
  <c r="Q21" i="94" s="1"/>
  <c r="R16" i="94" s="1"/>
  <c r="P19" i="94"/>
  <c r="D16" i="11"/>
  <c r="G15" i="11"/>
  <c r="K15" i="11" s="1"/>
  <c r="K16" i="11" s="1"/>
  <c r="K19" i="11" s="1"/>
  <c r="M28" i="14"/>
  <c r="R12" i="103"/>
  <c r="R13" i="103" s="1"/>
  <c r="P5" i="21"/>
  <c r="B5" i="21" s="1"/>
  <c r="B12" i="21"/>
  <c r="J27" i="45"/>
  <c r="J15" i="45"/>
  <c r="J32" i="45"/>
  <c r="J17" i="45"/>
  <c r="J24" i="45"/>
  <c r="J19" i="45"/>
  <c r="J20" i="45"/>
  <c r="J34" i="45"/>
  <c r="J21" i="45"/>
  <c r="J30" i="45"/>
  <c r="J28" i="45"/>
  <c r="J35" i="45"/>
  <c r="J37" i="45"/>
  <c r="J39" i="45"/>
  <c r="J41" i="45"/>
  <c r="J43" i="45"/>
  <c r="J45" i="45"/>
  <c r="J47" i="45"/>
  <c r="J53" i="45"/>
  <c r="J23" i="45"/>
  <c r="J26" i="45"/>
  <c r="J31" i="45"/>
  <c r="J33" i="45"/>
  <c r="J22" i="45"/>
  <c r="J25" i="45"/>
  <c r="J18" i="45"/>
  <c r="J16" i="45"/>
  <c r="J29" i="45"/>
  <c r="J14" i="45"/>
  <c r="J36" i="45"/>
  <c r="J38" i="45"/>
  <c r="J40" i="45"/>
  <c r="J42" i="45"/>
  <c r="J44" i="45"/>
  <c r="J46" i="45"/>
  <c r="J52" i="45"/>
  <c r="J48" i="45"/>
  <c r="J49" i="45"/>
  <c r="J51" i="45"/>
  <c r="AQ16" i="11"/>
  <c r="AQ19" i="11" s="1"/>
  <c r="AO14" i="13"/>
  <c r="AO9" i="13" s="1"/>
  <c r="AO15" i="13" s="1"/>
  <c r="AP24" i="14"/>
  <c r="AP17" i="14" s="1"/>
  <c r="D14" i="45"/>
  <c r="D24" i="45" s="1"/>
  <c r="AO6" i="115"/>
  <c r="X6" i="107"/>
  <c r="P19" i="84"/>
  <c r="P17" i="84"/>
  <c r="P21" i="84" s="1"/>
  <c r="Q16" i="84" s="1"/>
  <c r="Q17" i="84" s="1"/>
  <c r="Q21" i="84" s="1"/>
  <c r="R16" i="84" s="1"/>
  <c r="W19" i="11"/>
  <c r="G16" i="11"/>
  <c r="P42" i="21"/>
  <c r="I42" i="21"/>
  <c r="Q42" i="21"/>
  <c r="F42" i="21"/>
  <c r="N42" i="21"/>
  <c r="U43" i="21"/>
  <c r="T43" i="21"/>
  <c r="N43" i="21"/>
  <c r="I43" i="21"/>
  <c r="C43" i="21"/>
  <c r="K42" i="21"/>
  <c r="S42" i="21"/>
  <c r="D42" i="21"/>
  <c r="L42" i="21"/>
  <c r="V42" i="21"/>
  <c r="K43" i="21"/>
  <c r="F43" i="21"/>
  <c r="L43" i="21"/>
  <c r="G43" i="21"/>
  <c r="M43" i="21"/>
  <c r="E43" i="21"/>
  <c r="D43" i="21"/>
  <c r="X42" i="21"/>
  <c r="Y43" i="21"/>
  <c r="Z42" i="21"/>
  <c r="AA42" i="21"/>
  <c r="AB42" i="21"/>
  <c r="AD43" i="21"/>
  <c r="AE43" i="21"/>
  <c r="AF43" i="21"/>
  <c r="AH43" i="21"/>
  <c r="AJ43" i="21"/>
  <c r="AO42" i="21"/>
  <c r="E42" i="21"/>
  <c r="M42" i="21"/>
  <c r="U42" i="21"/>
  <c r="J42" i="21"/>
  <c r="T42" i="21"/>
  <c r="W43" i="21"/>
  <c r="H43" i="21"/>
  <c r="O43" i="21"/>
  <c r="J43" i="21"/>
  <c r="G42" i="21"/>
  <c r="O42" i="21"/>
  <c r="W42" i="21"/>
  <c r="H42" i="21"/>
  <c r="R42" i="21"/>
  <c r="C14" i="37"/>
  <c r="R43" i="21"/>
  <c r="D3" i="45"/>
  <c r="V43" i="21"/>
  <c r="S43" i="21"/>
  <c r="Q43" i="21"/>
  <c r="C42" i="21"/>
  <c r="X43" i="21"/>
  <c r="Y42" i="21"/>
  <c r="Z43" i="21"/>
  <c r="AA43" i="21"/>
  <c r="AB43" i="21"/>
  <c r="AC43" i="21"/>
  <c r="AD42" i="21"/>
  <c r="AE42" i="21"/>
  <c r="AF42" i="21"/>
  <c r="AG43" i="21"/>
  <c r="AH42" i="21"/>
  <c r="AI43" i="21"/>
  <c r="AJ42" i="21"/>
  <c r="AP42" i="21"/>
  <c r="AP43" i="21"/>
  <c r="AC42" i="21"/>
  <c r="AG42" i="21"/>
  <c r="AI42" i="21"/>
  <c r="AO43" i="21"/>
  <c r="AL42" i="21"/>
  <c r="AN43" i="21"/>
  <c r="AK42" i="21"/>
  <c r="AL43" i="21"/>
  <c r="AN42" i="21"/>
  <c r="AK43" i="21"/>
  <c r="AM43" i="21"/>
  <c r="AM42" i="21"/>
  <c r="P18" i="14"/>
  <c r="AQ18" i="14" s="1"/>
  <c r="O10" i="13"/>
  <c r="AP10" i="13" s="1"/>
  <c r="P11" i="83"/>
  <c r="P11" i="86"/>
  <c r="P11" i="80"/>
  <c r="P11" i="95"/>
  <c r="P11" i="76"/>
  <c r="B39" i="21"/>
  <c r="P11" i="79"/>
  <c r="P11" i="74"/>
  <c r="P11" i="91"/>
  <c r="P19" i="82"/>
  <c r="P17" i="82"/>
  <c r="P21" i="82" s="1"/>
  <c r="Q16" i="82" s="1"/>
  <c r="Q17" i="82" s="1"/>
  <c r="Q21" i="82" s="1"/>
  <c r="R16" i="82" s="1"/>
  <c r="E7" i="117"/>
  <c r="G14" i="117"/>
  <c r="G7" i="117" s="1"/>
  <c r="G15" i="117" s="1"/>
  <c r="M8" i="117" s="1"/>
  <c r="M6" i="117"/>
  <c r="E7" i="102"/>
  <c r="G14" i="102"/>
  <c r="G7" i="102" s="1"/>
  <c r="G15" i="102" s="1"/>
  <c r="P19" i="78"/>
  <c r="P17" i="78"/>
  <c r="P21" i="78" s="1"/>
  <c r="Q16" i="78" s="1"/>
  <c r="Q17" i="78" s="1"/>
  <c r="Q21" i="78" s="1"/>
  <c r="R16" i="78" s="1"/>
  <c r="AC17" i="13"/>
  <c r="AD26" i="13"/>
  <c r="F14" i="117" l="1"/>
  <c r="F7" i="117" s="1"/>
  <c r="AM28" i="14"/>
  <c r="AN6" i="115" s="1"/>
  <c r="F14" i="102"/>
  <c r="F7" i="102" s="1"/>
  <c r="G19" i="11"/>
  <c r="BO14" i="8"/>
  <c r="AK14" i="8"/>
  <c r="M8" i="102"/>
  <c r="M5" i="102" s="1"/>
  <c r="M10" i="102" s="1"/>
  <c r="M11" i="102" s="1"/>
  <c r="BM14" i="8"/>
  <c r="BK14" i="8"/>
  <c r="BQ14" i="8"/>
  <c r="S11" i="91"/>
  <c r="P10" i="91"/>
  <c r="P17" i="91" s="1"/>
  <c r="S11" i="79"/>
  <c r="P10" i="79"/>
  <c r="P17" i="79" s="1"/>
  <c r="P10" i="76"/>
  <c r="P17" i="76" s="1"/>
  <c r="S11" i="76"/>
  <c r="P10" i="80"/>
  <c r="P17" i="80" s="1"/>
  <c r="S11" i="80"/>
  <c r="P10" i="83"/>
  <c r="P17" i="83" s="1"/>
  <c r="S11" i="83"/>
  <c r="B42" i="21"/>
  <c r="B43" i="21"/>
  <c r="AE12" i="103"/>
  <c r="AE13" i="103" s="1"/>
  <c r="AP28" i="14"/>
  <c r="O15" i="11"/>
  <c r="E14" i="13"/>
  <c r="E9" i="13" s="1"/>
  <c r="E15" i="13" s="1"/>
  <c r="F24" i="14"/>
  <c r="F17" i="14" s="1"/>
  <c r="W6" i="107"/>
  <c r="M7" i="117"/>
  <c r="M5" i="117" s="1"/>
  <c r="M10" i="117" s="1"/>
  <c r="M11" i="117" s="1"/>
  <c r="M9" i="117"/>
  <c r="S11" i="74"/>
  <c r="P10" i="74"/>
  <c r="P17" i="74" s="1"/>
  <c r="T11" i="91"/>
  <c r="T11" i="80"/>
  <c r="T11" i="76"/>
  <c r="T11" i="86"/>
  <c r="T11" i="95"/>
  <c r="T11" i="83"/>
  <c r="T11" i="79"/>
  <c r="T11" i="74"/>
  <c r="S11" i="95"/>
  <c r="P10" i="95"/>
  <c r="P17" i="95" s="1"/>
  <c r="S11" i="86"/>
  <c r="P10" i="86"/>
  <c r="P17" i="86" s="1"/>
  <c r="J54" i="45"/>
  <c r="D14" i="53"/>
  <c r="B9" i="53"/>
  <c r="N6" i="115"/>
  <c r="M6" i="107"/>
  <c r="J24" i="14"/>
  <c r="J17" i="14" s="1"/>
  <c r="I14" i="13"/>
  <c r="I9" i="13" s="1"/>
  <c r="I15" i="13" s="1"/>
  <c r="I17" i="13" s="1"/>
  <c r="D20" i="11"/>
  <c r="D18" i="11"/>
  <c r="D22" i="11" s="1"/>
  <c r="E17" i="11" s="1"/>
  <c r="E18" i="11" s="1"/>
  <c r="E22" i="11" s="1"/>
  <c r="F17" i="11" s="1"/>
  <c r="F18" i="11" s="1"/>
  <c r="F22" i="11" s="1"/>
  <c r="G17" i="11" s="1"/>
  <c r="G18" i="11" s="1"/>
  <c r="G22" i="11" s="1"/>
  <c r="H17" i="11" s="1"/>
  <c r="H18" i="11" s="1"/>
  <c r="H22" i="11" s="1"/>
  <c r="I17" i="11" s="1"/>
  <c r="I18" i="11" s="1"/>
  <c r="I22" i="11" s="1"/>
  <c r="J17" i="11" s="1"/>
  <c r="J18" i="11" s="1"/>
  <c r="J22" i="11" s="1"/>
  <c r="K17" i="11" s="1"/>
  <c r="K18" i="11" s="1"/>
  <c r="K22" i="11" s="1"/>
  <c r="L17" i="11" s="1"/>
  <c r="L18" i="11" s="1"/>
  <c r="L22" i="11" s="1"/>
  <c r="M17" i="11" s="1"/>
  <c r="M18" i="11" s="1"/>
  <c r="M22" i="11" s="1"/>
  <c r="N17" i="11" s="1"/>
  <c r="N18" i="11" s="1"/>
  <c r="N22" i="11" s="1"/>
  <c r="O17" i="11" s="1"/>
  <c r="AD17" i="13"/>
  <c r="AE26" i="13"/>
  <c r="M13" i="117" l="1"/>
  <c r="M12" i="117"/>
  <c r="E17" i="13"/>
  <c r="E18" i="13" s="1"/>
  <c r="F18" i="13" s="1"/>
  <c r="G18" i="13" s="1"/>
  <c r="H18" i="13" s="1"/>
  <c r="I18" i="13" s="1"/>
  <c r="J18" i="13" s="1"/>
  <c r="K18" i="13" s="1"/>
  <c r="L18" i="13" s="1"/>
  <c r="E16" i="13"/>
  <c r="F16" i="13" s="1"/>
  <c r="G16" i="13" s="1"/>
  <c r="H16" i="13" s="1"/>
  <c r="I16" i="13" s="1"/>
  <c r="J16" i="13" s="1"/>
  <c r="K16" i="13" s="1"/>
  <c r="L16" i="13" s="1"/>
  <c r="AQ6" i="115"/>
  <c r="Z6" i="107"/>
  <c r="P18" i="79"/>
  <c r="Q18" i="79" s="1"/>
  <c r="P19" i="79"/>
  <c r="P20" i="79" s="1"/>
  <c r="Q20" i="79" s="1"/>
  <c r="P18" i="91"/>
  <c r="Q18" i="91" s="1"/>
  <c r="P19" i="91"/>
  <c r="P20" i="91" s="1"/>
  <c r="Q20" i="91" s="1"/>
  <c r="BQ13" i="8"/>
  <c r="AK28" i="8" s="1"/>
  <c r="BQ15" i="8"/>
  <c r="BQ16" i="8"/>
  <c r="BQ17" i="8"/>
  <c r="BM17" i="8"/>
  <c r="BM15" i="8"/>
  <c r="BM16" i="8"/>
  <c r="BM13" i="8"/>
  <c r="AI28" i="8" s="1"/>
  <c r="AK13" i="8"/>
  <c r="U28" i="8" s="1"/>
  <c r="AK17" i="8"/>
  <c r="AK15" i="8"/>
  <c r="AK16" i="8"/>
  <c r="C25" i="14"/>
  <c r="J28" i="14"/>
  <c r="O12" i="103"/>
  <c r="O13" i="103" s="1"/>
  <c r="B5" i="53"/>
  <c r="F14" i="53"/>
  <c r="E14" i="53"/>
  <c r="P19" i="86"/>
  <c r="P20" i="86" s="1"/>
  <c r="Q20" i="86" s="1"/>
  <c r="P18" i="86"/>
  <c r="Q18" i="86" s="1"/>
  <c r="P19" i="95"/>
  <c r="P20" i="95" s="1"/>
  <c r="Q20" i="95" s="1"/>
  <c r="P18" i="95"/>
  <c r="Q18" i="95" s="1"/>
  <c r="P19" i="74"/>
  <c r="P20" i="74" s="1"/>
  <c r="Q20" i="74" s="1"/>
  <c r="P18" i="74"/>
  <c r="Q18" i="74" s="1"/>
  <c r="F28" i="14"/>
  <c r="K12" i="103"/>
  <c r="K13" i="103" s="1"/>
  <c r="N24" i="14"/>
  <c r="M14" i="13"/>
  <c r="M9" i="13" s="1"/>
  <c r="M15" i="13" s="1"/>
  <c r="M17" i="13" s="1"/>
  <c r="O16" i="11"/>
  <c r="P19" i="83"/>
  <c r="P20" i="83" s="1"/>
  <c r="Q20" i="83" s="1"/>
  <c r="P18" i="83"/>
  <c r="Q18" i="83" s="1"/>
  <c r="P19" i="80"/>
  <c r="P20" i="80" s="1"/>
  <c r="Q20" i="80" s="1"/>
  <c r="P18" i="80"/>
  <c r="Q18" i="80" s="1"/>
  <c r="P19" i="76"/>
  <c r="P20" i="76" s="1"/>
  <c r="Q20" i="76" s="1"/>
  <c r="P18" i="76"/>
  <c r="Q18" i="76" s="1"/>
  <c r="BK17" i="8"/>
  <c r="BK15" i="8"/>
  <c r="BK16" i="8"/>
  <c r="BK13" i="8"/>
  <c r="AH28" i="8" s="1"/>
  <c r="M12" i="102"/>
  <c r="M13" i="102"/>
  <c r="Q10" i="11" s="1"/>
  <c r="BO13" i="8"/>
  <c r="AJ28" i="8" s="1"/>
  <c r="BO17" i="8"/>
  <c r="BO15" i="8"/>
  <c r="BO16" i="8"/>
  <c r="AF26" i="13"/>
  <c r="AE17" i="13"/>
  <c r="M16" i="13" l="1"/>
  <c r="N16" i="13" s="1"/>
  <c r="P22" i="14"/>
  <c r="C10" i="11"/>
  <c r="O13" i="13"/>
  <c r="Q14" i="11"/>
  <c r="O20" i="11"/>
  <c r="O19" i="11"/>
  <c r="G6" i="115"/>
  <c r="F6" i="107"/>
  <c r="O18" i="11"/>
  <c r="D5" i="53"/>
  <c r="C5" i="53"/>
  <c r="K6" i="115"/>
  <c r="J6" i="107"/>
  <c r="C17" i="14"/>
  <c r="R7" i="78"/>
  <c r="R13" i="78" s="1"/>
  <c r="R15" i="78" s="1"/>
  <c r="R17" i="78" s="1"/>
  <c r="R21" i="78" s="1"/>
  <c r="R7" i="96"/>
  <c r="R13" i="96" s="1"/>
  <c r="R15" i="96" s="1"/>
  <c r="R17" i="96" s="1"/>
  <c r="R21" i="96" s="1"/>
  <c r="R7" i="88"/>
  <c r="R13" i="88" s="1"/>
  <c r="R15" i="88" s="1"/>
  <c r="R17" i="88" s="1"/>
  <c r="R21" i="88" s="1"/>
  <c r="R13" i="74"/>
  <c r="R10" i="74" s="1"/>
  <c r="R17" i="74" s="1"/>
  <c r="R7" i="94"/>
  <c r="R13" i="94" s="1"/>
  <c r="R15" i="94" s="1"/>
  <c r="R17" i="94" s="1"/>
  <c r="R21" i="94" s="1"/>
  <c r="R7" i="77"/>
  <c r="R13" i="77" s="1"/>
  <c r="R15" i="77" s="1"/>
  <c r="R17" i="77" s="1"/>
  <c r="R21" i="77" s="1"/>
  <c r="R13" i="80"/>
  <c r="R10" i="80" s="1"/>
  <c r="R17" i="80" s="1"/>
  <c r="R7" i="82"/>
  <c r="R13" i="82" s="1"/>
  <c r="R15" i="82" s="1"/>
  <c r="R17" i="82" s="1"/>
  <c r="R21" i="82" s="1"/>
  <c r="R7" i="84"/>
  <c r="R13" i="84" s="1"/>
  <c r="R15" i="84" s="1"/>
  <c r="R17" i="84" s="1"/>
  <c r="R21" i="84" s="1"/>
  <c r="R13" i="95"/>
  <c r="R10" i="95" s="1"/>
  <c r="R17" i="95" s="1"/>
  <c r="R13" i="76"/>
  <c r="R10" i="76" s="1"/>
  <c r="R17" i="76" s="1"/>
  <c r="R13" i="83"/>
  <c r="R10" i="83" s="1"/>
  <c r="R17" i="83" s="1"/>
  <c r="R13" i="91"/>
  <c r="R10" i="91" s="1"/>
  <c r="R17" i="91" s="1"/>
  <c r="R13" i="86"/>
  <c r="R10" i="86" s="1"/>
  <c r="R17" i="86" s="1"/>
  <c r="R13" i="79"/>
  <c r="R10" i="79" s="1"/>
  <c r="R17" i="79" s="1"/>
  <c r="M18" i="13"/>
  <c r="N18" i="13" s="1"/>
  <c r="AG26" i="13"/>
  <c r="AF17" i="13"/>
  <c r="O22" i="11" l="1"/>
  <c r="P17" i="11" s="1"/>
  <c r="P18" i="11" s="1"/>
  <c r="P22" i="11" s="1"/>
  <c r="Q17" i="11" s="1"/>
  <c r="R18" i="79"/>
  <c r="R19" i="79"/>
  <c r="R20" i="79" s="1"/>
  <c r="R18" i="91"/>
  <c r="R19" i="91"/>
  <c r="R20" i="91" s="1"/>
  <c r="R19" i="76"/>
  <c r="R20" i="76" s="1"/>
  <c r="R18" i="76"/>
  <c r="R18" i="80"/>
  <c r="R19" i="80"/>
  <c r="R20" i="80" s="1"/>
  <c r="N25" i="14"/>
  <c r="C20" i="11"/>
  <c r="AP13" i="13"/>
  <c r="AQ22" i="14"/>
  <c r="R18" i="86"/>
  <c r="R19" i="86"/>
  <c r="R20" i="86" s="1"/>
  <c r="R19" i="83"/>
  <c r="R20" i="83" s="1"/>
  <c r="R18" i="83"/>
  <c r="R18" i="95"/>
  <c r="R19" i="95"/>
  <c r="R20" i="95" s="1"/>
  <c r="R18" i="74"/>
  <c r="R19" i="74"/>
  <c r="R20" i="74" s="1"/>
  <c r="C28" i="14"/>
  <c r="H12" i="103"/>
  <c r="H13" i="103" s="1"/>
  <c r="H14" i="103" s="1"/>
  <c r="C14" i="11"/>
  <c r="Q15" i="11"/>
  <c r="B7" i="103"/>
  <c r="B9" i="103" s="1"/>
  <c r="B15" i="103" s="1"/>
  <c r="T14" i="91"/>
  <c r="T14" i="76"/>
  <c r="T14" i="79"/>
  <c r="T14" i="74"/>
  <c r="AH26" i="13"/>
  <c r="AG17" i="13"/>
  <c r="Q16" i="11" l="1"/>
  <c r="C15" i="11"/>
  <c r="O14" i="13"/>
  <c r="P24" i="14"/>
  <c r="D6" i="115"/>
  <c r="D5" i="115" s="1"/>
  <c r="D30" i="115" s="1"/>
  <c r="E7" i="115" s="1"/>
  <c r="E5" i="115" s="1"/>
  <c r="E30" i="115" s="1"/>
  <c r="F7" i="115" s="1"/>
  <c r="F5" i="115" s="1"/>
  <c r="F30" i="115" s="1"/>
  <c r="G7" i="115" s="1"/>
  <c r="G5" i="115" s="1"/>
  <c r="G30" i="115" s="1"/>
  <c r="H7" i="115" s="1"/>
  <c r="H5" i="115" s="1"/>
  <c r="H30" i="115" s="1"/>
  <c r="I7" i="115" s="1"/>
  <c r="I5" i="115" s="1"/>
  <c r="I30" i="115" s="1"/>
  <c r="J7" i="115" s="1"/>
  <c r="J5" i="115" s="1"/>
  <c r="C29" i="14"/>
  <c r="D29" i="14" s="1"/>
  <c r="E29" i="14" s="1"/>
  <c r="F29" i="14" s="1"/>
  <c r="G29" i="14" s="1"/>
  <c r="H29" i="14" s="1"/>
  <c r="I29" i="14" s="1"/>
  <c r="J29" i="14" s="1"/>
  <c r="K29" i="14" s="1"/>
  <c r="L29" i="14" s="1"/>
  <c r="M29" i="14" s="1"/>
  <c r="C6" i="107"/>
  <c r="C5" i="107" s="1"/>
  <c r="C34" i="107" s="1"/>
  <c r="D7" i="107" s="1"/>
  <c r="D5" i="107" s="1"/>
  <c r="N17" i="14"/>
  <c r="AQ25" i="14"/>
  <c r="J7" i="45"/>
  <c r="J10" i="45"/>
  <c r="G7" i="45"/>
  <c r="H25" i="103"/>
  <c r="I14" i="103"/>
  <c r="AH17" i="13"/>
  <c r="AI26" i="13"/>
  <c r="W21" i="82" l="1"/>
  <c r="W21" i="88"/>
  <c r="W21" i="77"/>
  <c r="W21" i="78"/>
  <c r="W21" i="96"/>
  <c r="W21" i="94"/>
  <c r="W21" i="84"/>
  <c r="D34" i="107"/>
  <c r="E7" i="107" s="1"/>
  <c r="E5" i="107" s="1"/>
  <c r="E34" i="107" s="1"/>
  <c r="F7" i="107" s="1"/>
  <c r="AA7" i="107" s="1"/>
  <c r="D33" i="107"/>
  <c r="J29" i="115"/>
  <c r="J30" i="115"/>
  <c r="K7" i="115" s="1"/>
  <c r="K5" i="115" s="1"/>
  <c r="AP14" i="13"/>
  <c r="O9" i="13"/>
  <c r="S19" i="11"/>
  <c r="C19" i="11" s="1"/>
  <c r="C16" i="11"/>
  <c r="Q18" i="11"/>
  <c r="Q22" i="11" s="1"/>
  <c r="R17" i="11" s="1"/>
  <c r="R18" i="11" s="1"/>
  <c r="R22" i="11" s="1"/>
  <c r="S17" i="11" s="1"/>
  <c r="S18" i="11" s="1"/>
  <c r="S22" i="11" s="1"/>
  <c r="T17" i="11" s="1"/>
  <c r="T18" i="11" s="1"/>
  <c r="T22" i="11" s="1"/>
  <c r="U17" i="11" s="1"/>
  <c r="U18" i="11" s="1"/>
  <c r="U22" i="11" s="1"/>
  <c r="V17" i="11" s="1"/>
  <c r="V18" i="11" s="1"/>
  <c r="V22" i="11" s="1"/>
  <c r="W17" i="11" s="1"/>
  <c r="W18" i="11" s="1"/>
  <c r="W22" i="11" s="1"/>
  <c r="X17" i="11" s="1"/>
  <c r="X18" i="11" s="1"/>
  <c r="X22" i="11" s="1"/>
  <c r="Y17" i="11" s="1"/>
  <c r="Y18" i="11" s="1"/>
  <c r="Y22" i="11" s="1"/>
  <c r="Z17" i="11" s="1"/>
  <c r="Z18" i="11" s="1"/>
  <c r="Z22" i="11" s="1"/>
  <c r="AA17" i="11" s="1"/>
  <c r="AA18" i="11" s="1"/>
  <c r="AA22" i="11" s="1"/>
  <c r="AB17" i="11" s="1"/>
  <c r="AB18" i="11" s="1"/>
  <c r="AB22" i="11" s="1"/>
  <c r="AC17" i="11" s="1"/>
  <c r="AC18" i="11" s="1"/>
  <c r="AC22" i="11" s="1"/>
  <c r="AD17" i="11" s="1"/>
  <c r="AD18" i="11" s="1"/>
  <c r="AD22" i="11" s="1"/>
  <c r="AE17" i="11" s="1"/>
  <c r="AE18" i="11" s="1"/>
  <c r="AE22" i="11" s="1"/>
  <c r="AF17" i="11" s="1"/>
  <c r="AF18" i="11" s="1"/>
  <c r="AF22" i="11" s="1"/>
  <c r="AG17" i="11" s="1"/>
  <c r="AG18" i="11" s="1"/>
  <c r="AG22" i="11" s="1"/>
  <c r="AH17" i="11" s="1"/>
  <c r="AH18" i="11" s="1"/>
  <c r="AH22" i="11" s="1"/>
  <c r="AI17" i="11" s="1"/>
  <c r="AI18" i="11" s="1"/>
  <c r="AI22" i="11" s="1"/>
  <c r="AJ17" i="11" s="1"/>
  <c r="AJ18" i="11" s="1"/>
  <c r="AJ22" i="11" s="1"/>
  <c r="AK17" i="11" s="1"/>
  <c r="AK18" i="11" s="1"/>
  <c r="AK22" i="11" s="1"/>
  <c r="AL17" i="11" s="1"/>
  <c r="AL18" i="11" s="1"/>
  <c r="AL22" i="11" s="1"/>
  <c r="AM17" i="11" s="1"/>
  <c r="AM18" i="11" s="1"/>
  <c r="AM22" i="11" s="1"/>
  <c r="AN17" i="11" s="1"/>
  <c r="AN18" i="11" s="1"/>
  <c r="AN22" i="11" s="1"/>
  <c r="AO17" i="11" s="1"/>
  <c r="AO18" i="11" s="1"/>
  <c r="AO22" i="11" s="1"/>
  <c r="AP17" i="11" s="1"/>
  <c r="AP18" i="11" s="1"/>
  <c r="AP22" i="11" s="1"/>
  <c r="AQ17" i="11" s="1"/>
  <c r="AQ18" i="11" s="1"/>
  <c r="AQ22" i="11" s="1"/>
  <c r="I25" i="103"/>
  <c r="J14" i="103"/>
  <c r="S12" i="103"/>
  <c r="N28" i="14"/>
  <c r="N29" i="14" s="1"/>
  <c r="O29" i="14" s="1"/>
  <c r="AQ24" i="14"/>
  <c r="P17" i="14"/>
  <c r="AQ17" i="14" s="1"/>
  <c r="T15" i="79"/>
  <c r="T15" i="76"/>
  <c r="T15" i="74"/>
  <c r="T15" i="91"/>
  <c r="AI17" i="13"/>
  <c r="AJ26" i="13"/>
  <c r="S13" i="103" l="1"/>
  <c r="E5" i="37"/>
  <c r="J8" i="45"/>
  <c r="O15" i="13"/>
  <c r="AP9" i="13"/>
  <c r="K29" i="115"/>
  <c r="K30" i="115"/>
  <c r="L7" i="115" s="1"/>
  <c r="L5" i="115" s="1"/>
  <c r="U12" i="103"/>
  <c r="U13" i="103" s="1"/>
  <c r="P28" i="14"/>
  <c r="AQ28" i="14" s="1"/>
  <c r="O6" i="115"/>
  <c r="N6" i="107"/>
  <c r="J25" i="103"/>
  <c r="K14" i="103"/>
  <c r="AJ17" i="13"/>
  <c r="AK26" i="13"/>
  <c r="L14" i="103" l="1"/>
  <c r="K25" i="103"/>
  <c r="AP15" i="13"/>
  <c r="C21" i="13"/>
  <c r="E21" i="13" s="1"/>
  <c r="O17" i="13"/>
  <c r="O18" i="13" s="1"/>
  <c r="P18" i="13" s="1"/>
  <c r="Q18" i="13" s="1"/>
  <c r="R18" i="13" s="1"/>
  <c r="S18" i="13" s="1"/>
  <c r="T18" i="13" s="1"/>
  <c r="U18" i="13" s="1"/>
  <c r="V18" i="13" s="1"/>
  <c r="W18" i="13" s="1"/>
  <c r="X18" i="13" s="1"/>
  <c r="Y18" i="13" s="1"/>
  <c r="Z18" i="13" s="1"/>
  <c r="AA18" i="13" s="1"/>
  <c r="AB18" i="13" s="1"/>
  <c r="AC18" i="13" s="1"/>
  <c r="AD18" i="13" s="1"/>
  <c r="AE18" i="13" s="1"/>
  <c r="AF18" i="13" s="1"/>
  <c r="AG18" i="13" s="1"/>
  <c r="AH18" i="13" s="1"/>
  <c r="AI18" i="13" s="1"/>
  <c r="AJ18" i="13" s="1"/>
  <c r="K20" i="13"/>
  <c r="O16" i="13"/>
  <c r="P16" i="13" s="1"/>
  <c r="Q16" i="13" s="1"/>
  <c r="R16" i="13" s="1"/>
  <c r="S16" i="13" s="1"/>
  <c r="T16" i="13" s="1"/>
  <c r="U16" i="13" s="1"/>
  <c r="V16" i="13" s="1"/>
  <c r="W16" i="13" s="1"/>
  <c r="X16" i="13" s="1"/>
  <c r="Y16" i="13" s="1"/>
  <c r="Z16" i="13" s="1"/>
  <c r="AA16" i="13" s="1"/>
  <c r="AB16" i="13" s="1"/>
  <c r="AC16" i="13" s="1"/>
  <c r="AD16" i="13" s="1"/>
  <c r="AE16" i="13" s="1"/>
  <c r="AF16" i="13" s="1"/>
  <c r="AG16" i="13" s="1"/>
  <c r="AH16" i="13" s="1"/>
  <c r="AI16" i="13" s="1"/>
  <c r="AJ16" i="13" s="1"/>
  <c r="AK16" i="13" s="1"/>
  <c r="AL16" i="13" s="1"/>
  <c r="AM16" i="13" s="1"/>
  <c r="AN16" i="13" s="1"/>
  <c r="AO16" i="13" s="1"/>
  <c r="P6" i="107"/>
  <c r="AA6" i="107" s="1"/>
  <c r="P29" i="14"/>
  <c r="Q29" i="14" s="1"/>
  <c r="R29" i="14" s="1"/>
  <c r="S29" i="14" s="1"/>
  <c r="T29" i="14" s="1"/>
  <c r="U29" i="14" s="1"/>
  <c r="V29" i="14" s="1"/>
  <c r="W29" i="14" s="1"/>
  <c r="X29" i="14" s="1"/>
  <c r="Y29" i="14" s="1"/>
  <c r="Z29" i="14" s="1"/>
  <c r="AA29" i="14" s="1"/>
  <c r="AB29" i="14" s="1"/>
  <c r="AC29" i="14" s="1"/>
  <c r="AD29" i="14" s="1"/>
  <c r="AE29" i="14" s="1"/>
  <c r="AF29" i="14" s="1"/>
  <c r="AG29" i="14" s="1"/>
  <c r="AH29" i="14" s="1"/>
  <c r="AI29" i="14" s="1"/>
  <c r="AJ29" i="14" s="1"/>
  <c r="AK29" i="14" s="1"/>
  <c r="AL29" i="14" s="1"/>
  <c r="AM29" i="14" s="1"/>
  <c r="AN29" i="14" s="1"/>
  <c r="AO29" i="14" s="1"/>
  <c r="AP29" i="14" s="1"/>
  <c r="Q6" i="115"/>
  <c r="L30" i="115"/>
  <c r="M7" i="115" s="1"/>
  <c r="M5" i="115" s="1"/>
  <c r="L29" i="115"/>
  <c r="G12" i="103"/>
  <c r="AL26" i="13"/>
  <c r="AK17" i="13"/>
  <c r="M29" i="115" l="1"/>
  <c r="M30" i="115"/>
  <c r="N7" i="115" s="1"/>
  <c r="N5" i="115" s="1"/>
  <c r="L25" i="103"/>
  <c r="M14" i="103"/>
  <c r="AK18" i="13"/>
  <c r="D9" i="45"/>
  <c r="C5" i="37"/>
  <c r="J9" i="45"/>
  <c r="D5" i="37"/>
  <c r="AL17" i="13"/>
  <c r="AM26" i="13"/>
  <c r="AL18" i="13" l="1"/>
  <c r="M25" i="103"/>
  <c r="N14" i="103"/>
  <c r="N29" i="115"/>
  <c r="N30" i="115"/>
  <c r="O7" i="115" s="1"/>
  <c r="O5" i="115" s="1"/>
  <c r="AN26" i="13"/>
  <c r="AM17" i="13"/>
  <c r="AM18" i="13" s="1"/>
  <c r="O29" i="115" l="1"/>
  <c r="O30" i="115"/>
  <c r="P7" i="115" s="1"/>
  <c r="P5" i="115" s="1"/>
  <c r="N25" i="103"/>
  <c r="O14" i="103"/>
  <c r="AN17" i="13"/>
  <c r="AN18" i="13" s="1"/>
  <c r="AO26" i="13"/>
  <c r="AO17" i="13" s="1"/>
  <c r="O25" i="103" l="1"/>
  <c r="P14" i="103"/>
  <c r="P30" i="115"/>
  <c r="Q7" i="115" s="1"/>
  <c r="Q5" i="115" s="1"/>
  <c r="Q30" i="115" s="1"/>
  <c r="R7" i="115" s="1"/>
  <c r="R5" i="115" s="1"/>
  <c r="R30" i="115" s="1"/>
  <c r="S7" i="115" s="1"/>
  <c r="S5" i="115" s="1"/>
  <c r="AO18" i="13"/>
  <c r="AP17" i="13"/>
  <c r="S29" i="115" l="1"/>
  <c r="S30" i="115"/>
  <c r="T7" i="115" s="1"/>
  <c r="T5" i="115" s="1"/>
  <c r="T30" i="115" s="1"/>
  <c r="U7" i="115" s="1"/>
  <c r="U5" i="115" s="1"/>
  <c r="U30" i="115" s="1"/>
  <c r="V7" i="115" s="1"/>
  <c r="V5" i="115" s="1"/>
  <c r="V30" i="115" s="1"/>
  <c r="W7" i="115" s="1"/>
  <c r="W5" i="115" s="1"/>
  <c r="W30" i="115" s="1"/>
  <c r="X7" i="115" s="1"/>
  <c r="X5" i="115" s="1"/>
  <c r="X30" i="115" s="1"/>
  <c r="Y7" i="115" s="1"/>
  <c r="Y5" i="115" s="1"/>
  <c r="Y30" i="115" s="1"/>
  <c r="Z7" i="115" s="1"/>
  <c r="Z5" i="115" s="1"/>
  <c r="Z30" i="115" s="1"/>
  <c r="AA7" i="115" s="1"/>
  <c r="AA5" i="115" s="1"/>
  <c r="P25" i="103"/>
  <c r="Q14" i="103"/>
  <c r="Q25" i="103" l="1"/>
  <c r="R14" i="103"/>
  <c r="AA29" i="115"/>
  <c r="AA30" i="115"/>
  <c r="AB7" i="115" s="1"/>
  <c r="AB5" i="115" s="1"/>
  <c r="AB30" i="115" l="1"/>
  <c r="AC7" i="115" s="1"/>
  <c r="AC5" i="115" s="1"/>
  <c r="AC30" i="115" s="1"/>
  <c r="AD7" i="115" s="1"/>
  <c r="AD5" i="115" s="1"/>
  <c r="AD30" i="115" s="1"/>
  <c r="AE7" i="115" s="1"/>
  <c r="AE5" i="115" s="1"/>
  <c r="AE30" i="115" s="1"/>
  <c r="AF7" i="115" s="1"/>
  <c r="AF5" i="115" s="1"/>
  <c r="AF30" i="115" s="1"/>
  <c r="AG7" i="115" s="1"/>
  <c r="AG5" i="115" s="1"/>
  <c r="AG30" i="115" s="1"/>
  <c r="AH7" i="115" s="1"/>
  <c r="AH5" i="115" s="1"/>
  <c r="AH30" i="115" s="1"/>
  <c r="AI7" i="115" s="1"/>
  <c r="AI5" i="115" s="1"/>
  <c r="R25" i="103"/>
  <c r="S14" i="103"/>
  <c r="AI30" i="115" l="1"/>
  <c r="AJ7" i="115" s="1"/>
  <c r="AJ5" i="115" s="1"/>
  <c r="AJ30" i="115" s="1"/>
  <c r="AK7" i="115" s="1"/>
  <c r="AK5" i="115" s="1"/>
  <c r="AK30" i="115" s="1"/>
  <c r="AL7" i="115" s="1"/>
  <c r="AL5" i="115" s="1"/>
  <c r="AL30" i="115" s="1"/>
  <c r="AM7" i="115" s="1"/>
  <c r="AM5" i="115" s="1"/>
  <c r="AM30" i="115" s="1"/>
  <c r="AN7" i="115" s="1"/>
  <c r="AN5" i="115" s="1"/>
  <c r="AN30" i="115" s="1"/>
  <c r="AO7" i="115" s="1"/>
  <c r="AO5" i="115" s="1"/>
  <c r="AO30" i="115" s="1"/>
  <c r="AP7" i="115" s="1"/>
  <c r="AI29" i="115"/>
  <c r="T14" i="103"/>
  <c r="S25" i="103"/>
  <c r="C5" i="115" l="1"/>
  <c r="U14" i="103"/>
  <c r="T25" i="103"/>
  <c r="U25" i="103" l="1"/>
  <c r="V14" i="103"/>
  <c r="W14" i="103" l="1"/>
  <c r="V25" i="103"/>
  <c r="W25" i="103" l="1"/>
  <c r="X14" i="103"/>
  <c r="X25" i="103" l="1"/>
  <c r="Y14" i="103"/>
  <c r="Z14" i="103" l="1"/>
  <c r="Y25" i="103"/>
  <c r="AA14" i="103" l="1"/>
  <c r="Z25" i="103"/>
  <c r="AA25" i="103" l="1"/>
  <c r="AB14" i="103"/>
  <c r="AC14" i="103" l="1"/>
  <c r="AB25" i="103"/>
  <c r="AC25" i="103" l="1"/>
  <c r="AD14" i="103"/>
  <c r="AD25" i="103" l="1"/>
  <c r="AE14" i="103"/>
  <c r="AE25" i="103" s="1"/>
</calcChain>
</file>

<file path=xl/comments1.xml><?xml version="1.0" encoding="utf-8"?>
<comments xmlns="http://schemas.openxmlformats.org/spreadsheetml/2006/main">
  <authors>
    <author>USER</author>
  </authors>
  <commentList>
    <comment ref="B12" author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最高限价</t>
        </r>
        <r>
          <rPr>
            <sz val="9"/>
            <color indexed="81"/>
            <rFont val="宋体"/>
            <family val="3"/>
            <charset val="134"/>
          </rPr>
          <t>173800
底价151200</t>
        </r>
      </text>
    </comment>
  </commentList>
</comments>
</file>

<file path=xl/sharedStrings.xml><?xml version="1.0" encoding="utf-8"?>
<sst xmlns="http://schemas.openxmlformats.org/spreadsheetml/2006/main" count="1821" uniqueCount="692">
  <si>
    <t xml:space="preserve"> </t>
    <phoneticPr fontId="2" type="noConversion"/>
  </si>
  <si>
    <t>新增销售收入</t>
    <phoneticPr fontId="2" type="noConversion"/>
  </si>
  <si>
    <t>销售收入</t>
    <phoneticPr fontId="2" type="noConversion"/>
  </si>
  <si>
    <t>利润总额</t>
    <phoneticPr fontId="2" type="noConversion"/>
  </si>
  <si>
    <t>销售利润率</t>
    <phoneticPr fontId="2" type="noConversion"/>
  </si>
  <si>
    <t>新增利润总额</t>
    <phoneticPr fontId="2" type="noConversion"/>
  </si>
  <si>
    <t>投资利润率</t>
    <phoneticPr fontId="2" type="noConversion"/>
  </si>
  <si>
    <t>偿债保证比</t>
    <phoneticPr fontId="2" type="noConversion"/>
  </si>
  <si>
    <t>单位：万元</t>
    <phoneticPr fontId="2" type="noConversion"/>
  </si>
  <si>
    <t>序号</t>
    <phoneticPr fontId="2" type="noConversion"/>
  </si>
  <si>
    <t>出租收入</t>
    <phoneticPr fontId="2" type="noConversion"/>
  </si>
  <si>
    <t>所得税</t>
    <phoneticPr fontId="2" type="noConversion"/>
  </si>
  <si>
    <t>项目财务现金流量表</t>
    <phoneticPr fontId="2" type="noConversion"/>
  </si>
  <si>
    <t>现金流入</t>
    <phoneticPr fontId="2" type="noConversion"/>
  </si>
  <si>
    <t>转售固定资产收入</t>
    <phoneticPr fontId="2" type="noConversion"/>
  </si>
  <si>
    <t>现金流出</t>
    <phoneticPr fontId="2" type="noConversion"/>
  </si>
  <si>
    <t>建设经营成本</t>
    <phoneticPr fontId="2" type="noConversion"/>
  </si>
  <si>
    <t>出租经营成本</t>
    <phoneticPr fontId="2" type="noConversion"/>
  </si>
  <si>
    <t>交易手续费</t>
    <phoneticPr fontId="2" type="noConversion"/>
  </si>
  <si>
    <t>土地增值税</t>
    <phoneticPr fontId="2" type="noConversion"/>
  </si>
  <si>
    <t>净现金流量</t>
    <phoneticPr fontId="2" type="noConversion"/>
  </si>
  <si>
    <t>累计现金流量</t>
    <phoneticPr fontId="2" type="noConversion"/>
  </si>
  <si>
    <t>累积净现值</t>
    <phoneticPr fontId="2" type="noConversion"/>
  </si>
  <si>
    <t>经营活动产生的现金来源</t>
    <phoneticPr fontId="2" type="noConversion"/>
  </si>
  <si>
    <t>筹资活动产生的现金来源</t>
    <phoneticPr fontId="2" type="noConversion"/>
  </si>
  <si>
    <t>应付利润</t>
    <phoneticPr fontId="2" type="noConversion"/>
  </si>
  <si>
    <t>净利润</t>
    <phoneticPr fontId="2" type="noConversion"/>
  </si>
  <si>
    <t>可供分配利润</t>
    <phoneticPr fontId="2" type="noConversion"/>
  </si>
  <si>
    <t>年末未分配利润</t>
    <phoneticPr fontId="2" type="noConversion"/>
  </si>
  <si>
    <t>财务费用</t>
    <phoneticPr fontId="2" type="noConversion"/>
  </si>
  <si>
    <t>净现值</t>
    <phoneticPr fontId="2" type="noConversion"/>
  </si>
  <si>
    <t>减：所得税</t>
    <phoneticPr fontId="2" type="noConversion"/>
  </si>
  <si>
    <t>贷款风险度</t>
    <phoneticPr fontId="2" type="noConversion"/>
  </si>
  <si>
    <t>其它</t>
    <phoneticPr fontId="2" type="noConversion"/>
  </si>
  <si>
    <t>合计</t>
    <phoneticPr fontId="2" type="noConversion"/>
  </si>
  <si>
    <t>敏感性变化因素</t>
  </si>
  <si>
    <t>变化因素</t>
  </si>
  <si>
    <t>变化幅度</t>
  </si>
  <si>
    <t>财务净现值</t>
  </si>
  <si>
    <t>财务内部收益率</t>
  </si>
  <si>
    <t>基本方案</t>
  </si>
  <si>
    <t>盈亏平衡分析</t>
  </si>
  <si>
    <t>销售费用</t>
    <phoneticPr fontId="2" type="noConversion"/>
  </si>
  <si>
    <t>序号</t>
  </si>
  <si>
    <t>汇率</t>
  </si>
  <si>
    <t>信用等级</t>
    <phoneticPr fontId="2" type="noConversion"/>
  </si>
  <si>
    <t>贷款方式</t>
    <phoneticPr fontId="2" type="noConversion"/>
  </si>
  <si>
    <t>项目建设起始年份</t>
    <phoneticPr fontId="2" type="noConversion"/>
  </si>
  <si>
    <t>填是或否</t>
    <phoneticPr fontId="2" type="noConversion"/>
  </si>
  <si>
    <t>是否普通住宅</t>
    <phoneticPr fontId="2" type="noConversion"/>
  </si>
  <si>
    <t>提取公积金比率</t>
    <phoneticPr fontId="4" type="noConversion"/>
  </si>
  <si>
    <t>公益金比率</t>
    <phoneticPr fontId="4" type="noConversion"/>
  </si>
  <si>
    <t>销售量</t>
    <phoneticPr fontId="2" type="noConversion"/>
  </si>
  <si>
    <t>万元</t>
    <phoneticPr fontId="2" type="noConversion"/>
  </si>
  <si>
    <t>年</t>
    <phoneticPr fontId="2" type="noConversion"/>
  </si>
  <si>
    <t>一</t>
  </si>
  <si>
    <t>二</t>
  </si>
  <si>
    <t>三</t>
  </si>
  <si>
    <t>企业名称</t>
    <phoneticPr fontId="4" type="noConversion"/>
  </si>
  <si>
    <t>项目建筑面积</t>
    <phoneticPr fontId="2" type="noConversion"/>
  </si>
  <si>
    <t>项目占地面积</t>
    <phoneticPr fontId="4" type="noConversion"/>
  </si>
  <si>
    <t>基础数据表</t>
    <phoneticPr fontId="4" type="noConversion"/>
  </si>
  <si>
    <t>项目经营成本</t>
    <phoneticPr fontId="2" type="noConversion"/>
  </si>
  <si>
    <t>项目销售收入、销售税金及附加测算表</t>
    <phoneticPr fontId="2" type="noConversion"/>
  </si>
  <si>
    <t>销售收入单位：万元</t>
    <phoneticPr fontId="2" type="noConversion"/>
  </si>
  <si>
    <t>单位</t>
    <phoneticPr fontId="2" type="noConversion"/>
  </si>
  <si>
    <t>平方米</t>
    <phoneticPr fontId="2" type="noConversion"/>
  </si>
  <si>
    <t>内部收益率</t>
    <phoneticPr fontId="2" type="noConversion"/>
  </si>
  <si>
    <t>管理费用</t>
    <phoneticPr fontId="2" type="noConversion"/>
  </si>
  <si>
    <t>开发成本</t>
    <phoneticPr fontId="2" type="noConversion"/>
  </si>
  <si>
    <t>其中：</t>
    <phoneticPr fontId="2" type="noConversion"/>
  </si>
  <si>
    <t>项目资金来源情况</t>
    <phoneticPr fontId="2" type="noConversion"/>
  </si>
  <si>
    <t>总投资</t>
    <phoneticPr fontId="2" type="noConversion"/>
  </si>
  <si>
    <t>利息备付率</t>
    <phoneticPr fontId="2" type="noConversion"/>
  </si>
  <si>
    <r>
      <t>至少应大于</t>
    </r>
    <r>
      <rPr>
        <sz val="12"/>
        <color indexed="9"/>
        <rFont val="Times New Roman"/>
        <family val="1"/>
      </rPr>
      <t>2</t>
    </r>
    <phoneticPr fontId="2" type="noConversion"/>
  </si>
  <si>
    <t>总销售量</t>
    <phoneticPr fontId="2" type="noConversion"/>
  </si>
  <si>
    <t>担保；抵押；信用</t>
    <phoneticPr fontId="4" type="noConversion"/>
  </si>
  <si>
    <t>项目主要指标</t>
    <phoneticPr fontId="2" type="noConversion"/>
  </si>
  <si>
    <t>基准折现率</t>
    <phoneticPr fontId="2" type="noConversion"/>
  </si>
  <si>
    <t>综合筹资成本</t>
    <phoneticPr fontId="2" type="noConversion"/>
  </si>
  <si>
    <t>动态投资回收期</t>
    <phoneticPr fontId="2" type="noConversion"/>
  </si>
  <si>
    <t>项            目</t>
    <phoneticPr fontId="2" type="noConversion"/>
  </si>
  <si>
    <t xml:space="preserve">经营期经营成本 </t>
    <phoneticPr fontId="2" type="noConversion"/>
  </si>
  <si>
    <t xml:space="preserve">敏感性分析结果 </t>
  </si>
  <si>
    <t>底表1</t>
    <phoneticPr fontId="2" type="noConversion"/>
  </si>
  <si>
    <t>项        目</t>
    <phoneticPr fontId="2" type="noConversion"/>
  </si>
  <si>
    <t>合   计</t>
    <phoneticPr fontId="2" type="noConversion"/>
  </si>
  <si>
    <t xml:space="preserve">2、财务净现值(FNPV)    </t>
    <phoneticPr fontId="2" type="noConversion"/>
  </si>
  <si>
    <t xml:space="preserve">   教育费附加</t>
    <phoneticPr fontId="2" type="noConversion"/>
  </si>
  <si>
    <t xml:space="preserve">   城市维护建设税</t>
    <phoneticPr fontId="2" type="noConversion"/>
  </si>
  <si>
    <t>项目损益预测表(出售部分)</t>
    <phoneticPr fontId="2" type="noConversion"/>
  </si>
  <si>
    <t>主表4-1</t>
    <phoneticPr fontId="2" type="noConversion"/>
  </si>
  <si>
    <t>序号</t>
    <phoneticPr fontId="2" type="noConversion"/>
  </si>
  <si>
    <t>合    计</t>
    <phoneticPr fontId="2" type="noConversion"/>
  </si>
  <si>
    <t>销售收入</t>
    <phoneticPr fontId="2" type="noConversion"/>
  </si>
  <si>
    <t>开发成本</t>
    <phoneticPr fontId="2" type="noConversion"/>
  </si>
  <si>
    <t>交易手续费</t>
    <phoneticPr fontId="2" type="noConversion"/>
  </si>
  <si>
    <t>土地增值税</t>
    <phoneticPr fontId="2" type="noConversion"/>
  </si>
  <si>
    <t>销售费用</t>
    <phoneticPr fontId="2" type="noConversion"/>
  </si>
  <si>
    <t>管理费用</t>
    <phoneticPr fontId="2" type="noConversion"/>
  </si>
  <si>
    <t>财务费用</t>
    <phoneticPr fontId="2" type="noConversion"/>
  </si>
  <si>
    <t>减：所得税</t>
    <phoneticPr fontId="2" type="noConversion"/>
  </si>
  <si>
    <t>净利润</t>
    <phoneticPr fontId="2" type="noConversion"/>
  </si>
  <si>
    <t xml:space="preserve">    加：年初未分配利润</t>
    <phoneticPr fontId="2" type="noConversion"/>
  </si>
  <si>
    <t>可供分配利润</t>
    <phoneticPr fontId="2" type="noConversion"/>
  </si>
  <si>
    <t xml:space="preserve">    减：应付利润</t>
    <phoneticPr fontId="2" type="noConversion"/>
  </si>
  <si>
    <t>年末未分配利润</t>
    <phoneticPr fontId="2" type="noConversion"/>
  </si>
  <si>
    <t>资金来源与运用表</t>
    <phoneticPr fontId="2" type="noConversion"/>
  </si>
  <si>
    <t>主表5</t>
    <phoneticPr fontId="2" type="noConversion"/>
  </si>
  <si>
    <t>盈亏平衡点：</t>
    <phoneticPr fontId="2" type="noConversion"/>
  </si>
  <si>
    <t>成本</t>
    <phoneticPr fontId="2" type="noConversion"/>
  </si>
  <si>
    <t>收入</t>
    <phoneticPr fontId="2" type="noConversion"/>
  </si>
  <si>
    <t>地方教育费附加%</t>
    <phoneticPr fontId="4" type="noConversion"/>
  </si>
  <si>
    <t>按当年净利润的15~20%计</t>
    <phoneticPr fontId="4" type="noConversion"/>
  </si>
  <si>
    <t>按当年净利润的5%计</t>
    <phoneticPr fontId="4" type="noConversion"/>
  </si>
  <si>
    <t>投资方向调节税%</t>
  </si>
  <si>
    <t>教育费附加%</t>
  </si>
  <si>
    <t>城市维护建设税%</t>
  </si>
  <si>
    <t>所得税%</t>
  </si>
  <si>
    <t>增值税率%</t>
    <phoneticPr fontId="4" type="noConversion"/>
  </si>
  <si>
    <t>销售面积为建面的%</t>
    <phoneticPr fontId="4" type="noConversion"/>
  </si>
  <si>
    <t>维修费为折旧的%</t>
    <phoneticPr fontId="2" type="noConversion"/>
  </si>
  <si>
    <t>个</t>
    <phoneticPr fontId="2" type="noConversion"/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</si>
  <si>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</si>
  <si>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</si>
  <si>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</si>
  <si>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</si>
  <si>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</si>
  <si>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</si>
  <si>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</si>
  <si>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</si>
  <si>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价值类型</t>
  </si>
  <si>
    <t>总价（万元）</t>
  </si>
  <si>
    <t>楼面单价（元/平方米）</t>
  </si>
  <si>
    <t>市场价值</t>
  </si>
  <si>
    <t>抵押价值</t>
  </si>
  <si>
    <t>抵押净值</t>
  </si>
  <si>
    <t>增值税及附加</t>
    <phoneticPr fontId="2" type="noConversion"/>
  </si>
  <si>
    <t xml:space="preserve">    减：提取公积金</t>
    <phoneticPr fontId="2" type="noConversion"/>
  </si>
  <si>
    <t>增值税及附加</t>
    <phoneticPr fontId="2" type="noConversion"/>
  </si>
  <si>
    <t>增值税及附加</t>
    <phoneticPr fontId="2" type="noConversion"/>
  </si>
  <si>
    <r>
      <t>（规划）建筑面积（m</t>
    </r>
    <r>
      <rPr>
        <b/>
        <vertAlign val="superscript"/>
        <sz val="8"/>
        <color indexed="23"/>
        <rFont val="微软雅黑"/>
        <family val="2"/>
        <charset val="134"/>
      </rPr>
      <t>2</t>
    </r>
    <r>
      <rPr>
        <b/>
        <sz val="11"/>
        <color indexed="23"/>
        <rFont val="微软雅黑"/>
        <family val="2"/>
        <charset val="134"/>
      </rPr>
      <t>）</t>
    </r>
    <phoneticPr fontId="14" type="noConversion"/>
  </si>
  <si>
    <r>
      <t>（分摊）土地面积（m</t>
    </r>
    <r>
      <rPr>
        <b/>
        <vertAlign val="superscript"/>
        <sz val="8"/>
        <color indexed="23"/>
        <rFont val="微软雅黑"/>
        <family val="2"/>
        <charset val="134"/>
      </rPr>
      <t>2</t>
    </r>
    <r>
      <rPr>
        <b/>
        <sz val="11"/>
        <color indexed="23"/>
        <rFont val="微软雅黑"/>
        <family val="2"/>
        <charset val="134"/>
      </rPr>
      <t>）</t>
    </r>
    <phoneticPr fontId="14" type="noConversion"/>
  </si>
  <si>
    <t>价值时点/估价期日</t>
    <phoneticPr fontId="14" type="noConversion"/>
  </si>
  <si>
    <t>地面单价（元/平方米）</t>
    <phoneticPr fontId="14" type="noConversion"/>
  </si>
  <si>
    <t>抵押价值-已注销</t>
    <phoneticPr fontId="14" type="noConversion"/>
  </si>
  <si>
    <t>总投</t>
    <phoneticPr fontId="14" type="noConversion"/>
  </si>
  <si>
    <t>租金</t>
    <phoneticPr fontId="14" type="noConversion"/>
  </si>
  <si>
    <t>重置成新价</t>
    <phoneticPr fontId="14" type="noConversion"/>
  </si>
  <si>
    <t>项目名称</t>
    <phoneticPr fontId="14" type="noConversion"/>
  </si>
  <si>
    <t>市场价值（万元）</t>
    <phoneticPr fontId="14" type="noConversion"/>
  </si>
  <si>
    <t>抵押价值（万元）</t>
    <phoneticPr fontId="14" type="noConversion"/>
  </si>
  <si>
    <t>抵押价值-已注销（万元）</t>
    <phoneticPr fontId="14" type="noConversion"/>
  </si>
  <si>
    <t>抵押净值（万元）</t>
    <phoneticPr fontId="14" type="noConversion"/>
  </si>
  <si>
    <t>估价对象1（本表）</t>
    <phoneticPr fontId="14" type="noConversion"/>
  </si>
  <si>
    <t>估价对象2</t>
    <phoneticPr fontId="14" type="noConversion"/>
  </si>
  <si>
    <t>保本销售价格</t>
    <phoneticPr fontId="2" type="noConversion"/>
  </si>
  <si>
    <t>保本销售收入</t>
    <phoneticPr fontId="2" type="noConversion"/>
  </si>
  <si>
    <t>合计</t>
  </si>
  <si>
    <t>四</t>
  </si>
  <si>
    <t>五</t>
  </si>
  <si>
    <t>六</t>
  </si>
  <si>
    <t>增值税</t>
    <phoneticPr fontId="2" type="noConversion"/>
  </si>
  <si>
    <t>其中：</t>
    <phoneticPr fontId="2" type="noConversion"/>
  </si>
  <si>
    <t>各年度销售比</t>
    <phoneticPr fontId="2" type="noConversion"/>
  </si>
  <si>
    <t>年增长</t>
    <phoneticPr fontId="2" type="noConversion"/>
  </si>
  <si>
    <t>平均单价</t>
    <phoneticPr fontId="2" type="noConversion"/>
  </si>
  <si>
    <t>销售单价</t>
    <phoneticPr fontId="2" type="noConversion"/>
  </si>
  <si>
    <t>备注</t>
  </si>
  <si>
    <t>开发成本</t>
  </si>
  <si>
    <t>扣除项目</t>
  </si>
  <si>
    <t>增值额</t>
  </si>
  <si>
    <t>增值比率</t>
  </si>
  <si>
    <t>税率</t>
  </si>
  <si>
    <t>速算扣除数</t>
  </si>
  <si>
    <t>主表3</t>
    <phoneticPr fontId="2" type="noConversion"/>
  </si>
  <si>
    <t xml:space="preserve"> 4、财务投资回收期(动态)     </t>
    <phoneticPr fontId="2" type="noConversion"/>
  </si>
  <si>
    <t>成本增加</t>
    <phoneticPr fontId="2" type="noConversion"/>
  </si>
  <si>
    <t>销售</t>
    <phoneticPr fontId="2" type="noConversion"/>
  </si>
  <si>
    <t>Q1</t>
    <phoneticPr fontId="2" type="noConversion"/>
  </si>
  <si>
    <t>Q2</t>
    <phoneticPr fontId="2" type="noConversion"/>
  </si>
  <si>
    <t>Q3</t>
    <phoneticPr fontId="2" type="noConversion"/>
  </si>
  <si>
    <t>Q4</t>
    <phoneticPr fontId="2" type="noConversion"/>
  </si>
  <si>
    <t>销售量</t>
    <phoneticPr fontId="2" type="noConversion"/>
  </si>
  <si>
    <t>资金来源合计</t>
    <phoneticPr fontId="2" type="noConversion"/>
  </si>
  <si>
    <t>利润总额</t>
    <phoneticPr fontId="2" type="noConversion"/>
  </si>
  <si>
    <t>资金运用合计</t>
    <phoneticPr fontId="2" type="noConversion"/>
  </si>
  <si>
    <t xml:space="preserve">1、基准折现率（季）       </t>
    <phoneticPr fontId="2" type="noConversion"/>
  </si>
  <si>
    <t xml:space="preserve">3、财务内部收益率(FIRR)（季）      </t>
    <phoneticPr fontId="2" type="noConversion"/>
  </si>
  <si>
    <t>净利润</t>
    <phoneticPr fontId="2" type="noConversion"/>
  </si>
  <si>
    <t>销售单价单位：元/平方米</t>
    <phoneticPr fontId="2" type="noConversion"/>
  </si>
  <si>
    <t>20Q3</t>
    <phoneticPr fontId="2" type="noConversion"/>
  </si>
  <si>
    <t>20Q4</t>
  </si>
  <si>
    <t>21Q1</t>
    <phoneticPr fontId="2" type="noConversion"/>
  </si>
  <si>
    <t>21Q2</t>
  </si>
  <si>
    <t>21Q3</t>
  </si>
  <si>
    <t>21Q4</t>
  </si>
  <si>
    <t>22Q1</t>
    <phoneticPr fontId="2" type="noConversion"/>
  </si>
  <si>
    <t>22Q2</t>
  </si>
  <si>
    <t>22Q3</t>
  </si>
  <si>
    <t>22Q4</t>
  </si>
  <si>
    <t>23Q1</t>
    <phoneticPr fontId="2" type="noConversion"/>
  </si>
  <si>
    <t>23Q2</t>
  </si>
  <si>
    <t>23Q3</t>
  </si>
  <si>
    <t>23Q4</t>
  </si>
  <si>
    <t>24Q1</t>
    <phoneticPr fontId="2" type="noConversion"/>
  </si>
  <si>
    <t>24Q2</t>
  </si>
  <si>
    <t>24Q3</t>
  </si>
  <si>
    <t>24Q4</t>
  </si>
  <si>
    <t>增值税计算表（销售类物业）</t>
  </si>
  <si>
    <t>土地增值税计算表（测算方法供参考）</t>
    <phoneticPr fontId="21" type="noConversion"/>
  </si>
  <si>
    <t>增值税科目</t>
  </si>
  <si>
    <t>预计可取得专用发票比例</t>
  </si>
  <si>
    <t>1</t>
  </si>
  <si>
    <t>销项税</t>
  </si>
  <si>
    <t>项目销售收入</t>
    <phoneticPr fontId="21" type="noConversion"/>
  </si>
  <si>
    <t>土地增值税计算公式对应表</t>
  </si>
  <si>
    <t>销售销项税</t>
  </si>
  <si>
    <t>项目土地增值税总扣除</t>
  </si>
  <si>
    <t>增值税计算公式</t>
  </si>
  <si>
    <t>土地成本扣减</t>
  </si>
  <si>
    <t>（一）</t>
  </si>
  <si>
    <t>比例&lt;=20%且为普通住宅</t>
  </si>
  <si>
    <t>进项税抵扣</t>
  </si>
  <si>
    <t>（二）</t>
  </si>
  <si>
    <t>开发费用</t>
  </si>
  <si>
    <t>20%&lt;比例&lt;=50%</t>
  </si>
  <si>
    <t>=增值额*30%</t>
  </si>
  <si>
    <t>前期工程费</t>
  </si>
  <si>
    <t>（三）</t>
  </si>
  <si>
    <t>税费（附加税，税率12%）</t>
    <phoneticPr fontId="21" type="noConversion"/>
  </si>
  <si>
    <t>50%&lt;比例&lt;=100%</t>
  </si>
  <si>
    <t>=增值额*40%-扣除项目金额*5%</t>
  </si>
  <si>
    <t>房屋开发费</t>
    <phoneticPr fontId="21" type="noConversion"/>
  </si>
  <si>
    <t>（四）</t>
  </si>
  <si>
    <t>其它加计20%的扣除</t>
  </si>
  <si>
    <t>100%&lt;比例&lt;=200%</t>
  </si>
  <si>
    <t>=增值额*50%-扣除项目金额*15%</t>
  </si>
  <si>
    <t>附属工程</t>
    <phoneticPr fontId="21" type="noConversion"/>
  </si>
  <si>
    <t>200%&lt;比例</t>
  </si>
  <si>
    <t>=增值额*60%-扣除项目金额*35%</t>
  </si>
  <si>
    <t>室外工程</t>
    <phoneticPr fontId="21" type="noConversion"/>
  </si>
  <si>
    <t>增值率</t>
  </si>
  <si>
    <t>是否普通住宅</t>
    <phoneticPr fontId="21" type="noConversion"/>
  </si>
  <si>
    <t>不可预见费</t>
  </si>
  <si>
    <t>土地增值税计算适用公式</t>
  </si>
  <si>
    <t>管理费用</t>
    <phoneticPr fontId="21" type="noConversion"/>
  </si>
  <si>
    <t>土地增值税总额</t>
  </si>
  <si>
    <t>销售费用</t>
    <phoneticPr fontId="21" type="noConversion"/>
  </si>
  <si>
    <t>年化</t>
    <phoneticPr fontId="2" type="noConversion"/>
  </si>
  <si>
    <t>收入变化</t>
    <phoneticPr fontId="2" type="noConversion"/>
  </si>
  <si>
    <t>Q1</t>
    <phoneticPr fontId="2" type="noConversion"/>
  </si>
  <si>
    <t>Q2</t>
    <phoneticPr fontId="2" type="noConversion"/>
  </si>
  <si>
    <t>Q3</t>
    <phoneticPr fontId="2" type="noConversion"/>
  </si>
  <si>
    <t>Q4</t>
    <phoneticPr fontId="2" type="noConversion"/>
  </si>
  <si>
    <t>Q1</t>
    <phoneticPr fontId="2" type="noConversion"/>
  </si>
  <si>
    <t>Q2</t>
    <phoneticPr fontId="2" type="noConversion"/>
  </si>
  <si>
    <t>合计</t>
    <phoneticPr fontId="2" type="noConversion"/>
  </si>
  <si>
    <t xml:space="preserve">   地方教育费附加</t>
    <phoneticPr fontId="2" type="noConversion"/>
  </si>
  <si>
    <t>AAA；AA；A；BBB；BB</t>
    <phoneticPr fontId="4" type="noConversion"/>
  </si>
  <si>
    <t>20Q1</t>
  </si>
  <si>
    <t>20Q2</t>
  </si>
  <si>
    <t>清算时点住宅总销售量</t>
    <phoneticPr fontId="23" type="noConversion"/>
  </si>
  <si>
    <t>销售价值涨幅</t>
  </si>
  <si>
    <t>清算时点去化率</t>
    <phoneticPr fontId="2" type="noConversion"/>
  </si>
  <si>
    <t>销售收入</t>
  </si>
  <si>
    <t>土地成本</t>
  </si>
  <si>
    <t>土增税</t>
  </si>
  <si>
    <t>增值税及附加</t>
  </si>
  <si>
    <t>所得税</t>
  </si>
  <si>
    <t>建设成本+开发间接费+不可预见费</t>
  </si>
  <si>
    <t>销售费用</t>
  </si>
  <si>
    <t>管理费用</t>
  </si>
  <si>
    <t>住宅</t>
    <phoneticPr fontId="2" type="noConversion"/>
  </si>
  <si>
    <t>车位</t>
    <phoneticPr fontId="2" type="noConversion"/>
  </si>
  <si>
    <t>项目负债偿还预测表</t>
    <phoneticPr fontId="2" type="noConversion"/>
  </si>
  <si>
    <t>主表6</t>
    <phoneticPr fontId="2" type="noConversion"/>
  </si>
  <si>
    <t>序号</t>
    <phoneticPr fontId="2" type="noConversion"/>
  </si>
  <si>
    <t>项        目</t>
    <phoneticPr fontId="2" type="noConversion"/>
  </si>
  <si>
    <t>合计</t>
    <phoneticPr fontId="2" type="noConversion"/>
  </si>
  <si>
    <t>资金来源</t>
    <phoneticPr fontId="2" type="noConversion"/>
  </si>
  <si>
    <t xml:space="preserve">         盈余资金</t>
    <phoneticPr fontId="2" type="noConversion"/>
  </si>
  <si>
    <t xml:space="preserve">         年初还贷资金结余</t>
    <phoneticPr fontId="2" type="noConversion"/>
  </si>
  <si>
    <t>年初项目借款余额</t>
    <phoneticPr fontId="2" type="noConversion"/>
  </si>
  <si>
    <t>本年增加额</t>
    <phoneticPr fontId="2" type="noConversion"/>
  </si>
  <si>
    <t>本年还本额</t>
    <phoneticPr fontId="2" type="noConversion"/>
  </si>
  <si>
    <t>年末项目借款余额</t>
    <phoneticPr fontId="2" type="noConversion"/>
  </si>
  <si>
    <t>当年偿债保证比</t>
    <phoneticPr fontId="2" type="noConversion"/>
  </si>
  <si>
    <t>——</t>
    <phoneticPr fontId="2" type="noConversion"/>
  </si>
  <si>
    <t>年末还贷资金结余</t>
    <phoneticPr fontId="2" type="noConversion"/>
  </si>
  <si>
    <t>非人防地下车库</t>
    <phoneticPr fontId="2" type="noConversion"/>
  </si>
  <si>
    <t>累计盈余资金</t>
    <phoneticPr fontId="2" type="noConversion"/>
  </si>
  <si>
    <t>2.10</t>
    <phoneticPr fontId="2" type="noConversion"/>
  </si>
  <si>
    <t>2.11</t>
    <phoneticPr fontId="2" type="noConversion"/>
  </si>
  <si>
    <t>1.10</t>
    <phoneticPr fontId="2" type="noConversion"/>
  </si>
  <si>
    <t>1.11</t>
    <phoneticPr fontId="2" type="noConversion"/>
  </si>
  <si>
    <t>1.2</t>
    <phoneticPr fontId="2" type="noConversion"/>
  </si>
  <si>
    <t>1.3</t>
    <phoneticPr fontId="2" type="noConversion"/>
  </si>
  <si>
    <t>1.4</t>
    <phoneticPr fontId="2" type="noConversion"/>
  </si>
  <si>
    <t>1.5</t>
    <phoneticPr fontId="2" type="noConversion"/>
  </si>
  <si>
    <t>1.6</t>
    <phoneticPr fontId="2" type="noConversion"/>
  </si>
  <si>
    <t>1.7</t>
    <phoneticPr fontId="2" type="noConversion"/>
  </si>
  <si>
    <t>1.8</t>
    <phoneticPr fontId="2" type="noConversion"/>
  </si>
  <si>
    <t>1.9</t>
    <phoneticPr fontId="2" type="noConversion"/>
  </si>
  <si>
    <t>2.1</t>
    <phoneticPr fontId="2" type="noConversion"/>
  </si>
  <si>
    <t>2.2</t>
    <phoneticPr fontId="2" type="noConversion"/>
  </si>
  <si>
    <t>2.3</t>
    <phoneticPr fontId="2" type="noConversion"/>
  </si>
  <si>
    <t>2.4</t>
    <phoneticPr fontId="2" type="noConversion"/>
  </si>
  <si>
    <t>2.5</t>
    <phoneticPr fontId="2" type="noConversion"/>
  </si>
  <si>
    <t>2.6</t>
    <phoneticPr fontId="2" type="noConversion"/>
  </si>
  <si>
    <t>2.7</t>
    <phoneticPr fontId="2" type="noConversion"/>
  </si>
  <si>
    <t>2.8</t>
    <phoneticPr fontId="2" type="noConversion"/>
  </si>
  <si>
    <t>2.9</t>
    <phoneticPr fontId="2" type="noConversion"/>
  </si>
  <si>
    <t>3.1</t>
    <phoneticPr fontId="2" type="noConversion"/>
  </si>
  <si>
    <t>3.2</t>
    <phoneticPr fontId="2" type="noConversion"/>
  </si>
  <si>
    <t>3.3</t>
    <phoneticPr fontId="2" type="noConversion"/>
  </si>
  <si>
    <t>3.4</t>
    <phoneticPr fontId="2" type="noConversion"/>
  </si>
  <si>
    <t>销售数量</t>
    <phoneticPr fontId="2" type="noConversion"/>
  </si>
  <si>
    <t>项目总投资来源及支出预测表</t>
    <phoneticPr fontId="2" type="noConversion"/>
  </si>
  <si>
    <t>合    计</t>
    <phoneticPr fontId="2" type="noConversion"/>
  </si>
  <si>
    <t>一、总投资来源合计</t>
    <phoneticPr fontId="2" type="noConversion"/>
  </si>
  <si>
    <t>自有资金</t>
    <phoneticPr fontId="2" type="noConversion"/>
  </si>
  <si>
    <t>销售收入回款</t>
    <phoneticPr fontId="2" type="noConversion"/>
  </si>
  <si>
    <t>（一）土地费用</t>
    <phoneticPr fontId="2" type="noConversion"/>
  </si>
  <si>
    <t>（三）房屋开发费</t>
    <phoneticPr fontId="2" type="noConversion"/>
  </si>
  <si>
    <t>项目开发成本</t>
    <phoneticPr fontId="2" type="noConversion"/>
  </si>
  <si>
    <t>期间费用</t>
    <phoneticPr fontId="2" type="noConversion"/>
  </si>
  <si>
    <t>项目经营成本</t>
    <phoneticPr fontId="2" type="noConversion"/>
  </si>
  <si>
    <t>开发间接费用比例</t>
    <phoneticPr fontId="2" type="noConversion"/>
  </si>
  <si>
    <t>备注</t>
    <phoneticPr fontId="2" type="noConversion"/>
  </si>
  <si>
    <t>土地开发补偿费</t>
    <phoneticPr fontId="2" type="noConversion"/>
  </si>
  <si>
    <t>购地税费</t>
    <phoneticPr fontId="2" type="noConversion"/>
  </si>
  <si>
    <t>城市基础设施建设费</t>
    <phoneticPr fontId="2" type="noConversion"/>
  </si>
  <si>
    <t>红线外市政</t>
    <phoneticPr fontId="2" type="noConversion"/>
  </si>
  <si>
    <t>（二）前期工程费用</t>
    <phoneticPr fontId="2" type="noConversion"/>
  </si>
  <si>
    <t>三通一平费用</t>
    <phoneticPr fontId="2" type="noConversion"/>
  </si>
  <si>
    <t xml:space="preserve">      附属工程费用</t>
    <phoneticPr fontId="9" type="noConversion"/>
  </si>
  <si>
    <t xml:space="preserve">             室外工程费用</t>
    <phoneticPr fontId="9" type="noConversion"/>
  </si>
  <si>
    <t>（四）开发间接费用</t>
    <phoneticPr fontId="2" type="noConversion"/>
  </si>
  <si>
    <t>（五）销售费用</t>
    <phoneticPr fontId="2" type="noConversion"/>
  </si>
  <si>
    <t>（六）管理费用</t>
    <phoneticPr fontId="2" type="noConversion"/>
  </si>
  <si>
    <t>（七）财务费用</t>
    <phoneticPr fontId="2" type="noConversion"/>
  </si>
  <si>
    <t>（八）不可预见费用</t>
    <phoneticPr fontId="2" type="noConversion"/>
  </si>
  <si>
    <t>（九）相关税费</t>
    <phoneticPr fontId="2" type="noConversion"/>
  </si>
  <si>
    <t>合计</t>
    <phoneticPr fontId="2" type="noConversion"/>
  </si>
  <si>
    <t>——</t>
  </si>
  <si>
    <t>回款比例</t>
    <phoneticPr fontId="2" type="noConversion"/>
  </si>
  <si>
    <t>项        目</t>
  </si>
  <si>
    <t>销售均价</t>
    <phoneticPr fontId="2" type="noConversion"/>
  </si>
  <si>
    <t>销售率</t>
    <phoneticPr fontId="2" type="noConversion"/>
  </si>
  <si>
    <t>销售回款</t>
    <phoneticPr fontId="2" type="noConversion"/>
  </si>
  <si>
    <t>财务费用</t>
    <phoneticPr fontId="2" type="noConversion"/>
  </si>
  <si>
    <t>净利润</t>
    <phoneticPr fontId="2" type="noConversion"/>
  </si>
  <si>
    <t>成本变化</t>
    <phoneticPr fontId="2" type="noConversion"/>
  </si>
  <si>
    <t>销售变化</t>
    <phoneticPr fontId="2" type="noConversion"/>
  </si>
  <si>
    <t>投资额（万元）</t>
  </si>
  <si>
    <t>占项目总投资比例</t>
  </si>
  <si>
    <t>土地费用</t>
  </si>
  <si>
    <t>房屋开发费</t>
  </si>
  <si>
    <t>其中：建安工程费</t>
  </si>
  <si>
    <t>开发间接费用</t>
  </si>
  <si>
    <t>财务费用</t>
  </si>
  <si>
    <t>相关税费</t>
    <phoneticPr fontId="2" type="noConversion"/>
  </si>
  <si>
    <t>年份</t>
  </si>
  <si>
    <t>季度</t>
  </si>
  <si>
    <t>占比</t>
  </si>
  <si>
    <t>资金用途</t>
  </si>
  <si>
    <t>Q1</t>
  </si>
  <si>
    <t>Q2</t>
  </si>
  <si>
    <t>Q3</t>
  </si>
  <si>
    <t>Q4</t>
  </si>
  <si>
    <t>房屋开发费、开发间接费用、管理费用、财务费用、不可预见费、销售费用</t>
  </si>
  <si>
    <t>土地费用、前期工程费、管理费用、不可预见费</t>
    <phoneticPr fontId="2" type="noConversion"/>
  </si>
  <si>
    <t>用途</t>
  </si>
  <si>
    <t>销售均价</t>
  </si>
  <si>
    <t>可销售面积</t>
  </si>
  <si>
    <t>销售比率</t>
  </si>
  <si>
    <t>投资额</t>
    <phoneticPr fontId="2" type="noConversion"/>
  </si>
  <si>
    <t>合计</t>
    <phoneticPr fontId="2" type="noConversion"/>
  </si>
  <si>
    <t>——</t>
    <phoneticPr fontId="2" type="noConversion"/>
  </si>
  <si>
    <t>销售额</t>
    <phoneticPr fontId="2" type="noConversion"/>
  </si>
  <si>
    <t>开发成本</t>
    <phoneticPr fontId="2" type="noConversion"/>
  </si>
  <si>
    <t>出让合同</t>
    <phoneticPr fontId="2" type="noConversion"/>
  </si>
  <si>
    <t>电子监管号</t>
  </si>
  <si>
    <t>出让人</t>
  </si>
  <si>
    <t>受让人</t>
  </si>
  <si>
    <t>签订日期</t>
  </si>
  <si>
    <t>宗地编号</t>
  </si>
  <si>
    <t>宗地坐落</t>
    <phoneticPr fontId="2" type="noConversion"/>
  </si>
  <si>
    <t>出让宗地面积（平方米）</t>
    <phoneticPr fontId="2" type="noConversion"/>
  </si>
  <si>
    <t>交付日期</t>
    <phoneticPr fontId="2" type="noConversion"/>
  </si>
  <si>
    <t>地面单价（元/平方米）</t>
    <phoneticPr fontId="2" type="noConversion"/>
  </si>
  <si>
    <t>楼面单价（元/平方米）</t>
    <phoneticPr fontId="2" type="noConversion"/>
  </si>
  <si>
    <t>规划建筑面积（平方米）</t>
    <phoneticPr fontId="2" type="noConversion"/>
  </si>
  <si>
    <t>规划容积率</t>
  </si>
  <si>
    <t>约定开工时间</t>
    <phoneticPr fontId="2" type="noConversion"/>
  </si>
  <si>
    <t>约定竣工时间</t>
    <phoneticPr fontId="2" type="noConversion"/>
  </si>
  <si>
    <t>出让公告</t>
  </si>
  <si>
    <t>成交公告</t>
  </si>
  <si>
    <t>证号</t>
  </si>
  <si>
    <t>权利人</t>
  </si>
  <si>
    <t>共有情况</t>
  </si>
  <si>
    <t>坐落</t>
  </si>
  <si>
    <t>不动产单元号</t>
  </si>
  <si>
    <t>权利类型</t>
  </si>
  <si>
    <t>权利性质</t>
  </si>
  <si>
    <t>使用期限</t>
  </si>
  <si>
    <t>取得日期</t>
  </si>
  <si>
    <t>用地单位</t>
  </si>
  <si>
    <t>用地项目名称</t>
  </si>
  <si>
    <t>用地位置</t>
  </si>
  <si>
    <t>用地性质</t>
  </si>
  <si>
    <t>用地面积</t>
  </si>
  <si>
    <t>建设单位（个人）</t>
  </si>
  <si>
    <t>建设项目名称</t>
  </si>
  <si>
    <t>建设位置</t>
  </si>
  <si>
    <t>建设规模</t>
  </si>
  <si>
    <t>建设单位</t>
  </si>
  <si>
    <t>工程名称</t>
  </si>
  <si>
    <t>建设地址</t>
  </si>
  <si>
    <t>合同价格</t>
  </si>
  <si>
    <t>勘察单位</t>
  </si>
  <si>
    <t>设计单位</t>
  </si>
  <si>
    <t>施工单位</t>
  </si>
  <si>
    <t>建立单位</t>
  </si>
  <si>
    <t>合同工期</t>
  </si>
  <si>
    <t>教育费附加</t>
    <phoneticPr fontId="2" type="noConversion"/>
  </si>
  <si>
    <t>地方教育费附加</t>
    <phoneticPr fontId="2" type="noConversion"/>
  </si>
  <si>
    <t>城市维护建设税</t>
    <phoneticPr fontId="2" type="noConversion"/>
  </si>
  <si>
    <t>回款比例</t>
    <phoneticPr fontId="2" type="noConversion"/>
  </si>
  <si>
    <t>敏感性分析-售价变化</t>
    <phoneticPr fontId="2" type="noConversion"/>
  </si>
  <si>
    <t>主表1</t>
    <phoneticPr fontId="2" type="noConversion"/>
  </si>
  <si>
    <t>二、总投资支出合计</t>
    <phoneticPr fontId="2" type="noConversion"/>
  </si>
  <si>
    <t>工程投入进度</t>
    <phoneticPr fontId="2" type="noConversion"/>
  </si>
  <si>
    <t>投资占比</t>
    <phoneticPr fontId="2" type="noConversion"/>
  </si>
  <si>
    <t>成本汇总</t>
    <phoneticPr fontId="2" type="noConversion"/>
  </si>
  <si>
    <t>补交政府土地收益及契税</t>
    <phoneticPr fontId="2" type="noConversion"/>
  </si>
  <si>
    <t>单价</t>
    <phoneticPr fontId="2" type="noConversion"/>
  </si>
  <si>
    <t>住宅</t>
    <phoneticPr fontId="2" type="noConversion"/>
  </si>
  <si>
    <t>非住宅</t>
    <phoneticPr fontId="2" type="noConversion"/>
  </si>
  <si>
    <t>精装</t>
    <phoneticPr fontId="2" type="noConversion"/>
  </si>
  <si>
    <t>临时设施费</t>
    <phoneticPr fontId="2" type="noConversion"/>
  </si>
  <si>
    <t>报批报建费</t>
    <phoneticPr fontId="2" type="noConversion"/>
  </si>
  <si>
    <t>政府土地收益</t>
    <phoneticPr fontId="2" type="noConversion"/>
  </si>
  <si>
    <t>规划勘察设计费用</t>
    <phoneticPr fontId="2" type="noConversion"/>
  </si>
  <si>
    <t>建安工程费用</t>
    <phoneticPr fontId="2" type="noConversion"/>
  </si>
  <si>
    <t>净现金流量</t>
    <phoneticPr fontId="2" type="noConversion"/>
  </si>
  <si>
    <t>累计现金流量</t>
    <phoneticPr fontId="2" type="noConversion"/>
  </si>
  <si>
    <t>净现值</t>
    <phoneticPr fontId="2" type="noConversion"/>
  </si>
  <si>
    <t>累积净现值</t>
    <phoneticPr fontId="2" type="noConversion"/>
  </si>
  <si>
    <t>4、财务投资回收期（动态）</t>
    <phoneticPr fontId="2" type="noConversion"/>
  </si>
  <si>
    <t>2、财务净现值（FNPV）</t>
    <phoneticPr fontId="2" type="noConversion"/>
  </si>
  <si>
    <t>1、基准折现率（季）</t>
    <phoneticPr fontId="2" type="noConversion"/>
  </si>
  <si>
    <t>3、财务内部收益率（FIRR）（季）</t>
    <phoneticPr fontId="2" type="noConversion"/>
  </si>
  <si>
    <t>敏感性分析-成本变化</t>
    <phoneticPr fontId="2" type="noConversion"/>
  </si>
  <si>
    <t>折现</t>
    <phoneticPr fontId="2" type="noConversion"/>
  </si>
  <si>
    <t>出租收入</t>
    <phoneticPr fontId="2" type="noConversion"/>
  </si>
  <si>
    <t>项目销售收入、销售税金及附加表</t>
    <phoneticPr fontId="2" type="noConversion"/>
  </si>
  <si>
    <t>项目损益预测表</t>
    <phoneticPr fontId="2" type="noConversion"/>
  </si>
  <si>
    <t>加：年初未分配利润</t>
    <phoneticPr fontId="2" type="noConversion"/>
  </si>
  <si>
    <t>减：提取公积金</t>
    <phoneticPr fontId="2" type="noConversion"/>
  </si>
  <si>
    <t>减：应付利润</t>
    <phoneticPr fontId="2" type="noConversion"/>
  </si>
  <si>
    <t>成本</t>
    <phoneticPr fontId="2" type="noConversion"/>
  </si>
  <si>
    <t>盈余资金</t>
    <phoneticPr fontId="2" type="noConversion"/>
  </si>
  <si>
    <t>销（预）售收入</t>
    <phoneticPr fontId="2" type="noConversion"/>
  </si>
  <si>
    <t>主表6</t>
  </si>
  <si>
    <t>当期偿债保证比</t>
  </si>
  <si>
    <t>期末还贷资金结余</t>
  </si>
  <si>
    <t>本期还息额</t>
    <phoneticPr fontId="2" type="noConversion"/>
  </si>
  <si>
    <t>其他</t>
    <phoneticPr fontId="2" type="noConversion"/>
  </si>
  <si>
    <t>-</t>
    <phoneticPr fontId="4" type="noConversion"/>
  </si>
  <si>
    <t>期初还贷资金结余</t>
    <phoneticPr fontId="2" type="noConversion"/>
  </si>
  <si>
    <t>本期还本额</t>
    <phoneticPr fontId="2" type="noConversion"/>
  </si>
  <si>
    <t>本期增加额</t>
    <phoneticPr fontId="2" type="noConversion"/>
  </si>
  <si>
    <t>期初借款余额</t>
    <phoneticPr fontId="2" type="noConversion"/>
  </si>
  <si>
    <t>项目负债偿还预测表</t>
    <phoneticPr fontId="2" type="noConversion"/>
  </si>
  <si>
    <t>——</t>
    <phoneticPr fontId="4" type="noConversion"/>
  </si>
  <si>
    <t>筹资活动资金来源</t>
    <phoneticPr fontId="2" type="noConversion"/>
  </si>
  <si>
    <t>项目名称</t>
    <phoneticPr fontId="4" type="noConversion"/>
  </si>
  <si>
    <t>利率、金额、年限</t>
    <phoneticPr fontId="4" type="noConversion"/>
  </si>
  <si>
    <t>还款资金来源</t>
    <phoneticPr fontId="2" type="noConversion"/>
  </si>
  <si>
    <t>本期盈余资金</t>
    <phoneticPr fontId="2" type="noConversion"/>
  </si>
  <si>
    <t>8%、10%</t>
    <phoneticPr fontId="4" type="noConversion"/>
  </si>
  <si>
    <t>土地增值税</t>
    <phoneticPr fontId="4" type="noConversion"/>
  </si>
  <si>
    <r>
      <t>基准折现率</t>
    </r>
    <r>
      <rPr>
        <sz val="12"/>
        <rFont val="Times New Roman"/>
        <family val="1"/>
      </rPr>
      <t/>
    </r>
    <phoneticPr fontId="2" type="noConversion"/>
  </si>
  <si>
    <t>建筑面积单方造价（元/平方米）</t>
  </si>
  <si>
    <t>市区7%，县城和镇5%，乡村1%。大中型工矿企业所在地不在城市市区、县城、建制镇的，税率为1%。</t>
    <phoneticPr fontId="4" type="noConversion"/>
  </si>
  <si>
    <t>——</t>
    <phoneticPr fontId="2" type="noConversion"/>
  </si>
  <si>
    <t>项目敏感性分析表</t>
    <phoneticPr fontId="2" type="noConversion"/>
  </si>
  <si>
    <t>主表4</t>
    <phoneticPr fontId="2" type="noConversion"/>
  </si>
  <si>
    <t>项目建设期（年）</t>
    <phoneticPr fontId="2" type="noConversion"/>
  </si>
  <si>
    <t>项目计算期（年）</t>
    <phoneticPr fontId="2" type="noConversion"/>
  </si>
  <si>
    <t>项    目</t>
    <phoneticPr fontId="4" type="noConversion"/>
  </si>
  <si>
    <t>数    据</t>
    <phoneticPr fontId="4" type="noConversion"/>
  </si>
  <si>
    <t>备    注</t>
    <phoneticPr fontId="4" type="noConversion"/>
  </si>
  <si>
    <t>项    目</t>
    <phoneticPr fontId="2" type="noConversion"/>
  </si>
  <si>
    <t>项    目</t>
    <phoneticPr fontId="2" type="noConversion"/>
  </si>
  <si>
    <t>单位：万元、平方米</t>
    <phoneticPr fontId="2" type="noConversion"/>
  </si>
  <si>
    <t>借款期限（年）</t>
    <phoneticPr fontId="2" type="noConversion"/>
  </si>
  <si>
    <t>销售利润率（税后）</t>
    <phoneticPr fontId="2" type="noConversion"/>
  </si>
  <si>
    <t>销售数量</t>
    <phoneticPr fontId="2" type="noConversion"/>
  </si>
  <si>
    <t>参数/面积</t>
    <phoneticPr fontId="2" type="noConversion"/>
  </si>
  <si>
    <t>契税、印花税</t>
    <phoneticPr fontId="2" type="noConversion"/>
  </si>
  <si>
    <t>总额</t>
    <phoneticPr fontId="2" type="noConversion"/>
  </si>
  <si>
    <t>序号</t>
    <phoneticPr fontId="21" type="noConversion"/>
  </si>
  <si>
    <t>含税价</t>
    <phoneticPr fontId="21" type="noConversion"/>
  </si>
  <si>
    <t>不含税价</t>
    <phoneticPr fontId="21" type="noConversion"/>
  </si>
  <si>
    <t>增值税</t>
    <phoneticPr fontId="21" type="noConversion"/>
  </si>
  <si>
    <t>增值比例范围</t>
    <phoneticPr fontId="21" type="noConversion"/>
  </si>
  <si>
    <t>增值税（销项-进项）</t>
    <phoneticPr fontId="21" type="noConversion"/>
  </si>
  <si>
    <t>市场价</t>
    <phoneticPr fontId="2" type="noConversion"/>
  </si>
  <si>
    <t>面积</t>
    <phoneticPr fontId="2" type="noConversion"/>
  </si>
  <si>
    <t>收入</t>
    <phoneticPr fontId="2" type="noConversion"/>
  </si>
  <si>
    <t>增值税</t>
    <phoneticPr fontId="2" type="noConversion"/>
  </si>
  <si>
    <t>元/平方米</t>
    <phoneticPr fontId="2" type="noConversion"/>
  </si>
  <si>
    <t>万元/个</t>
    <phoneticPr fontId="2" type="noConversion"/>
  </si>
  <si>
    <t>——</t>
    <phoneticPr fontId="2" type="noConversion"/>
  </si>
  <si>
    <t>合计</t>
    <phoneticPr fontId="2" type="noConversion"/>
  </si>
  <si>
    <t>视同销售</t>
    <phoneticPr fontId="21" type="noConversion"/>
  </si>
  <si>
    <t>合    计</t>
    <phoneticPr fontId="2" type="noConversion"/>
  </si>
  <si>
    <t>——</t>
    <phoneticPr fontId="2" type="noConversion"/>
  </si>
  <si>
    <t>面积（m2）</t>
    <phoneticPr fontId="2" type="noConversion"/>
  </si>
  <si>
    <t>不动产权证书</t>
    <phoneticPr fontId="2" type="noConversion"/>
  </si>
  <si>
    <t>——</t>
    <phoneticPr fontId="2" type="noConversion"/>
  </si>
  <si>
    <t>建设用地规划许可证</t>
    <phoneticPr fontId="2" type="noConversion"/>
  </si>
  <si>
    <t>建设工程规划许可证</t>
    <phoneticPr fontId="2" type="noConversion"/>
  </si>
  <si>
    <t>建筑工程施工许可证</t>
    <phoneticPr fontId="2" type="noConversion"/>
  </si>
  <si>
    <t>项目销售收入</t>
    <phoneticPr fontId="21" type="noConversion"/>
  </si>
  <si>
    <t>结论表</t>
    <phoneticPr fontId="2" type="noConversion"/>
  </si>
  <si>
    <t>出让金/万元</t>
    <phoneticPr fontId="2" type="noConversion"/>
  </si>
  <si>
    <t>否</t>
    <phoneticPr fontId="4" type="noConversion"/>
  </si>
  <si>
    <t>模拟清算净利润*0.3</t>
    <phoneticPr fontId="2" type="noConversion"/>
  </si>
  <si>
    <t>区间</t>
    <phoneticPr fontId="2" type="noConversion"/>
  </si>
  <si>
    <t>计算公式描述</t>
    <phoneticPr fontId="2" type="noConversion"/>
  </si>
  <si>
    <t>R</t>
    <phoneticPr fontId="2" type="noConversion"/>
  </si>
  <si>
    <t>≤</t>
    <phoneticPr fontId="2" type="noConversion"/>
  </si>
  <si>
    <t>M</t>
    <phoneticPr fontId="2" type="noConversion"/>
  </si>
  <si>
    <t>R=M</t>
    <phoneticPr fontId="2" type="noConversion"/>
  </si>
  <si>
    <t>＜</t>
    <phoneticPr fontId="2" type="noConversion"/>
  </si>
  <si>
    <t>R=8%+（M-8%）*80%</t>
    <phoneticPr fontId="2" type="noConversion"/>
  </si>
  <si>
    <t>R=8%+（11%-8%）*80%+（M-11%）*50%</t>
    <phoneticPr fontId="2" type="noConversion"/>
  </si>
  <si>
    <t>R=8%+（11%-8%）*80%+（15%-11%）*50%+（M-15%）*20%</t>
    <phoneticPr fontId="2" type="noConversion"/>
  </si>
  <si>
    <t>操盘管理费</t>
    <phoneticPr fontId="2" type="noConversion"/>
  </si>
  <si>
    <t>住宅销售60%时触发模拟清算/
住宅90%/
其他75%</t>
    <phoneticPr fontId="2" type="noConversion"/>
  </si>
  <si>
    <t>住宅销售60%时触发模拟清算/
正常销售不打折</t>
    <phoneticPr fontId="2" type="noConversion"/>
  </si>
  <si>
    <t>固定收益</t>
    <phoneticPr fontId="2" type="noConversion"/>
  </si>
  <si>
    <t>利息</t>
    <phoneticPr fontId="2" type="noConversion"/>
  </si>
  <si>
    <t>用款时间</t>
    <phoneticPr fontId="2" type="noConversion"/>
  </si>
  <si>
    <t>还款金额</t>
    <phoneticPr fontId="2" type="noConversion"/>
  </si>
  <si>
    <t>时间规模</t>
    <phoneticPr fontId="2" type="noConversion"/>
  </si>
  <si>
    <t>合计</t>
    <phoneticPr fontId="2" type="noConversion"/>
  </si>
  <si>
    <t>固定收益</t>
    <phoneticPr fontId="2" type="noConversion"/>
  </si>
  <si>
    <t>Q1</t>
    <phoneticPr fontId="2" type="noConversion"/>
  </si>
  <si>
    <t>Q2</t>
    <phoneticPr fontId="2" type="noConversion"/>
  </si>
  <si>
    <t>Q3</t>
    <phoneticPr fontId="2" type="noConversion"/>
  </si>
  <si>
    <t>Q4</t>
    <phoneticPr fontId="2" type="noConversion"/>
  </si>
  <si>
    <t>合计</t>
    <phoneticPr fontId="2" type="noConversion"/>
  </si>
  <si>
    <t>自有资金</t>
  </si>
  <si>
    <t>五矿信托权益性投资</t>
  </si>
  <si>
    <t>集团股东借款</t>
  </si>
  <si>
    <t>银行开发贷</t>
  </si>
  <si>
    <t>资金运用</t>
    <phoneticPr fontId="2" type="noConversion"/>
  </si>
  <si>
    <t>资金来源合计小计</t>
    <phoneticPr fontId="2" type="noConversion"/>
  </si>
  <si>
    <t>盈余资金</t>
    <phoneticPr fontId="2" type="noConversion"/>
  </si>
  <si>
    <t>五矿信托权益性投资还款</t>
    <phoneticPr fontId="2" type="noConversion"/>
  </si>
  <si>
    <t>集团股东借款还款</t>
    <phoneticPr fontId="2" type="noConversion"/>
  </si>
  <si>
    <t>银行开发贷还款</t>
    <phoneticPr fontId="2" type="noConversion"/>
  </si>
  <si>
    <t>银行开发贷余额</t>
    <phoneticPr fontId="2" type="noConversion"/>
  </si>
  <si>
    <t>累计盈余资金</t>
    <phoneticPr fontId="2" type="noConversion"/>
  </si>
  <si>
    <t>还款小计</t>
    <phoneticPr fontId="2" type="noConversion"/>
  </si>
  <si>
    <t>五矿信托权益性投资余额</t>
    <phoneticPr fontId="2" type="noConversion"/>
  </si>
  <si>
    <t>集团股东借款余额</t>
    <phoneticPr fontId="2" type="noConversion"/>
  </si>
  <si>
    <t>扣除还款后盈余资金</t>
    <phoneticPr fontId="2" type="noConversion"/>
  </si>
  <si>
    <t>浮动收益</t>
    <phoneticPr fontId="2" type="noConversion"/>
  </si>
  <si>
    <t>总收益</t>
    <phoneticPr fontId="2" type="noConversion"/>
  </si>
  <si>
    <t>M值</t>
    <phoneticPr fontId="2" type="noConversion"/>
  </si>
  <si>
    <t>R值</t>
    <phoneticPr fontId="2" type="noConversion"/>
  </si>
  <si>
    <t>销售价格</t>
    <phoneticPr fontId="2" type="noConversion"/>
  </si>
  <si>
    <t>1.12</t>
    <phoneticPr fontId="2" type="noConversion"/>
  </si>
  <si>
    <t>1.13</t>
    <phoneticPr fontId="2" type="noConversion"/>
  </si>
  <si>
    <t>1.14</t>
    <phoneticPr fontId="2" type="noConversion"/>
  </si>
  <si>
    <t>1.15</t>
    <phoneticPr fontId="2" type="noConversion"/>
  </si>
  <si>
    <t>2.12</t>
    <phoneticPr fontId="2" type="noConversion"/>
  </si>
  <si>
    <t>2.13</t>
    <phoneticPr fontId="2" type="noConversion"/>
  </si>
  <si>
    <t>2.14</t>
    <phoneticPr fontId="2" type="noConversion"/>
  </si>
  <si>
    <t>2.15</t>
    <phoneticPr fontId="2" type="noConversion"/>
  </si>
  <si>
    <t>首期</t>
    <phoneticPr fontId="2" type="noConversion"/>
  </si>
  <si>
    <t>1</t>
    <phoneticPr fontId="2" type="noConversion"/>
  </si>
  <si>
    <t>2</t>
    <phoneticPr fontId="2" type="noConversion"/>
  </si>
  <si>
    <t>3</t>
    <phoneticPr fontId="2" type="noConversion"/>
  </si>
  <si>
    <t>4</t>
    <phoneticPr fontId="2" type="noConversion"/>
  </si>
  <si>
    <t>5</t>
    <phoneticPr fontId="2" type="noConversion"/>
  </si>
  <si>
    <t>6</t>
    <phoneticPr fontId="2" type="noConversion"/>
  </si>
  <si>
    <t>7</t>
    <phoneticPr fontId="2" type="noConversion"/>
  </si>
  <si>
    <t>8</t>
    <phoneticPr fontId="2" type="noConversion"/>
  </si>
  <si>
    <t>9</t>
    <phoneticPr fontId="2" type="noConversion"/>
  </si>
  <si>
    <t>10</t>
    <phoneticPr fontId="2" type="noConversion"/>
  </si>
  <si>
    <t>11</t>
    <phoneticPr fontId="2" type="noConversion"/>
  </si>
  <si>
    <t>12</t>
    <phoneticPr fontId="2" type="noConversion"/>
  </si>
  <si>
    <t>13</t>
    <phoneticPr fontId="2" type="noConversion"/>
  </si>
  <si>
    <t>14</t>
    <phoneticPr fontId="2" type="noConversion"/>
  </si>
  <si>
    <t>15</t>
    <phoneticPr fontId="2" type="noConversion"/>
  </si>
  <si>
    <t>规划建筑面积</t>
    <phoneticPr fontId="2" type="noConversion"/>
  </si>
  <si>
    <t>业态</t>
    <phoneticPr fontId="2" type="noConversion"/>
  </si>
  <si>
    <t>1</t>
    <phoneticPr fontId="2" type="noConversion"/>
  </si>
  <si>
    <t>2</t>
    <phoneticPr fontId="2" type="noConversion"/>
  </si>
  <si>
    <t>3</t>
    <phoneticPr fontId="2" type="noConversion"/>
  </si>
  <si>
    <t>4</t>
    <phoneticPr fontId="2" type="noConversion"/>
  </si>
  <si>
    <t>5</t>
    <phoneticPr fontId="2" type="noConversion"/>
  </si>
  <si>
    <t>6</t>
    <phoneticPr fontId="2" type="noConversion"/>
  </si>
  <si>
    <t>7</t>
    <phoneticPr fontId="2" type="noConversion"/>
  </si>
  <si>
    <t>8</t>
    <phoneticPr fontId="2" type="noConversion"/>
  </si>
  <si>
    <t>9</t>
    <phoneticPr fontId="2" type="noConversion"/>
  </si>
  <si>
    <t>10</t>
    <phoneticPr fontId="2" type="noConversion"/>
  </si>
  <si>
    <t>11</t>
    <phoneticPr fontId="2" type="noConversion"/>
  </si>
  <si>
    <t>12</t>
    <phoneticPr fontId="2" type="noConversion"/>
  </si>
  <si>
    <t>13</t>
    <phoneticPr fontId="2" type="noConversion"/>
  </si>
  <si>
    <t>14</t>
    <phoneticPr fontId="2" type="noConversion"/>
  </si>
  <si>
    <t>15</t>
    <phoneticPr fontId="2" type="noConversion"/>
  </si>
  <si>
    <t>小计</t>
    <phoneticPr fontId="2" type="noConversion"/>
  </si>
  <si>
    <t>销售套数</t>
    <phoneticPr fontId="2" type="noConversion"/>
  </si>
  <si>
    <t>户均面积</t>
    <phoneticPr fontId="2" type="noConversion"/>
  </si>
  <si>
    <t>占比</t>
    <phoneticPr fontId="2" type="noConversion"/>
  </si>
  <si>
    <t>套（个）数</t>
    <phoneticPr fontId="2" type="noConversion"/>
  </si>
  <si>
    <t>主表2</t>
    <phoneticPr fontId="2" type="noConversion"/>
  </si>
  <si>
    <t>预缴比例</t>
    <phoneticPr fontId="4" type="noConversion"/>
  </si>
  <si>
    <t>预缴比例</t>
    <phoneticPr fontId="4" type="noConversion"/>
  </si>
  <si>
    <t>18.2</t>
    <phoneticPr fontId="4" type="noConversion"/>
  </si>
  <si>
    <t>18.3</t>
    <phoneticPr fontId="4" type="noConversion"/>
  </si>
  <si>
    <t>18.4</t>
    <phoneticPr fontId="4" type="noConversion"/>
  </si>
  <si>
    <t>18.5</t>
    <phoneticPr fontId="4" type="noConversion"/>
  </si>
  <si>
    <t>18.6</t>
    <phoneticPr fontId="4" type="noConversion"/>
  </si>
  <si>
    <t>18.7</t>
    <phoneticPr fontId="4" type="noConversion"/>
  </si>
  <si>
    <t>18.8</t>
    <phoneticPr fontId="4" type="noConversion"/>
  </si>
  <si>
    <t>18.9</t>
    <phoneticPr fontId="4" type="noConversion"/>
  </si>
  <si>
    <t>18.10</t>
    <phoneticPr fontId="4" type="noConversion"/>
  </si>
  <si>
    <t>18.11</t>
    <phoneticPr fontId="4" type="noConversion"/>
  </si>
  <si>
    <t>18.12</t>
    <phoneticPr fontId="4" type="noConversion"/>
  </si>
  <si>
    <t>18.13</t>
    <phoneticPr fontId="4" type="noConversion"/>
  </si>
  <si>
    <t>18.14</t>
    <phoneticPr fontId="4" type="noConversion"/>
  </si>
  <si>
    <t>18.15</t>
    <phoneticPr fontId="4" type="noConversion"/>
  </si>
  <si>
    <t>8.1</t>
    <phoneticPr fontId="4" type="noConversion"/>
  </si>
  <si>
    <t>8.2</t>
    <phoneticPr fontId="4" type="noConversion"/>
  </si>
  <si>
    <t>8.3</t>
    <phoneticPr fontId="4" type="noConversion"/>
  </si>
  <si>
    <t>8.4</t>
    <phoneticPr fontId="4" type="noConversion"/>
  </si>
  <si>
    <t>8.5</t>
    <phoneticPr fontId="4" type="noConversion"/>
  </si>
  <si>
    <t>触发模拟清算时间</t>
    <phoneticPr fontId="2" type="noConversion"/>
  </si>
  <si>
    <t>触发模拟清算</t>
    <phoneticPr fontId="2" type="noConversion"/>
  </si>
  <si>
    <t>清算折扣</t>
    <phoneticPr fontId="2" type="noConversion"/>
  </si>
  <si>
    <t>公寓折扣</t>
    <phoneticPr fontId="2" type="noConversion"/>
  </si>
  <si>
    <t>车位折扣</t>
    <phoneticPr fontId="2" type="noConversion"/>
  </si>
  <si>
    <t>——</t>
    <phoneticPr fontId="2" type="noConversion"/>
  </si>
  <si>
    <t>建筑密度≤%</t>
    <phoneticPr fontId="2" type="noConversion"/>
  </si>
  <si>
    <t>建筑限高≤米</t>
    <phoneticPr fontId="2" type="noConversion"/>
  </si>
  <si>
    <t>绿地率≥%</t>
    <phoneticPr fontId="2" type="noConversion"/>
  </si>
  <si>
    <t>土地面积</t>
    <phoneticPr fontId="2" type="noConversion"/>
  </si>
  <si>
    <t>住宅五级-04</t>
    <phoneticPr fontId="2" type="noConversion"/>
  </si>
  <si>
    <t>现状“临三”</t>
    <phoneticPr fontId="2" type="noConversion"/>
  </si>
  <si>
    <t>车库</t>
    <phoneticPr fontId="2" type="noConversion"/>
  </si>
  <si>
    <t xml:space="preserve"> </t>
    <phoneticPr fontId="2" type="noConversion"/>
  </si>
  <si>
    <t>洋房</t>
  </si>
  <si>
    <t>商业</t>
  </si>
  <si>
    <t>保证金</t>
    <phoneticPr fontId="2" type="noConversion"/>
  </si>
  <si>
    <t>剩余出让金</t>
    <phoneticPr fontId="2" type="noConversion"/>
  </si>
  <si>
    <t>2.1</t>
    <phoneticPr fontId="2" type="noConversion"/>
  </si>
  <si>
    <t>2.2</t>
    <phoneticPr fontId="2" type="noConversion"/>
  </si>
  <si>
    <t>2.3</t>
    <phoneticPr fontId="2" type="noConversion"/>
  </si>
  <si>
    <t>2.4</t>
    <phoneticPr fontId="2" type="noConversion"/>
  </si>
  <si>
    <t>2.5</t>
    <phoneticPr fontId="2" type="noConversion"/>
  </si>
  <si>
    <t>2.6</t>
    <phoneticPr fontId="2" type="noConversion"/>
  </si>
  <si>
    <t>2.7</t>
    <phoneticPr fontId="2" type="noConversion"/>
  </si>
  <si>
    <t>2.8</t>
    <phoneticPr fontId="2" type="noConversion"/>
  </si>
  <si>
    <t>2.9</t>
    <phoneticPr fontId="2" type="noConversion"/>
  </si>
  <si>
    <t>1.2</t>
    <phoneticPr fontId="2" type="noConversion"/>
  </si>
  <si>
    <t>1.1</t>
    <phoneticPr fontId="2" type="noConversion"/>
  </si>
  <si>
    <t>北京市密云区檀营乡6005地块R2二类居住用地（编号：京土整储挂（密）[2021]026号）居住项目</t>
    <phoneticPr fontId="2" type="noConversion"/>
  </si>
  <si>
    <t>东至檀东路，南至新北路、西至檀营街，北至檀支一路</t>
    <phoneticPr fontId="2" type="noConversion"/>
  </si>
  <si>
    <t>R2二类居住用地</t>
    <phoneticPr fontId="2" type="noConversion"/>
  </si>
  <si>
    <t>小高层</t>
  </si>
  <si>
    <t>储藏室</t>
    <phoneticPr fontId="2" type="noConversion"/>
  </si>
  <si>
    <t>地上建筑面积</t>
    <phoneticPr fontId="2" type="noConversion"/>
  </si>
  <si>
    <t>地下建筑面积</t>
    <phoneticPr fontId="2" type="noConversion"/>
  </si>
  <si>
    <t>居服配套</t>
    <phoneticPr fontId="2" type="noConversion"/>
  </si>
  <si>
    <t>自行车库</t>
    <phoneticPr fontId="2" type="noConversion"/>
  </si>
  <si>
    <t>地上容积率</t>
    <phoneticPr fontId="2" type="noConversion"/>
  </si>
  <si>
    <t>储藏室</t>
    <phoneticPr fontId="2" type="noConversion"/>
  </si>
  <si>
    <t>信托-权益性投资</t>
    <phoneticPr fontId="72" type="noConversion"/>
  </si>
  <si>
    <t>信托-股东借款</t>
    <phoneticPr fontId="72" type="noConversion"/>
  </si>
  <si>
    <t>集团-股东借款</t>
    <phoneticPr fontId="72" type="noConversion"/>
  </si>
  <si>
    <t>银行-开发贷</t>
    <phoneticPr fontId="72" type="noConversion"/>
  </si>
  <si>
    <t>——</t>
    <phoneticPr fontId="73" type="noConversion"/>
  </si>
  <si>
    <t>累计回款</t>
    <phoneticPr fontId="7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</si>
</sst>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3" formatCode="_ * #,##0.00_ ;_ * \-#,##0.00_ ;_ * &quot;-&quot;??_ ;_ @_ "/>
    <numFmt numFmtId="176" formatCode="_-* #,##0_-;\-* #,##0_-;_-* &quot;-&quot;_-;_-@_-"/>
    <numFmt numFmtId="177" formatCode="_-* #,##0.00_-;\-* #,##0.00_-;_-* &quot;-&quot;??_-;_-@_-"/>
    <numFmt numFmtId="178" formatCode="_ &quot;￥&quot;* #,##0_ ;_ &quot;￥&quot;* \-#,##0_ ;_ &quot;￥&quot;* &quot;-&quot;_ ;_ @_ "/>
    <numFmt numFmtId="179" formatCode="&quot;￥&quot;#,##0.00_);[Red]\(&quot;￥&quot;#,##0.00\)"/>
    <numFmt numFmtId="180" formatCode="_(* #,##0_);_(* \(#,##0\);_(* &quot;-&quot;_);_(@_)"/>
    <numFmt numFmtId="181" formatCode="0.00_);[Red]\(0.00\)"/>
    <numFmt numFmtId="182" formatCode="0.0%"/>
    <numFmt numFmtId="183" formatCode="0_ "/>
    <numFmt numFmtId="184" formatCode="0.00_ "/>
    <numFmt numFmtId="185" formatCode="0.000%"/>
    <numFmt numFmtId="186" formatCode="0_);[Red]\(0\)"/>
    <numFmt numFmtId="187" formatCode="0.0_ "/>
    <numFmt numFmtId="188" formatCode="#,##0_ "/>
    <numFmt numFmtId="189" formatCode="0.00_);\(0.00\)"/>
    <numFmt numFmtId="190" formatCode="_ * #,##0_ ;_ * \-#,##0_ ;_ * &quot;-&quot;??_ ;_ @_ "/>
    <numFmt numFmtId="191" formatCode="0.0"/>
    <numFmt numFmtId="192" formatCode="0.0000%"/>
    <numFmt numFmtId="193" formatCode="[$-F800]dddd\,\ mmmm\ dd\,\ yyyy"/>
    <numFmt numFmtId="194" formatCode="#,##0.000000000_);[Red]\(#,##0.000000000\)"/>
    <numFmt numFmtId="195" formatCode="_(* #,##0.00_);_(* \(#,##0.00\);_(* &quot;-&quot;_);_(@_)"/>
    <numFmt numFmtId="196" formatCode="General;[Red]\(\-General\);\-"/>
    <numFmt numFmtId="197" formatCode="_-* #,##0.0_-;\-* #,##0.0_-;_-* &quot;-&quot;_-;_-@_-"/>
    <numFmt numFmtId="198" formatCode="0.0000"/>
  </numFmts>
  <fonts count="85" x14ac:knownFonts="1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Times New Roman"/>
      <family val="1"/>
    </font>
    <font>
      <b/>
      <sz val="16"/>
      <name val="宋体"/>
      <family val="3"/>
      <charset val="134"/>
    </font>
    <font>
      <sz val="12"/>
      <name val="宋体"/>
      <family val="3"/>
      <charset val="134"/>
    </font>
    <font>
      <sz val="12"/>
      <color indexed="9"/>
      <name val="宋体"/>
      <family val="3"/>
      <charset val="134"/>
    </font>
    <font>
      <sz val="12"/>
      <color indexed="9"/>
      <name val="Times New Roman"/>
      <family val="1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name val="华文细黑"/>
      <family val="3"/>
      <charset val="134"/>
    </font>
    <font>
      <b/>
      <sz val="12"/>
      <name val="华文细黑"/>
      <family val="3"/>
      <charset val="134"/>
    </font>
    <font>
      <b/>
      <vertAlign val="superscript"/>
      <sz val="8"/>
      <color indexed="23"/>
      <name val="微软雅黑"/>
      <family val="2"/>
      <charset val="134"/>
    </font>
    <font>
      <b/>
      <sz val="11"/>
      <color indexed="23"/>
      <name val="微软雅黑"/>
      <family val="2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color indexed="8"/>
      <name val="华文细黑"/>
      <family val="3"/>
      <charset val="134"/>
    </font>
    <font>
      <b/>
      <sz val="12"/>
      <color indexed="8"/>
      <name val="华文细黑"/>
      <family val="3"/>
      <charset val="134"/>
    </font>
    <font>
      <sz val="12"/>
      <name val="华文细黑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华文细黑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华文细黑"/>
      <family val="3"/>
      <charset val="134"/>
    </font>
    <font>
      <sz val="12"/>
      <name val="华文细黑"/>
      <family val="3"/>
      <charset val="134"/>
    </font>
    <font>
      <sz val="11"/>
      <color indexed="8"/>
      <name val="宋体"/>
      <family val="3"/>
      <charset val="134"/>
    </font>
    <font>
      <sz val="11"/>
      <color indexed="23"/>
      <name val="微软雅黑"/>
      <family val="2"/>
      <charset val="134"/>
    </font>
    <font>
      <sz val="10"/>
      <color indexed="8"/>
      <name val="华文细黑"/>
      <family val="3"/>
      <charset val="134"/>
    </font>
    <font>
      <sz val="12"/>
      <color indexed="8"/>
      <name val="华文细黑"/>
      <family val="3"/>
      <charset val="134"/>
    </font>
    <font>
      <b/>
      <sz val="10"/>
      <color indexed="8"/>
      <name val="华文细黑"/>
      <family val="3"/>
      <charset val="134"/>
    </font>
    <font>
      <b/>
      <i/>
      <sz val="12"/>
      <color indexed="10"/>
      <name val="华文细黑"/>
      <family val="3"/>
      <charset val="134"/>
    </font>
    <font>
      <b/>
      <sz val="12"/>
      <color indexed="8"/>
      <name val="华文细黑"/>
      <family val="3"/>
      <charset val="134"/>
    </font>
    <font>
      <b/>
      <sz val="10"/>
      <color indexed="10"/>
      <name val="华文细黑"/>
      <family val="3"/>
      <charset val="134"/>
    </font>
    <font>
      <b/>
      <sz val="12"/>
      <color indexed="10"/>
      <name val="华文细黑"/>
      <family val="3"/>
      <charset val="134"/>
    </font>
    <font>
      <b/>
      <i/>
      <sz val="12"/>
      <color indexed="8"/>
      <name val="华文细黑"/>
      <family val="3"/>
      <charset val="134"/>
    </font>
    <font>
      <sz val="11"/>
      <color indexed="8"/>
      <name val="华文细黑"/>
      <family val="3"/>
      <charset val="134"/>
    </font>
    <font>
      <b/>
      <sz val="11.5"/>
      <name val="华文细黑"/>
      <family val="3"/>
      <charset val="134"/>
    </font>
    <font>
      <b/>
      <sz val="11.5"/>
      <color indexed="9"/>
      <name val="华文细黑"/>
      <family val="3"/>
      <charset val="134"/>
    </font>
    <font>
      <sz val="11.5"/>
      <color indexed="8"/>
      <name val="华文细黑"/>
      <family val="3"/>
      <charset val="134"/>
    </font>
    <font>
      <sz val="11.5"/>
      <name val="华文细黑"/>
      <family val="3"/>
      <charset val="134"/>
    </font>
    <font>
      <b/>
      <sz val="11.5"/>
      <color indexed="8"/>
      <name val="华文细黑"/>
      <family val="3"/>
      <charset val="134"/>
    </font>
    <font>
      <sz val="11.5"/>
      <color indexed="8"/>
      <name val="华文细黑"/>
      <family val="3"/>
      <charset val="134"/>
    </font>
    <font>
      <sz val="11.5"/>
      <color indexed="10"/>
      <name val="华文细黑"/>
      <family val="3"/>
      <charset val="134"/>
    </font>
    <font>
      <i/>
      <sz val="11.5"/>
      <name val="华文细黑"/>
      <family val="3"/>
      <charset val="134"/>
    </font>
    <font>
      <i/>
      <sz val="11.5"/>
      <color indexed="8"/>
      <name val="华文细黑"/>
      <family val="3"/>
      <charset val="134"/>
    </font>
    <font>
      <sz val="11.5"/>
      <color indexed="10"/>
      <name val="华文细黑"/>
      <family val="3"/>
      <charset val="134"/>
    </font>
    <font>
      <b/>
      <sz val="11.5"/>
      <color indexed="8"/>
      <name val="华文细黑"/>
      <family val="3"/>
      <charset val="134"/>
    </font>
    <font>
      <i/>
      <sz val="11.5"/>
      <color indexed="8"/>
      <name val="华文细黑"/>
      <family val="3"/>
      <charset val="134"/>
    </font>
    <font>
      <sz val="11.5"/>
      <color indexed="9"/>
      <name val="华文细黑"/>
      <family val="3"/>
      <charset val="134"/>
    </font>
    <font>
      <b/>
      <i/>
      <sz val="11.5"/>
      <color indexed="10"/>
      <name val="华文细黑"/>
      <family val="3"/>
      <charset val="134"/>
    </font>
    <font>
      <b/>
      <i/>
      <sz val="11.5"/>
      <name val="华文细黑"/>
      <family val="3"/>
      <charset val="134"/>
    </font>
    <font>
      <b/>
      <sz val="11.5"/>
      <color indexed="10"/>
      <name val="华文细黑"/>
      <family val="3"/>
      <charset val="134"/>
    </font>
    <font>
      <sz val="11.5"/>
      <name val="宋体"/>
      <family val="3"/>
      <charset val="134"/>
    </font>
    <font>
      <sz val="11.5"/>
      <name val="华文细黑"/>
      <family val="3"/>
      <charset val="134"/>
    </font>
    <font>
      <sz val="11.5"/>
      <name val="华文细黑"/>
      <family val="3"/>
      <charset val="134"/>
    </font>
    <font>
      <b/>
      <sz val="12"/>
      <name val="华文细黑"/>
      <family val="3"/>
      <charset val="134"/>
    </font>
    <font>
      <b/>
      <sz val="11.5"/>
      <name val="华文细黑"/>
      <family val="3"/>
      <charset val="134"/>
    </font>
    <font>
      <b/>
      <sz val="10"/>
      <name val="华文细黑"/>
      <family val="3"/>
      <charset val="134"/>
    </font>
    <font>
      <sz val="10"/>
      <name val="华文细黑"/>
      <family val="3"/>
      <charset val="134"/>
    </font>
    <font>
      <sz val="10"/>
      <name val="Arial Unicode MS"/>
      <family val="2"/>
      <charset val="134"/>
    </font>
    <font>
      <b/>
      <sz val="10"/>
      <name val="Arial Unicode MS"/>
      <family val="2"/>
      <charset val="134"/>
    </font>
    <font>
      <sz val="10"/>
      <name val="华文细黑"/>
      <family val="3"/>
      <charset val="134"/>
    </font>
    <font>
      <b/>
      <sz val="12"/>
      <name val="华文细黑"/>
      <family val="3"/>
      <charset val="134"/>
    </font>
    <font>
      <b/>
      <sz val="10"/>
      <name val="华文细黑"/>
      <family val="3"/>
      <charset val="134"/>
    </font>
    <font>
      <b/>
      <sz val="12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i/>
      <sz val="11.5"/>
      <name val="华文细黑"/>
      <family val="3"/>
      <charset val="134"/>
    </font>
    <font>
      <sz val="11.5"/>
      <name val="华文细黑"/>
      <family val="3"/>
      <charset val="134"/>
    </font>
    <font>
      <b/>
      <sz val="16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.5"/>
      <color theme="0"/>
      <name val="华文细黑"/>
      <family val="3"/>
      <charset val="134"/>
    </font>
    <font>
      <b/>
      <i/>
      <sz val="11.5"/>
      <color rgb="FFFF0000"/>
      <name val="华文细黑"/>
      <family val="3"/>
      <charset val="134"/>
    </font>
    <font>
      <b/>
      <sz val="11.5"/>
      <color theme="0"/>
      <name val="宋体"/>
      <family val="3"/>
      <charset val="134"/>
    </font>
    <font>
      <sz val="11.5"/>
      <color theme="0"/>
      <name val="华文细黑"/>
      <family val="3"/>
      <charset val="134"/>
    </font>
    <font>
      <sz val="11.5"/>
      <color rgb="FFFF0000"/>
      <name val="华文细黑"/>
      <family val="3"/>
      <charset val="134"/>
    </font>
    <font>
      <sz val="11.5"/>
      <color theme="1"/>
      <name val="华文细黑"/>
      <family val="3"/>
      <charset val="134"/>
    </font>
    <font>
      <sz val="11.5"/>
      <color theme="1"/>
      <name val="华文细黑"/>
      <family val="3"/>
      <charset val="134"/>
    </font>
    <font>
      <sz val="11.5"/>
      <color rgb="FFFF0000"/>
      <name val="华文细黑"/>
      <family val="3"/>
      <charset val="134"/>
    </font>
    <font>
      <b/>
      <sz val="11.5"/>
      <color theme="0"/>
      <name val="华文细黑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double">
        <color theme="0" tint="-0.249977111117893"/>
      </right>
      <top/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</borders>
  <cellStyleXfs count="24">
    <xf numFmtId="0" fontId="0" fillId="0" borderId="0"/>
    <xf numFmtId="0" fontId="5" fillId="0" borderId="0">
      <protection locked="0"/>
    </xf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9" fontId="74" fillId="0" borderId="0" applyFont="0" applyFill="0" applyBorder="0" applyAlignment="0" applyProtection="0">
      <alignment vertical="center"/>
    </xf>
    <xf numFmtId="0" fontId="5" fillId="0" borderId="0"/>
    <xf numFmtId="193" fontId="25" fillId="0" borderId="0"/>
    <xf numFmtId="0" fontId="8" fillId="0" borderId="0">
      <alignment vertical="center"/>
    </xf>
    <xf numFmtId="0" fontId="8" fillId="0" borderId="0">
      <alignment vertical="center"/>
    </xf>
    <xf numFmtId="0" fontId="74" fillId="0" borderId="0">
      <alignment vertical="center"/>
    </xf>
    <xf numFmtId="0" fontId="5" fillId="0" borderId="0"/>
    <xf numFmtId="0" fontId="5" fillId="0" borderId="0"/>
    <xf numFmtId="0" fontId="8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/>
    <xf numFmtId="0" fontId="3" fillId="0" borderId="0"/>
    <xf numFmtId="0" fontId="3" fillId="0" borderId="0"/>
    <xf numFmtId="194" fontId="20" fillId="0" borderId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/>
    <xf numFmtId="43" fontId="74" fillId="0" borderId="0" applyFont="0" applyFill="0" applyBorder="0" applyAlignment="0" applyProtection="0">
      <alignment vertical="center"/>
    </xf>
  </cellStyleXfs>
  <cellXfs count="851">
    <xf numFmtId="0" fontId="0" fillId="0" borderId="0" xfId="0"/>
    <xf numFmtId="0" fontId="3" fillId="0" borderId="0" xfId="0" applyFont="1" applyProtection="1">
      <protection hidden="1"/>
    </xf>
    <xf numFmtId="0" fontId="0" fillId="0" borderId="0" xfId="0" applyProtection="1">
      <protection hidden="1"/>
    </xf>
    <xf numFmtId="183" fontId="3" fillId="0" borderId="0" xfId="0" applyNumberFormat="1" applyFont="1" applyProtection="1">
      <protection hidden="1"/>
    </xf>
    <xf numFmtId="184" fontId="3" fillId="0" borderId="0" xfId="0" applyNumberFormat="1" applyFont="1" applyProtection="1">
      <protection hidden="1"/>
    </xf>
    <xf numFmtId="0" fontId="6" fillId="0" borderId="0" xfId="0" applyFont="1" applyFill="1" applyProtection="1">
      <protection hidden="1"/>
    </xf>
    <xf numFmtId="0" fontId="3" fillId="2" borderId="0" xfId="0" applyFont="1" applyFill="1" applyProtection="1">
      <protection hidden="1"/>
    </xf>
    <xf numFmtId="0" fontId="74" fillId="3" borderId="1" xfId="15" applyFill="1" applyBorder="1" applyAlignment="1">
      <alignment vertical="center"/>
    </xf>
    <xf numFmtId="0" fontId="29" fillId="3" borderId="2" xfId="15" applyFont="1" applyFill="1" applyBorder="1" applyAlignment="1">
      <alignment horizontal="center" vertical="center" wrapText="1"/>
    </xf>
    <xf numFmtId="0" fontId="29" fillId="3" borderId="1" xfId="15" applyFont="1" applyFill="1" applyBorder="1" applyAlignment="1">
      <alignment horizontal="center" vertical="center" wrapText="1"/>
    </xf>
    <xf numFmtId="0" fontId="29" fillId="0" borderId="1" xfId="15" applyFont="1" applyBorder="1" applyAlignment="1" applyProtection="1">
      <alignment horizontal="left" vertical="center" wrapText="1"/>
      <protection locked="0"/>
    </xf>
    <xf numFmtId="0" fontId="29" fillId="0" borderId="0" xfId="15" applyFont="1" applyBorder="1" applyAlignment="1">
      <alignment horizontal="left" vertical="center" wrapText="1"/>
    </xf>
    <xf numFmtId="14" fontId="29" fillId="3" borderId="1" xfId="15" applyNumberFormat="1" applyFont="1" applyFill="1" applyBorder="1" applyAlignment="1">
      <alignment horizontal="center" vertical="center" wrapText="1"/>
    </xf>
    <xf numFmtId="0" fontId="29" fillId="4" borderId="1" xfId="15" applyFont="1" applyFill="1" applyBorder="1" applyAlignment="1" applyProtection="1">
      <alignment horizontal="center" vertical="center" wrapText="1"/>
      <protection locked="0"/>
    </xf>
    <xf numFmtId="0" fontId="74" fillId="0" borderId="0" xfId="15" applyBorder="1"/>
    <xf numFmtId="0" fontId="74" fillId="0" borderId="0" xfId="15"/>
    <xf numFmtId="0" fontId="28" fillId="3" borderId="1" xfId="15" applyFont="1" applyFill="1" applyBorder="1"/>
    <xf numFmtId="0" fontId="74" fillId="0" borderId="1" xfId="15" applyBorder="1" applyProtection="1">
      <protection locked="0"/>
    </xf>
    <xf numFmtId="2" fontId="29" fillId="3" borderId="2" xfId="15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 applyProtection="1">
      <alignment horizontal="center" vertical="center"/>
      <protection hidden="1"/>
    </xf>
    <xf numFmtId="183" fontId="15" fillId="4" borderId="0" xfId="0" applyNumberFormat="1" applyFont="1" applyFill="1" applyAlignment="1" applyProtection="1">
      <alignment horizontal="center" vertical="center"/>
      <protection hidden="1"/>
    </xf>
    <xf numFmtId="10" fontId="15" fillId="4" borderId="0" xfId="0" applyNumberFormat="1" applyFont="1" applyFill="1" applyAlignment="1" applyProtection="1">
      <alignment horizontal="center" vertical="center"/>
      <protection hidden="1"/>
    </xf>
    <xf numFmtId="9" fontId="15" fillId="4" borderId="0" xfId="0" applyNumberFormat="1" applyFont="1" applyFill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left"/>
      <protection hidden="1"/>
    </xf>
    <xf numFmtId="9" fontId="10" fillId="0" borderId="0" xfId="0" applyNumberFormat="1" applyFont="1" applyAlignment="1" applyProtection="1">
      <alignment horizontal="left"/>
      <protection hidden="1"/>
    </xf>
    <xf numFmtId="183" fontId="10" fillId="4" borderId="1" xfId="0" applyNumberFormat="1" applyFont="1" applyFill="1" applyBorder="1" applyAlignment="1" applyProtection="1">
      <alignment horizontal="left" vertical="center"/>
      <protection hidden="1"/>
    </xf>
    <xf numFmtId="0" fontId="31" fillId="0" borderId="0" xfId="0" applyFont="1" applyAlignment="1" applyProtection="1">
      <alignment horizontal="left"/>
      <protection hidden="1"/>
    </xf>
    <xf numFmtId="0" fontId="30" fillId="4" borderId="0" xfId="0" applyFont="1" applyFill="1" applyAlignment="1" applyProtection="1">
      <alignment horizontal="left" vertical="center"/>
      <protection hidden="1"/>
    </xf>
    <xf numFmtId="0" fontId="30" fillId="4" borderId="1" xfId="0" applyFont="1" applyFill="1" applyBorder="1" applyAlignment="1" applyProtection="1">
      <alignment horizontal="left"/>
      <protection hidden="1"/>
    </xf>
    <xf numFmtId="183" fontId="30" fillId="4" borderId="1" xfId="0" applyNumberFormat="1" applyFont="1" applyFill="1" applyBorder="1" applyAlignment="1" applyProtection="1">
      <alignment horizontal="left"/>
      <protection hidden="1"/>
    </xf>
    <xf numFmtId="0" fontId="32" fillId="4" borderId="1" xfId="0" applyFont="1" applyFill="1" applyBorder="1" applyAlignment="1" applyProtection="1">
      <alignment horizontal="left"/>
      <protection hidden="1"/>
    </xf>
    <xf numFmtId="9" fontId="30" fillId="5" borderId="0" xfId="0" applyNumberFormat="1" applyFont="1" applyFill="1" applyAlignment="1" applyProtection="1">
      <alignment horizontal="left"/>
      <protection hidden="1"/>
    </xf>
    <xf numFmtId="183" fontId="30" fillId="4" borderId="0" xfId="0" applyNumberFormat="1" applyFont="1" applyFill="1" applyAlignment="1" applyProtection="1">
      <alignment horizontal="left"/>
      <protection hidden="1"/>
    </xf>
    <xf numFmtId="10" fontId="30" fillId="4" borderId="0" xfId="0" applyNumberFormat="1" applyFont="1" applyFill="1" applyAlignment="1" applyProtection="1">
      <alignment horizontal="left"/>
      <protection hidden="1"/>
    </xf>
    <xf numFmtId="0" fontId="30" fillId="0" borderId="0" xfId="0" applyFont="1" applyFill="1" applyAlignment="1" applyProtection="1">
      <alignment horizontal="center" vertical="center"/>
      <protection hidden="1"/>
    </xf>
    <xf numFmtId="0" fontId="31" fillId="0" borderId="0" xfId="0" applyFont="1" applyFill="1" applyProtection="1">
      <protection hidden="1"/>
    </xf>
    <xf numFmtId="0" fontId="31" fillId="0" borderId="0" xfId="0" applyFont="1" applyFill="1" applyAlignment="1" applyProtection="1">
      <alignment vertical="center"/>
      <protection hidden="1"/>
    </xf>
    <xf numFmtId="0" fontId="31" fillId="0" borderId="1" xfId="0" applyFont="1" applyFill="1" applyBorder="1" applyAlignment="1" applyProtection="1">
      <alignment horizontal="center"/>
      <protection hidden="1"/>
    </xf>
    <xf numFmtId="183" fontId="31" fillId="0" borderId="1" xfId="0" applyNumberFormat="1" applyFont="1" applyFill="1" applyBorder="1" applyAlignment="1" applyProtection="1">
      <alignment horizontal="center"/>
      <protection hidden="1"/>
    </xf>
    <xf numFmtId="183" fontId="31" fillId="0" borderId="0" xfId="0" applyNumberFormat="1" applyFont="1" applyFill="1" applyProtection="1">
      <protection hidden="1"/>
    </xf>
    <xf numFmtId="10" fontId="31" fillId="0" borderId="0" xfId="0" applyNumberFormat="1" applyFont="1" applyFill="1" applyProtection="1">
      <protection hidden="1"/>
    </xf>
    <xf numFmtId="183" fontId="30" fillId="0" borderId="0" xfId="0" applyNumberFormat="1" applyFont="1" applyFill="1" applyAlignment="1" applyProtection="1">
      <alignment horizontal="center" vertical="center"/>
      <protection hidden="1"/>
    </xf>
    <xf numFmtId="187" fontId="31" fillId="0" borderId="1" xfId="0" applyNumberFormat="1" applyFont="1" applyFill="1" applyBorder="1" applyAlignment="1" applyProtection="1">
      <alignment horizontal="center"/>
      <protection hidden="1"/>
    </xf>
    <xf numFmtId="182" fontId="31" fillId="0" borderId="0" xfId="0" applyNumberFormat="1" applyFont="1" applyFill="1" applyProtection="1">
      <protection hidden="1"/>
    </xf>
    <xf numFmtId="0" fontId="33" fillId="4" borderId="0" xfId="0" applyFont="1" applyFill="1" applyAlignment="1" applyProtection="1">
      <alignment horizontal="left"/>
      <protection hidden="1"/>
    </xf>
    <xf numFmtId="9" fontId="33" fillId="4" borderId="0" xfId="0" applyNumberFormat="1" applyFont="1" applyFill="1" applyAlignment="1" applyProtection="1">
      <alignment horizontal="left"/>
      <protection hidden="1"/>
    </xf>
    <xf numFmtId="0" fontId="30" fillId="4" borderId="0" xfId="0" applyFont="1" applyFill="1" applyAlignment="1" applyProtection="1">
      <alignment horizontal="left"/>
      <protection hidden="1"/>
    </xf>
    <xf numFmtId="181" fontId="30" fillId="4" borderId="1" xfId="0" applyNumberFormat="1" applyFont="1" applyFill="1" applyBorder="1" applyAlignment="1" applyProtection="1">
      <alignment horizontal="left"/>
      <protection hidden="1"/>
    </xf>
    <xf numFmtId="0" fontId="31" fillId="0" borderId="1" xfId="0" applyFont="1" applyFill="1" applyBorder="1" applyProtection="1">
      <protection hidden="1"/>
    </xf>
    <xf numFmtId="10" fontId="30" fillId="5" borderId="0" xfId="0" applyNumberFormat="1" applyFont="1" applyFill="1" applyAlignment="1" applyProtection="1">
      <alignment horizontal="left"/>
      <protection hidden="1"/>
    </xf>
    <xf numFmtId="184" fontId="35" fillId="4" borderId="0" xfId="0" applyNumberFormat="1" applyFont="1" applyFill="1" applyAlignment="1" applyProtection="1">
      <alignment horizontal="left"/>
      <protection hidden="1"/>
    </xf>
    <xf numFmtId="0" fontId="35" fillId="4" borderId="1" xfId="0" applyFont="1" applyFill="1" applyBorder="1" applyAlignment="1" applyProtection="1">
      <alignment horizontal="left"/>
      <protection hidden="1"/>
    </xf>
    <xf numFmtId="183" fontId="35" fillId="4" borderId="1" xfId="0" applyNumberFormat="1" applyFont="1" applyFill="1" applyBorder="1" applyAlignment="1" applyProtection="1">
      <alignment horizontal="left"/>
      <protection hidden="1"/>
    </xf>
    <xf numFmtId="0" fontId="10" fillId="4" borderId="3" xfId="0" applyFont="1" applyFill="1" applyBorder="1" applyAlignment="1" applyProtection="1">
      <alignment horizontal="left"/>
      <protection hidden="1"/>
    </xf>
    <xf numFmtId="0" fontId="10" fillId="4" borderId="0" xfId="0" applyFont="1" applyFill="1" applyAlignment="1" applyProtection="1">
      <alignment horizontal="left"/>
      <protection hidden="1"/>
    </xf>
    <xf numFmtId="0" fontId="10" fillId="4" borderId="0" xfId="0" applyFont="1" applyFill="1" applyAlignment="1" applyProtection="1">
      <alignment horizontal="left" vertical="center"/>
      <protection hidden="1"/>
    </xf>
    <xf numFmtId="9" fontId="10" fillId="4" borderId="0" xfId="0" applyNumberFormat="1" applyFont="1" applyFill="1" applyAlignment="1" applyProtection="1">
      <alignment horizontal="left"/>
      <protection hidden="1"/>
    </xf>
    <xf numFmtId="183" fontId="10" fillId="4" borderId="4" xfId="0" applyNumberFormat="1" applyFont="1" applyFill="1" applyBorder="1" applyAlignment="1" applyProtection="1">
      <alignment horizontal="left" vertical="center"/>
      <protection hidden="1"/>
    </xf>
    <xf numFmtId="0" fontId="10" fillId="4" borderId="0" xfId="0" applyFont="1" applyFill="1" applyBorder="1" applyAlignment="1" applyProtection="1">
      <alignment horizontal="left"/>
      <protection hidden="1"/>
    </xf>
    <xf numFmtId="9" fontId="10" fillId="4" borderId="0" xfId="0" applyNumberFormat="1" applyFont="1" applyFill="1" applyBorder="1" applyAlignment="1" applyProtection="1">
      <alignment horizontal="left"/>
      <protection hidden="1"/>
    </xf>
    <xf numFmtId="0" fontId="10" fillId="4" borderId="0" xfId="0" applyFont="1" applyFill="1" applyAlignment="1">
      <alignment horizontal="left"/>
    </xf>
    <xf numFmtId="10" fontId="10" fillId="4" borderId="0" xfId="2" applyNumberFormat="1" applyFont="1" applyFill="1" applyAlignment="1" applyProtection="1">
      <alignment horizontal="left"/>
      <protection hidden="1"/>
    </xf>
    <xf numFmtId="0" fontId="10" fillId="4" borderId="0" xfId="2" applyNumberFormat="1" applyFont="1" applyFill="1" applyAlignment="1" applyProtection="1">
      <alignment horizontal="left"/>
      <protection hidden="1"/>
    </xf>
    <xf numFmtId="9" fontId="10" fillId="4" borderId="1" xfId="0" applyNumberFormat="1" applyFont="1" applyFill="1" applyBorder="1" applyAlignment="1" applyProtection="1">
      <alignment horizontal="left" vertical="center"/>
      <protection hidden="1"/>
    </xf>
    <xf numFmtId="0" fontId="36" fillId="4" borderId="0" xfId="0" applyFont="1" applyFill="1" applyBorder="1" applyAlignment="1" applyProtection="1">
      <alignment horizontal="left"/>
      <protection hidden="1"/>
    </xf>
    <xf numFmtId="0" fontId="36" fillId="4" borderId="0" xfId="0" applyFont="1" applyFill="1" applyAlignment="1" applyProtection="1">
      <alignment horizontal="left"/>
      <protection hidden="1"/>
    </xf>
    <xf numFmtId="10" fontId="10" fillId="4" borderId="0" xfId="0" applyNumberFormat="1" applyFont="1" applyFill="1" applyAlignment="1" applyProtection="1">
      <alignment horizontal="left"/>
      <protection hidden="1"/>
    </xf>
    <xf numFmtId="0" fontId="10" fillId="4" borderId="0" xfId="0" applyFont="1" applyFill="1" applyBorder="1" applyAlignment="1" applyProtection="1">
      <alignment horizontal="left" vertical="center"/>
      <protection hidden="1"/>
    </xf>
    <xf numFmtId="9" fontId="10" fillId="4" borderId="0" xfId="0" applyNumberFormat="1" applyFont="1" applyFill="1" applyBorder="1" applyAlignment="1" applyProtection="1">
      <alignment horizontal="left" vertical="center"/>
      <protection hidden="1"/>
    </xf>
    <xf numFmtId="183" fontId="10" fillId="4" borderId="0" xfId="0" applyNumberFormat="1" applyFont="1" applyFill="1" applyBorder="1" applyAlignment="1" applyProtection="1">
      <alignment horizontal="left" vertical="center"/>
      <protection hidden="1"/>
    </xf>
    <xf numFmtId="10" fontId="10" fillId="4" borderId="0" xfId="0" applyNumberFormat="1" applyFont="1" applyFill="1" applyBorder="1" applyAlignment="1" applyProtection="1">
      <alignment horizontal="left"/>
      <protection hidden="1"/>
    </xf>
    <xf numFmtId="9" fontId="11" fillId="4" borderId="0" xfId="0" applyNumberFormat="1" applyFont="1" applyFill="1" applyBorder="1" applyAlignment="1" applyProtection="1">
      <alignment horizontal="left"/>
      <protection hidden="1"/>
    </xf>
    <xf numFmtId="0" fontId="10" fillId="4" borderId="0" xfId="0" applyNumberFormat="1" applyFont="1" applyFill="1" applyBorder="1" applyAlignment="1" applyProtection="1">
      <alignment horizontal="left"/>
      <protection hidden="1"/>
    </xf>
    <xf numFmtId="10" fontId="11" fillId="4" borderId="0" xfId="0" applyNumberFormat="1" applyFont="1" applyFill="1" applyBorder="1" applyAlignment="1" applyProtection="1">
      <alignment horizontal="left"/>
      <protection hidden="1"/>
    </xf>
    <xf numFmtId="0" fontId="11" fillId="4" borderId="0" xfId="0" applyNumberFormat="1" applyFont="1" applyFill="1" applyBorder="1" applyAlignment="1" applyProtection="1">
      <alignment horizontal="left"/>
      <protection hidden="1"/>
    </xf>
    <xf numFmtId="0" fontId="34" fillId="4" borderId="0" xfId="0" applyFont="1" applyFill="1" applyAlignment="1" applyProtection="1">
      <alignment horizontal="left"/>
      <protection hidden="1"/>
    </xf>
    <xf numFmtId="0" fontId="37" fillId="4" borderId="5" xfId="0" applyFont="1" applyFill="1" applyBorder="1" applyAlignment="1">
      <alignment horizontal="left"/>
    </xf>
    <xf numFmtId="182" fontId="37" fillId="4" borderId="5" xfId="2" applyNumberFormat="1" applyFont="1" applyFill="1" applyBorder="1" applyAlignment="1">
      <alignment horizontal="left"/>
    </xf>
    <xf numFmtId="0" fontId="37" fillId="4" borderId="5" xfId="0" applyFont="1" applyFill="1" applyBorder="1" applyAlignment="1" applyProtection="1">
      <alignment horizontal="left"/>
      <protection hidden="1"/>
    </xf>
    <xf numFmtId="0" fontId="34" fillId="4" borderId="5" xfId="0" applyFont="1" applyFill="1" applyBorder="1" applyAlignment="1" applyProtection="1">
      <alignment horizontal="left"/>
      <protection hidden="1"/>
    </xf>
    <xf numFmtId="0" fontId="18" fillId="4" borderId="0" xfId="0" applyFont="1" applyFill="1" applyAlignment="1" applyProtection="1">
      <protection hidden="1"/>
    </xf>
    <xf numFmtId="0" fontId="18" fillId="4" borderId="0" xfId="0" applyFont="1" applyFill="1" applyAlignment="1" applyProtection="1">
      <alignment horizontal="left"/>
      <protection hidden="1"/>
    </xf>
    <xf numFmtId="0" fontId="10" fillId="4" borderId="6" xfId="0" applyFont="1" applyFill="1" applyBorder="1" applyAlignment="1" applyProtection="1">
      <alignment horizontal="center" vertical="center"/>
      <protection hidden="1"/>
    </xf>
    <xf numFmtId="0" fontId="10" fillId="4" borderId="4" xfId="0" applyFont="1" applyFill="1" applyBorder="1" applyAlignment="1" applyProtection="1">
      <alignment horizontal="center" vertical="center"/>
      <protection hidden="1"/>
    </xf>
    <xf numFmtId="183" fontId="10" fillId="4" borderId="1" xfId="0" applyNumberFormat="1" applyFont="1" applyFill="1" applyBorder="1" applyAlignment="1" applyProtection="1">
      <alignment horizontal="center" vertical="center"/>
      <protection hidden="1"/>
    </xf>
    <xf numFmtId="186" fontId="10" fillId="4" borderId="4" xfId="0" applyNumberFormat="1" applyFont="1" applyFill="1" applyBorder="1" applyAlignment="1" applyProtection="1">
      <alignment horizontal="center" vertical="center"/>
      <protection hidden="1"/>
    </xf>
    <xf numFmtId="183" fontId="10" fillId="4" borderId="4" xfId="0" applyNumberFormat="1" applyFont="1" applyFill="1" applyBorder="1" applyAlignment="1" applyProtection="1">
      <alignment horizontal="center" vertical="center"/>
      <protection hidden="1"/>
    </xf>
    <xf numFmtId="183" fontId="10" fillId="4" borderId="0" xfId="0" applyNumberFormat="1" applyFont="1" applyFill="1" applyBorder="1" applyAlignment="1" applyProtection="1">
      <alignment horizontal="center" vertical="center"/>
      <protection hidden="1"/>
    </xf>
    <xf numFmtId="0" fontId="10" fillId="4" borderId="0" xfId="0" applyNumberFormat="1" applyFont="1" applyFill="1" applyBorder="1" applyAlignment="1" applyProtection="1">
      <alignment horizontal="center" vertical="center"/>
      <protection hidden="1"/>
    </xf>
    <xf numFmtId="0" fontId="10" fillId="4" borderId="3" xfId="0" applyFont="1" applyFill="1" applyBorder="1" applyAlignment="1" applyProtection="1">
      <alignment horizontal="center"/>
      <protection hidden="1"/>
    </xf>
    <xf numFmtId="9" fontId="11" fillId="4" borderId="0" xfId="0" applyNumberFormat="1" applyFont="1" applyFill="1" applyBorder="1" applyAlignment="1" applyProtection="1">
      <alignment horizontal="center"/>
      <protection hidden="1"/>
    </xf>
    <xf numFmtId="0" fontId="10" fillId="4" borderId="0" xfId="0" applyNumberFormat="1" applyFont="1" applyFill="1" applyBorder="1" applyAlignment="1" applyProtection="1">
      <alignment horizontal="center"/>
      <protection hidden="1"/>
    </xf>
    <xf numFmtId="10" fontId="11" fillId="4" borderId="0" xfId="0" applyNumberFormat="1" applyFont="1" applyFill="1" applyBorder="1" applyAlignment="1" applyProtection="1">
      <alignment horizontal="center"/>
      <protection hidden="1"/>
    </xf>
    <xf numFmtId="9" fontId="10" fillId="4" borderId="0" xfId="0" applyNumberFormat="1" applyFont="1" applyFill="1" applyBorder="1" applyAlignment="1" applyProtection="1">
      <alignment horizontal="center"/>
      <protection hidden="1"/>
    </xf>
    <xf numFmtId="0" fontId="10" fillId="4" borderId="0" xfId="0" applyFont="1" applyFill="1" applyBorder="1" applyAlignment="1" applyProtection="1">
      <alignment horizontal="center"/>
      <protection hidden="1"/>
    </xf>
    <xf numFmtId="0" fontId="16" fillId="4" borderId="0" xfId="0" applyFont="1" applyFill="1" applyAlignment="1" applyProtection="1">
      <alignment horizontal="center" vertical="center"/>
      <protection hidden="1"/>
    </xf>
    <xf numFmtId="0" fontId="17" fillId="4" borderId="1" xfId="0" applyFont="1" applyFill="1" applyBorder="1" applyAlignment="1" applyProtection="1">
      <alignment horizontal="center" vertical="center"/>
      <protection hidden="1"/>
    </xf>
    <xf numFmtId="184" fontId="17" fillId="4" borderId="1" xfId="0" applyNumberFormat="1" applyFont="1" applyFill="1" applyBorder="1" applyAlignment="1" applyProtection="1">
      <alignment horizontal="center" vertical="center"/>
      <protection hidden="1"/>
    </xf>
    <xf numFmtId="183" fontId="17" fillId="4" borderId="1" xfId="0" applyNumberFormat="1" applyFont="1" applyFill="1" applyBorder="1" applyAlignment="1" applyProtection="1">
      <alignment horizontal="center" vertical="center"/>
      <protection hidden="1"/>
    </xf>
    <xf numFmtId="2" fontId="11" fillId="4" borderId="1" xfId="0" applyNumberFormat="1" applyFont="1" applyFill="1" applyBorder="1" applyAlignment="1" applyProtection="1">
      <alignment horizontal="center" vertical="center"/>
      <protection hidden="1"/>
    </xf>
    <xf numFmtId="0" fontId="17" fillId="4" borderId="0" xfId="0" applyFont="1" applyFill="1" applyBorder="1" applyAlignment="1" applyProtection="1">
      <alignment horizontal="center" vertical="center"/>
      <protection hidden="1"/>
    </xf>
    <xf numFmtId="10" fontId="17" fillId="4" borderId="0" xfId="2" applyNumberFormat="1" applyFont="1" applyFill="1" applyBorder="1" applyAlignment="1" applyProtection="1">
      <alignment horizontal="center" vertical="center"/>
      <protection hidden="1"/>
    </xf>
    <xf numFmtId="0" fontId="16" fillId="4" borderId="3" xfId="0" applyFont="1" applyFill="1" applyBorder="1" applyAlignment="1" applyProtection="1">
      <alignment horizontal="center" vertical="center"/>
      <protection hidden="1"/>
    </xf>
    <xf numFmtId="0" fontId="10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" vertical="center"/>
      <protection hidden="1"/>
    </xf>
    <xf numFmtId="0" fontId="34" fillId="4" borderId="5" xfId="0" applyFont="1" applyFill="1" applyBorder="1" applyAlignment="1" applyProtection="1">
      <alignment horizontal="center" vertical="center"/>
      <protection hidden="1"/>
    </xf>
    <xf numFmtId="181" fontId="10" fillId="4" borderId="1" xfId="0" applyNumberFormat="1" applyFont="1" applyFill="1" applyBorder="1" applyAlignment="1" applyProtection="1">
      <alignment horizontal="center" vertical="center"/>
      <protection hidden="1"/>
    </xf>
    <xf numFmtId="0" fontId="10" fillId="4" borderId="1" xfId="0" applyFont="1" applyFill="1" applyBorder="1" applyAlignment="1" applyProtection="1">
      <alignment horizontal="center" vertical="center"/>
      <protection hidden="1"/>
    </xf>
    <xf numFmtId="0" fontId="10" fillId="4" borderId="4" xfId="0" applyFont="1" applyFill="1" applyBorder="1" applyAlignment="1" applyProtection="1">
      <alignment horizontal="left" vertical="center"/>
      <protection hidden="1"/>
    </xf>
    <xf numFmtId="0" fontId="10" fillId="4" borderId="7" xfId="0" applyFont="1" applyFill="1" applyBorder="1" applyAlignment="1" applyProtection="1">
      <alignment horizontal="center" vertical="center"/>
      <protection hidden="1"/>
    </xf>
    <xf numFmtId="0" fontId="10" fillId="4" borderId="8" xfId="0" applyFont="1" applyFill="1" applyBorder="1" applyAlignment="1" applyProtection="1">
      <alignment horizontal="left" vertical="center"/>
      <protection hidden="1"/>
    </xf>
    <xf numFmtId="0" fontId="10" fillId="4" borderId="7" xfId="0" applyFont="1" applyFill="1" applyBorder="1" applyAlignment="1" applyProtection="1">
      <alignment horizontal="left" vertical="center"/>
      <protection hidden="1"/>
    </xf>
    <xf numFmtId="0" fontId="10" fillId="4" borderId="9" xfId="0" applyFont="1" applyFill="1" applyBorder="1" applyAlignment="1" applyProtection="1">
      <alignment horizontal="left" vertical="center"/>
      <protection hidden="1"/>
    </xf>
    <xf numFmtId="0" fontId="10" fillId="4" borderId="3" xfId="0" applyFont="1" applyFill="1" applyBorder="1" applyAlignment="1" applyProtection="1">
      <alignment horizontal="center" vertical="center"/>
      <protection hidden="1"/>
    </xf>
    <xf numFmtId="0" fontId="10" fillId="4" borderId="1" xfId="0" applyFont="1" applyFill="1" applyBorder="1" applyAlignment="1" applyProtection="1">
      <alignment horizontal="left" vertical="center"/>
      <protection hidden="1"/>
    </xf>
    <xf numFmtId="0" fontId="10" fillId="6" borderId="0" xfId="0" applyNumberFormat="1" applyFont="1" applyFill="1" applyBorder="1" applyAlignment="1" applyProtection="1">
      <alignment horizontal="center"/>
      <protection hidden="1"/>
    </xf>
    <xf numFmtId="0" fontId="37" fillId="0" borderId="5" xfId="0" applyFont="1" applyFill="1" applyBorder="1" applyAlignment="1" applyProtection="1">
      <alignment horizontal="left" vertical="center"/>
      <protection hidden="1"/>
    </xf>
    <xf numFmtId="182" fontId="37" fillId="0" borderId="5" xfId="0" applyNumberFormat="1" applyFont="1" applyFill="1" applyBorder="1" applyAlignment="1" applyProtection="1">
      <alignment horizontal="left"/>
      <protection hidden="1"/>
    </xf>
    <xf numFmtId="0" fontId="2" fillId="4" borderId="0" xfId="0" applyFont="1" applyFill="1" applyAlignment="1" applyProtection="1">
      <alignment horizontal="center"/>
      <protection hidden="1"/>
    </xf>
    <xf numFmtId="0" fontId="2" fillId="4" borderId="0" xfId="0" applyFont="1" applyFill="1" applyAlignment="1" applyProtection="1">
      <alignment horizontal="center" vertical="center"/>
      <protection hidden="1"/>
    </xf>
    <xf numFmtId="0" fontId="2" fillId="4" borderId="0" xfId="0" applyFont="1" applyFill="1" applyBorder="1" applyAlignment="1" applyProtection="1">
      <alignment horizontal="center"/>
      <protection hidden="1"/>
    </xf>
    <xf numFmtId="0" fontId="2" fillId="4" borderId="0" xfId="0" applyFont="1" applyFill="1" applyProtection="1">
      <protection hidden="1"/>
    </xf>
    <xf numFmtId="0" fontId="2" fillId="4" borderId="1" xfId="0" applyFont="1" applyFill="1" applyBorder="1" applyAlignment="1" applyProtection="1">
      <alignment horizontal="center"/>
      <protection hidden="1"/>
    </xf>
    <xf numFmtId="0" fontId="2" fillId="4" borderId="1" xfId="0" applyFont="1" applyFill="1" applyBorder="1" applyProtection="1">
      <protection hidden="1"/>
    </xf>
    <xf numFmtId="183" fontId="2" fillId="4" borderId="1" xfId="0" applyNumberFormat="1" applyFont="1" applyFill="1" applyBorder="1" applyAlignment="1" applyProtection="1">
      <alignment horizontal="center"/>
      <protection hidden="1"/>
    </xf>
    <xf numFmtId="0" fontId="2" fillId="4" borderId="1" xfId="0" applyFont="1" applyFill="1" applyBorder="1" applyAlignment="1" applyProtection="1">
      <alignment horizontal="right"/>
      <protection hidden="1"/>
    </xf>
    <xf numFmtId="181" fontId="2" fillId="4" borderId="1" xfId="0" applyNumberFormat="1" applyFont="1" applyFill="1" applyBorder="1" applyProtection="1">
      <protection hidden="1"/>
    </xf>
    <xf numFmtId="181" fontId="2" fillId="4" borderId="1" xfId="0" applyNumberFormat="1" applyFont="1" applyFill="1" applyBorder="1" applyAlignment="1" applyProtection="1">
      <alignment horizontal="center"/>
      <protection hidden="1"/>
    </xf>
    <xf numFmtId="184" fontId="10" fillId="4" borderId="1" xfId="0" applyNumberFormat="1" applyFont="1" applyFill="1" applyBorder="1" applyAlignment="1" applyProtection="1">
      <alignment horizontal="center" vertical="center"/>
      <protection hidden="1"/>
    </xf>
    <xf numFmtId="183" fontId="10" fillId="0" borderId="1" xfId="0" applyNumberFormat="1" applyFont="1" applyFill="1" applyBorder="1" applyAlignment="1" applyProtection="1">
      <alignment horizontal="center" vertical="center"/>
      <protection hidden="1"/>
    </xf>
    <xf numFmtId="184" fontId="10" fillId="0" borderId="1" xfId="0" applyNumberFormat="1" applyFont="1" applyFill="1" applyBorder="1" applyAlignment="1" applyProtection="1">
      <alignment horizontal="center" vertical="center"/>
      <protection hidden="1"/>
    </xf>
    <xf numFmtId="187" fontId="10" fillId="0" borderId="1" xfId="0" applyNumberFormat="1" applyFont="1" applyFill="1" applyBorder="1" applyAlignment="1" applyProtection="1">
      <alignment horizontal="center" vertical="center"/>
      <protection hidden="1"/>
    </xf>
    <xf numFmtId="38" fontId="10" fillId="4" borderId="7" xfId="0" applyNumberFormat="1" applyFont="1" applyFill="1" applyBorder="1" applyAlignment="1" applyProtection="1">
      <alignment horizontal="left" vertical="center"/>
      <protection hidden="1"/>
    </xf>
    <xf numFmtId="183" fontId="41" fillId="4" borderId="0" xfId="0" applyNumberFormat="1" applyFont="1" applyFill="1" applyBorder="1" applyAlignment="1" applyProtection="1">
      <alignment horizontal="center" vertical="center"/>
      <protection hidden="1"/>
    </xf>
    <xf numFmtId="0" fontId="42" fillId="4" borderId="0" xfId="0" applyFont="1" applyFill="1" applyBorder="1" applyAlignment="1" applyProtection="1">
      <alignment horizontal="center" vertical="center"/>
      <protection hidden="1"/>
    </xf>
    <xf numFmtId="0" fontId="41" fillId="4" borderId="0" xfId="0" applyFont="1" applyFill="1" applyBorder="1" applyAlignment="1" applyProtection="1">
      <alignment horizontal="center" vertical="center"/>
      <protection hidden="1"/>
    </xf>
    <xf numFmtId="196" fontId="43" fillId="4" borderId="0" xfId="0" applyNumberFormat="1" applyFont="1" applyFill="1" applyBorder="1" applyAlignment="1" applyProtection="1">
      <alignment horizontal="center" vertical="center"/>
      <protection hidden="1"/>
    </xf>
    <xf numFmtId="0" fontId="40" fillId="4" borderId="0" xfId="0" applyFont="1" applyFill="1" applyBorder="1" applyAlignment="1" applyProtection="1">
      <alignment horizontal="center" vertical="center"/>
      <protection hidden="1"/>
    </xf>
    <xf numFmtId="183" fontId="42" fillId="4" borderId="0" xfId="0" applyNumberFormat="1" applyFont="1" applyFill="1" applyBorder="1" applyAlignment="1" applyProtection="1">
      <alignment horizontal="center" vertical="center"/>
      <protection hidden="1"/>
    </xf>
    <xf numFmtId="10" fontId="42" fillId="4" borderId="0" xfId="0" applyNumberFormat="1" applyFont="1" applyFill="1" applyBorder="1" applyAlignment="1" applyProtection="1">
      <alignment horizontal="center" vertical="center"/>
      <protection hidden="1"/>
    </xf>
    <xf numFmtId="0" fontId="45" fillId="4" borderId="0" xfId="0" applyFont="1" applyFill="1" applyBorder="1" applyAlignment="1" applyProtection="1">
      <alignment horizontal="center" vertical="center"/>
      <protection hidden="1"/>
    </xf>
    <xf numFmtId="0" fontId="42" fillId="4" borderId="0" xfId="0" applyFont="1" applyFill="1" applyBorder="1" applyAlignment="1">
      <alignment horizontal="center" vertical="center"/>
    </xf>
    <xf numFmtId="10" fontId="42" fillId="4" borderId="0" xfId="0" applyNumberFormat="1" applyFont="1" applyFill="1" applyBorder="1" applyAlignment="1">
      <alignment horizontal="center" vertical="center"/>
    </xf>
    <xf numFmtId="189" fontId="44" fillId="4" borderId="0" xfId="0" applyNumberFormat="1" applyFont="1" applyFill="1" applyBorder="1" applyAlignment="1">
      <alignment horizontal="center" vertical="center"/>
    </xf>
    <xf numFmtId="0" fontId="44" fillId="4" borderId="0" xfId="0" applyFont="1" applyFill="1" applyBorder="1" applyAlignment="1" applyProtection="1">
      <alignment horizontal="center" vertical="center"/>
      <protection hidden="1"/>
    </xf>
    <xf numFmtId="189" fontId="42" fillId="4" borderId="0" xfId="0" applyNumberFormat="1" applyFont="1" applyFill="1" applyBorder="1" applyAlignment="1" applyProtection="1">
      <alignment horizontal="center" vertical="center"/>
      <protection hidden="1"/>
    </xf>
    <xf numFmtId="9" fontId="42" fillId="4" borderId="0" xfId="2" applyFont="1" applyFill="1" applyBorder="1" applyAlignment="1">
      <alignment horizontal="center" vertical="center"/>
    </xf>
    <xf numFmtId="10" fontId="42" fillId="4" borderId="0" xfId="2" applyNumberFormat="1" applyFont="1" applyFill="1" applyBorder="1" applyAlignment="1">
      <alignment horizontal="center" vertical="center"/>
    </xf>
    <xf numFmtId="10" fontId="44" fillId="4" borderId="0" xfId="2" applyNumberFormat="1" applyFont="1" applyFill="1" applyBorder="1" applyAlignment="1" applyProtection="1">
      <alignment horizontal="center" vertical="center"/>
      <protection hidden="1"/>
    </xf>
    <xf numFmtId="0" fontId="41" fillId="4" borderId="0" xfId="0" applyFont="1" applyFill="1" applyBorder="1" applyAlignment="1">
      <alignment horizontal="center" vertical="center"/>
    </xf>
    <xf numFmtId="0" fontId="42" fillId="4" borderId="0" xfId="2" applyNumberFormat="1" applyFont="1" applyFill="1" applyBorder="1" applyAlignment="1">
      <alignment horizontal="center" vertical="center"/>
    </xf>
    <xf numFmtId="10" fontId="41" fillId="4" borderId="0" xfId="2" applyNumberFormat="1" applyFont="1" applyFill="1" applyBorder="1" applyAlignment="1" applyProtection="1">
      <alignment horizontal="center" vertical="center"/>
      <protection hidden="1"/>
    </xf>
    <xf numFmtId="191" fontId="42" fillId="4" borderId="0" xfId="0" applyNumberFormat="1" applyFont="1" applyFill="1" applyBorder="1" applyAlignment="1">
      <alignment horizontal="center" vertical="center"/>
    </xf>
    <xf numFmtId="191" fontId="42" fillId="4" borderId="0" xfId="2" applyNumberFormat="1" applyFont="1" applyFill="1" applyBorder="1" applyAlignment="1">
      <alignment horizontal="center" vertical="center"/>
    </xf>
    <xf numFmtId="9" fontId="44" fillId="4" borderId="0" xfId="2" applyFont="1" applyFill="1" applyBorder="1" applyAlignment="1" applyProtection="1">
      <alignment horizontal="center" vertical="center"/>
      <protection hidden="1"/>
    </xf>
    <xf numFmtId="10" fontId="44" fillId="4" borderId="0" xfId="0" applyNumberFormat="1" applyFont="1" applyFill="1" applyBorder="1" applyAlignment="1" applyProtection="1">
      <alignment horizontal="center" vertical="center"/>
      <protection hidden="1"/>
    </xf>
    <xf numFmtId="183" fontId="41" fillId="4" borderId="0" xfId="0" applyNumberFormat="1" applyFont="1" applyFill="1" applyBorder="1" applyAlignment="1" applyProtection="1">
      <alignment horizontal="right" vertical="center"/>
      <protection hidden="1"/>
    </xf>
    <xf numFmtId="179" fontId="41" fillId="4" borderId="0" xfId="0" applyNumberFormat="1" applyFont="1" applyFill="1" applyBorder="1" applyAlignment="1" applyProtection="1">
      <alignment horizontal="center" vertical="center"/>
      <protection hidden="1"/>
    </xf>
    <xf numFmtId="0" fontId="39" fillId="4" borderId="0" xfId="0" applyFont="1" applyFill="1" applyBorder="1" applyAlignment="1">
      <alignment vertical="center"/>
    </xf>
    <xf numFmtId="0" fontId="42" fillId="4" borderId="0" xfId="0" applyFont="1" applyFill="1" applyBorder="1" applyAlignment="1">
      <alignment vertical="center"/>
    </xf>
    <xf numFmtId="49" fontId="42" fillId="4" borderId="0" xfId="0" applyNumberFormat="1" applyFont="1" applyFill="1" applyBorder="1" applyAlignment="1">
      <alignment vertical="center"/>
    </xf>
    <xf numFmtId="10" fontId="42" fillId="4" borderId="0" xfId="0" applyNumberFormat="1" applyFont="1" applyFill="1" applyBorder="1" applyAlignment="1">
      <alignment vertical="center"/>
    </xf>
    <xf numFmtId="176" fontId="42" fillId="4" borderId="0" xfId="0" applyNumberFormat="1" applyFont="1" applyFill="1" applyBorder="1" applyAlignment="1">
      <alignment vertical="center"/>
    </xf>
    <xf numFmtId="0" fontId="41" fillId="4" borderId="0" xfId="0" applyFont="1" applyFill="1" applyBorder="1" applyAlignment="1" applyProtection="1">
      <alignment horizontal="right" vertical="center"/>
      <protection hidden="1"/>
    </xf>
    <xf numFmtId="0" fontId="51" fillId="4" borderId="0" xfId="0" applyFont="1" applyFill="1" applyBorder="1" applyAlignment="1" applyProtection="1">
      <alignment horizontal="left" vertical="center"/>
      <protection hidden="1"/>
    </xf>
    <xf numFmtId="176" fontId="41" fillId="4" borderId="0" xfId="0" applyNumberFormat="1" applyFont="1" applyFill="1" applyBorder="1" applyAlignment="1" applyProtection="1">
      <alignment horizontal="right" vertical="center"/>
      <protection hidden="1"/>
    </xf>
    <xf numFmtId="10" fontId="41" fillId="4" borderId="0" xfId="0" applyNumberFormat="1" applyFont="1" applyFill="1" applyBorder="1" applyAlignment="1" applyProtection="1">
      <alignment horizontal="right" vertical="center"/>
      <protection hidden="1"/>
    </xf>
    <xf numFmtId="182" fontId="41" fillId="4" borderId="0" xfId="0" applyNumberFormat="1" applyFont="1" applyFill="1" applyBorder="1" applyAlignment="1" applyProtection="1">
      <alignment horizontal="right" vertical="center"/>
      <protection hidden="1"/>
    </xf>
    <xf numFmtId="0" fontId="42" fillId="4" borderId="0" xfId="0" applyFont="1" applyFill="1" applyBorder="1" applyAlignment="1" applyProtection="1">
      <alignment vertical="center"/>
      <protection hidden="1"/>
    </xf>
    <xf numFmtId="9" fontId="42" fillId="4" borderId="0" xfId="0" applyNumberFormat="1" applyFont="1" applyFill="1" applyBorder="1" applyAlignment="1" applyProtection="1">
      <alignment horizontal="center" vertical="center"/>
      <protection hidden="1"/>
    </xf>
    <xf numFmtId="183" fontId="42" fillId="4" borderId="0" xfId="0" applyNumberFormat="1" applyFont="1" applyFill="1" applyBorder="1" applyAlignment="1" applyProtection="1">
      <alignment vertical="center"/>
      <protection hidden="1"/>
    </xf>
    <xf numFmtId="9" fontId="42" fillId="4" borderId="0" xfId="0" applyNumberFormat="1" applyFont="1" applyFill="1" applyBorder="1" applyAlignment="1" applyProtection="1">
      <alignment vertical="center"/>
      <protection hidden="1"/>
    </xf>
    <xf numFmtId="0" fontId="42" fillId="4" borderId="0" xfId="0" applyNumberFormat="1" applyFont="1" applyFill="1" applyBorder="1" applyAlignment="1" applyProtection="1">
      <alignment vertical="center"/>
      <protection hidden="1"/>
    </xf>
    <xf numFmtId="0" fontId="42" fillId="4" borderId="0" xfId="0" applyFont="1" applyFill="1" applyAlignment="1">
      <alignment vertical="center"/>
    </xf>
    <xf numFmtId="0" fontId="42" fillId="4" borderId="0" xfId="0" applyFont="1" applyFill="1"/>
    <xf numFmtId="0" fontId="42" fillId="4" borderId="10" xfId="0" applyFont="1" applyFill="1" applyBorder="1" applyAlignment="1">
      <alignment horizontal="left" vertical="center"/>
    </xf>
    <xf numFmtId="0" fontId="42" fillId="4" borderId="11" xfId="0" applyFont="1" applyFill="1" applyBorder="1" applyAlignment="1">
      <alignment horizontal="left" vertical="center"/>
    </xf>
    <xf numFmtId="0" fontId="42" fillId="4" borderId="12" xfId="0" applyFont="1" applyFill="1" applyBorder="1" applyAlignment="1">
      <alignment horizontal="left" vertical="center"/>
    </xf>
    <xf numFmtId="0" fontId="42" fillId="4" borderId="13" xfId="0" applyFont="1" applyFill="1" applyBorder="1" applyAlignment="1">
      <alignment horizontal="left" vertical="center"/>
    </xf>
    <xf numFmtId="2" fontId="42" fillId="4" borderId="12" xfId="0" applyNumberFormat="1" applyFont="1" applyFill="1" applyBorder="1" applyAlignment="1">
      <alignment horizontal="left" vertical="center"/>
    </xf>
    <xf numFmtId="14" fontId="42" fillId="4" borderId="13" xfId="0" applyNumberFormat="1" applyFont="1" applyFill="1" applyBorder="1" applyAlignment="1">
      <alignment horizontal="left" vertical="center"/>
    </xf>
    <xf numFmtId="49" fontId="42" fillId="4" borderId="13" xfId="0" applyNumberFormat="1" applyFont="1" applyFill="1" applyBorder="1" applyAlignment="1">
      <alignment horizontal="left" vertical="center"/>
    </xf>
    <xf numFmtId="0" fontId="42" fillId="4" borderId="13" xfId="0" applyFont="1" applyFill="1" applyBorder="1" applyAlignment="1">
      <alignment horizontal="right" vertical="center"/>
    </xf>
    <xf numFmtId="0" fontId="42" fillId="4" borderId="0" xfId="0" applyFont="1" applyFill="1" applyAlignment="1"/>
    <xf numFmtId="0" fontId="54" fillId="4" borderId="0" xfId="0" applyFont="1" applyFill="1" applyBorder="1" applyAlignment="1">
      <alignment vertical="center"/>
    </xf>
    <xf numFmtId="0" fontId="42" fillId="4" borderId="13" xfId="0" applyNumberFormat="1" applyFont="1" applyFill="1" applyBorder="1" applyAlignment="1">
      <alignment horizontal="right" vertical="center"/>
    </xf>
    <xf numFmtId="2" fontId="42" fillId="4" borderId="12" xfId="0" applyNumberFormat="1" applyFont="1" applyFill="1" applyBorder="1" applyAlignment="1">
      <alignment horizontal="right" vertical="center"/>
    </xf>
    <xf numFmtId="2" fontId="42" fillId="4" borderId="0" xfId="0" applyNumberFormat="1" applyFont="1" applyFill="1" applyBorder="1" applyAlignment="1">
      <alignment vertical="center"/>
    </xf>
    <xf numFmtId="195" fontId="42" fillId="4" borderId="13" xfId="0" applyNumberFormat="1" applyFont="1" applyFill="1" applyBorder="1" applyAlignment="1">
      <alignment horizontal="right" vertical="center"/>
    </xf>
    <xf numFmtId="0" fontId="42" fillId="4" borderId="14" xfId="0" applyFont="1" applyFill="1" applyBorder="1" applyAlignment="1">
      <alignment horizontal="left" vertical="center"/>
    </xf>
    <xf numFmtId="17" fontId="42" fillId="4" borderId="0" xfId="0" applyNumberFormat="1" applyFont="1" applyFill="1" applyAlignment="1">
      <alignment vertical="center"/>
    </xf>
    <xf numFmtId="0" fontId="42" fillId="4" borderId="15" xfId="0" applyFont="1" applyFill="1" applyBorder="1" applyAlignment="1">
      <alignment horizontal="left" vertical="center"/>
    </xf>
    <xf numFmtId="0" fontId="42" fillId="4" borderId="16" xfId="0" applyFont="1" applyFill="1" applyBorder="1" applyAlignment="1">
      <alignment horizontal="left" vertical="center"/>
    </xf>
    <xf numFmtId="0" fontId="42" fillId="4" borderId="17" xfId="0" applyFont="1" applyFill="1" applyBorder="1" applyAlignment="1">
      <alignment horizontal="left" vertical="center"/>
    </xf>
    <xf numFmtId="0" fontId="42" fillId="4" borderId="18" xfId="0" applyFont="1" applyFill="1" applyBorder="1" applyAlignment="1">
      <alignment horizontal="left" vertical="center"/>
    </xf>
    <xf numFmtId="0" fontId="42" fillId="4" borderId="0" xfId="0" applyFont="1" applyFill="1" applyBorder="1" applyAlignment="1">
      <alignment horizontal="left" vertical="center"/>
    </xf>
    <xf numFmtId="0" fontId="42" fillId="4" borderId="0" xfId="0" applyFont="1" applyFill="1" applyAlignment="1">
      <alignment horizontal="left" vertical="center"/>
    </xf>
    <xf numFmtId="0" fontId="42" fillId="4" borderId="0" xfId="10" applyFont="1" applyFill="1" applyBorder="1" applyAlignment="1" applyProtection="1">
      <alignment horizontal="center" vertical="center"/>
      <protection hidden="1"/>
    </xf>
    <xf numFmtId="0" fontId="42" fillId="4" borderId="0" xfId="10" applyFont="1" applyFill="1" applyBorder="1" applyAlignment="1" applyProtection="1">
      <alignment vertical="center"/>
      <protection hidden="1"/>
    </xf>
    <xf numFmtId="181" fontId="42" fillId="4" borderId="0" xfId="10" applyNumberFormat="1" applyFont="1" applyFill="1" applyBorder="1" applyAlignment="1" applyProtection="1">
      <alignment vertical="center"/>
      <protection hidden="1"/>
    </xf>
    <xf numFmtId="183" fontId="42" fillId="4" borderId="0" xfId="10" applyNumberFormat="1" applyFont="1" applyFill="1" applyBorder="1" applyAlignment="1" applyProtection="1">
      <alignment vertical="center"/>
      <protection hidden="1"/>
    </xf>
    <xf numFmtId="176" fontId="42" fillId="7" borderId="0" xfId="0" applyNumberFormat="1" applyFont="1" applyFill="1" applyBorder="1" applyAlignment="1" applyProtection="1">
      <alignment horizontal="center" vertical="center"/>
      <protection hidden="1"/>
    </xf>
    <xf numFmtId="176" fontId="42" fillId="7" borderId="0" xfId="0" applyNumberFormat="1" applyFont="1" applyFill="1" applyBorder="1" applyAlignment="1">
      <alignment vertical="center"/>
    </xf>
    <xf numFmtId="176" fontId="42" fillId="7" borderId="0" xfId="0" applyNumberFormat="1" applyFont="1" applyFill="1" applyBorder="1" applyAlignment="1">
      <alignment horizontal="center" vertical="center"/>
    </xf>
    <xf numFmtId="176" fontId="42" fillId="7" borderId="0" xfId="0" applyNumberFormat="1" applyFont="1" applyFill="1" applyBorder="1" applyAlignment="1" applyProtection="1">
      <alignment horizontal="left" vertical="center"/>
      <protection hidden="1"/>
    </xf>
    <xf numFmtId="176" fontId="52" fillId="7" borderId="0" xfId="2" applyNumberFormat="1" applyFont="1" applyFill="1" applyBorder="1" applyAlignment="1">
      <alignment vertical="center"/>
    </xf>
    <xf numFmtId="176" fontId="42" fillId="7" borderId="0" xfId="2" applyNumberFormat="1" applyFont="1" applyFill="1" applyBorder="1" applyAlignment="1">
      <alignment vertical="center"/>
    </xf>
    <xf numFmtId="176" fontId="51" fillId="7" borderId="0" xfId="2" applyNumberFormat="1" applyFont="1" applyFill="1" applyBorder="1" applyAlignment="1">
      <alignment vertical="center"/>
    </xf>
    <xf numFmtId="176" fontId="51" fillId="7" borderId="0" xfId="0" applyNumberFormat="1" applyFont="1" applyFill="1" applyBorder="1" applyAlignment="1">
      <alignment vertical="center"/>
    </xf>
    <xf numFmtId="49" fontId="42" fillId="7" borderId="0" xfId="0" applyNumberFormat="1" applyFont="1" applyFill="1" applyBorder="1" applyAlignment="1">
      <alignment vertical="center"/>
    </xf>
    <xf numFmtId="0" fontId="42" fillId="7" borderId="0" xfId="0" applyFont="1" applyFill="1" applyBorder="1" applyAlignment="1" applyProtection="1">
      <alignment horizontal="left" vertical="center"/>
      <protection hidden="1"/>
    </xf>
    <xf numFmtId="10" fontId="42" fillId="7" borderId="0" xfId="2" applyNumberFormat="1" applyFont="1" applyFill="1" applyBorder="1" applyAlignment="1">
      <alignment vertical="center"/>
    </xf>
    <xf numFmtId="0" fontId="42" fillId="7" borderId="0" xfId="0" applyFont="1" applyFill="1" applyBorder="1" applyAlignment="1">
      <alignment horizontal="center" vertical="center"/>
    </xf>
    <xf numFmtId="0" fontId="42" fillId="7" borderId="0" xfId="0" applyFont="1" applyFill="1" applyBorder="1" applyAlignment="1">
      <alignment vertical="center"/>
    </xf>
    <xf numFmtId="0" fontId="53" fillId="7" borderId="0" xfId="0" applyFont="1" applyFill="1" applyBorder="1" applyAlignment="1">
      <alignment horizontal="center" vertical="center"/>
    </xf>
    <xf numFmtId="10" fontId="46" fillId="7" borderId="0" xfId="2" applyNumberFormat="1" applyFont="1" applyFill="1" applyBorder="1" applyAlignment="1">
      <alignment horizontal="right" vertical="center"/>
    </xf>
    <xf numFmtId="49" fontId="42" fillId="7" borderId="0" xfId="0" applyNumberFormat="1" applyFont="1" applyFill="1" applyBorder="1" applyAlignment="1" applyProtection="1">
      <alignment horizontal="left" vertical="center"/>
      <protection hidden="1"/>
    </xf>
    <xf numFmtId="176" fontId="42" fillId="7" borderId="0" xfId="0" applyNumberFormat="1" applyFont="1" applyFill="1" applyBorder="1" applyAlignment="1" applyProtection="1">
      <alignment horizontal="right" vertical="center"/>
      <protection hidden="1"/>
    </xf>
    <xf numFmtId="10" fontId="42" fillId="7" borderId="0" xfId="0" applyNumberFormat="1" applyFont="1" applyFill="1" applyBorder="1" applyAlignment="1">
      <alignment vertical="center"/>
    </xf>
    <xf numFmtId="10" fontId="40" fillId="8" borderId="0" xfId="2" applyNumberFormat="1" applyFont="1" applyFill="1" applyBorder="1" applyAlignment="1">
      <alignment vertical="center"/>
    </xf>
    <xf numFmtId="10" fontId="51" fillId="8" borderId="0" xfId="2" applyNumberFormat="1" applyFont="1" applyFill="1" applyBorder="1" applyAlignment="1">
      <alignment vertical="center"/>
    </xf>
    <xf numFmtId="49" fontId="51" fillId="8" borderId="0" xfId="0" applyNumberFormat="1" applyFont="1" applyFill="1" applyBorder="1" applyAlignment="1">
      <alignment vertical="center"/>
    </xf>
    <xf numFmtId="0" fontId="39" fillId="7" borderId="0" xfId="0" applyFont="1" applyFill="1" applyBorder="1" applyAlignment="1" applyProtection="1">
      <alignment horizontal="left" vertical="center"/>
      <protection hidden="1"/>
    </xf>
    <xf numFmtId="0" fontId="42" fillId="7" borderId="0" xfId="0" applyNumberFormat="1" applyFont="1" applyFill="1" applyBorder="1" applyAlignment="1" applyProtection="1">
      <alignment horizontal="left" vertical="center" wrapText="1"/>
      <protection hidden="1"/>
    </xf>
    <xf numFmtId="0" fontId="42" fillId="7" borderId="0" xfId="0" applyFont="1" applyFill="1" applyBorder="1" applyAlignment="1" applyProtection="1">
      <alignment horizontal="right" vertical="center" wrapText="1"/>
      <protection hidden="1"/>
    </xf>
    <xf numFmtId="176" fontId="42" fillId="7" borderId="0" xfId="0" applyNumberFormat="1" applyFont="1" applyFill="1" applyBorder="1" applyAlignment="1" applyProtection="1">
      <alignment horizontal="right" vertical="center" wrapText="1"/>
      <protection hidden="1"/>
    </xf>
    <xf numFmtId="176" fontId="42" fillId="7" borderId="0" xfId="0" applyNumberFormat="1" applyFont="1" applyFill="1" applyBorder="1" applyAlignment="1" applyProtection="1">
      <alignment horizontal="center" vertical="center" wrapText="1"/>
      <protection hidden="1"/>
    </xf>
    <xf numFmtId="49" fontId="42" fillId="7" borderId="0" xfId="0" applyNumberFormat="1" applyFont="1" applyFill="1" applyBorder="1" applyAlignment="1" applyProtection="1">
      <alignment horizontal="right" vertical="center"/>
      <protection hidden="1"/>
    </xf>
    <xf numFmtId="9" fontId="42" fillId="7" borderId="0" xfId="2" applyNumberFormat="1" applyFont="1" applyFill="1" applyBorder="1" applyAlignment="1" applyProtection="1">
      <alignment horizontal="right" vertical="center"/>
      <protection hidden="1"/>
    </xf>
    <xf numFmtId="0" fontId="42" fillId="7" borderId="0" xfId="0" applyFont="1" applyFill="1" applyBorder="1" applyAlignment="1">
      <alignment horizontal="right" vertical="center"/>
    </xf>
    <xf numFmtId="0" fontId="42" fillId="7" borderId="0" xfId="0" applyFont="1" applyFill="1" applyBorder="1" applyAlignment="1" applyProtection="1">
      <alignment horizontal="left" vertical="center" wrapText="1"/>
      <protection hidden="1"/>
    </xf>
    <xf numFmtId="9" fontId="42" fillId="7" borderId="0" xfId="2" applyNumberFormat="1" applyFont="1" applyFill="1" applyBorder="1" applyAlignment="1" applyProtection="1">
      <alignment horizontal="center" vertical="center"/>
      <protection hidden="1"/>
    </xf>
    <xf numFmtId="10" fontId="42" fillId="9" borderId="0" xfId="0" applyNumberFormat="1" applyFont="1" applyFill="1" applyBorder="1" applyAlignment="1">
      <alignment vertical="center"/>
    </xf>
    <xf numFmtId="9" fontId="42" fillId="9" borderId="0" xfId="2" applyNumberFormat="1" applyFont="1" applyFill="1" applyBorder="1" applyAlignment="1">
      <alignment vertical="center"/>
    </xf>
    <xf numFmtId="9" fontId="42" fillId="9" borderId="0" xfId="2" applyNumberFormat="1" applyFont="1" applyFill="1" applyBorder="1" applyAlignment="1" applyProtection="1">
      <alignment horizontal="right" vertical="center"/>
      <protection hidden="1"/>
    </xf>
    <xf numFmtId="0" fontId="40" fillId="10" borderId="0" xfId="0" applyFont="1" applyFill="1" applyBorder="1" applyAlignment="1" applyProtection="1">
      <alignment horizontal="left" vertical="center"/>
      <protection hidden="1"/>
    </xf>
    <xf numFmtId="0" fontId="40" fillId="10" borderId="0" xfId="0" applyFont="1" applyFill="1" applyBorder="1" applyAlignment="1" applyProtection="1">
      <alignment vertical="center"/>
      <protection hidden="1"/>
    </xf>
    <xf numFmtId="0" fontId="40" fillId="10" borderId="0" xfId="0" applyFont="1" applyFill="1" applyBorder="1" applyAlignment="1" applyProtection="1">
      <alignment horizontal="center" vertical="center"/>
      <protection hidden="1"/>
    </xf>
    <xf numFmtId="176" fontId="40" fillId="10" borderId="0" xfId="0" applyNumberFormat="1" applyFont="1" applyFill="1" applyBorder="1" applyAlignment="1" applyProtection="1">
      <alignment horizontal="center" vertical="center"/>
      <protection hidden="1"/>
    </xf>
    <xf numFmtId="196" fontId="40" fillId="10" borderId="0" xfId="0" applyNumberFormat="1" applyFont="1" applyFill="1" applyBorder="1" applyAlignment="1" applyProtection="1">
      <alignment horizontal="right" vertical="center"/>
      <protection hidden="1"/>
    </xf>
    <xf numFmtId="176" fontId="40" fillId="10" borderId="0" xfId="0" applyNumberFormat="1" applyFont="1" applyFill="1" applyBorder="1" applyAlignment="1" applyProtection="1">
      <alignment horizontal="left" vertical="center"/>
      <protection hidden="1"/>
    </xf>
    <xf numFmtId="49" fontId="40" fillId="10" borderId="0" xfId="0" applyNumberFormat="1" applyFont="1" applyFill="1" applyBorder="1" applyAlignment="1" applyProtection="1">
      <alignment horizontal="left" vertical="center"/>
      <protection hidden="1"/>
    </xf>
    <xf numFmtId="176" fontId="40" fillId="10" borderId="0" xfId="0" applyNumberFormat="1" applyFont="1" applyFill="1" applyBorder="1" applyAlignment="1" applyProtection="1">
      <alignment horizontal="right" vertical="center"/>
      <protection hidden="1"/>
    </xf>
    <xf numFmtId="0" fontId="42" fillId="7" borderId="0" xfId="0" applyFont="1" applyFill="1" applyBorder="1" applyAlignment="1" applyProtection="1">
      <alignment horizontal="right" vertical="center"/>
      <protection hidden="1"/>
    </xf>
    <xf numFmtId="10" fontId="42" fillId="7" borderId="0" xfId="2" applyNumberFormat="1" applyFont="1" applyFill="1" applyBorder="1" applyAlignment="1" applyProtection="1">
      <alignment horizontal="center" vertical="center"/>
      <protection hidden="1"/>
    </xf>
    <xf numFmtId="0" fontId="42" fillId="7" borderId="0" xfId="0" applyNumberFormat="1" applyFont="1" applyFill="1" applyBorder="1" applyAlignment="1" applyProtection="1">
      <alignment horizontal="center" vertical="center"/>
      <protection hidden="1"/>
    </xf>
    <xf numFmtId="0" fontId="42" fillId="7" borderId="0" xfId="0" applyFont="1" applyFill="1" applyBorder="1" applyAlignment="1" applyProtection="1">
      <alignment horizontal="center" vertical="center"/>
      <protection hidden="1"/>
    </xf>
    <xf numFmtId="0" fontId="41" fillId="7" borderId="0" xfId="0" applyFont="1" applyFill="1" applyBorder="1" applyAlignment="1" applyProtection="1">
      <alignment horizontal="center" vertical="center"/>
      <protection hidden="1"/>
    </xf>
    <xf numFmtId="183" fontId="42" fillId="7" borderId="0" xfId="0" applyNumberFormat="1" applyFont="1" applyFill="1" applyBorder="1" applyAlignment="1" applyProtection="1">
      <alignment horizontal="center" vertical="center"/>
      <protection hidden="1"/>
    </xf>
    <xf numFmtId="183" fontId="42" fillId="7" borderId="0" xfId="0" applyNumberFormat="1" applyFont="1" applyFill="1" applyBorder="1" applyAlignment="1" applyProtection="1">
      <alignment horizontal="right" vertical="center"/>
      <protection hidden="1"/>
    </xf>
    <xf numFmtId="183" fontId="41" fillId="7" borderId="0" xfId="0" applyNumberFormat="1" applyFont="1" applyFill="1" applyBorder="1" applyAlignment="1" applyProtection="1">
      <alignment horizontal="right" vertical="center"/>
      <protection hidden="1"/>
    </xf>
    <xf numFmtId="186" fontId="39" fillId="7" borderId="0" xfId="0" applyNumberFormat="1" applyFont="1" applyFill="1" applyBorder="1" applyAlignment="1" applyProtection="1">
      <alignment horizontal="left" vertical="center"/>
      <protection hidden="1"/>
    </xf>
    <xf numFmtId="10" fontId="42" fillId="7" borderId="0" xfId="2" applyNumberFormat="1" applyFont="1" applyFill="1" applyBorder="1" applyAlignment="1" applyProtection="1">
      <alignment horizontal="right" vertical="center"/>
      <protection hidden="1"/>
    </xf>
    <xf numFmtId="182" fontId="42" fillId="7" borderId="0" xfId="2" applyNumberFormat="1" applyFont="1" applyFill="1" applyBorder="1" applyAlignment="1" applyProtection="1">
      <alignment horizontal="right" vertical="center"/>
      <protection hidden="1"/>
    </xf>
    <xf numFmtId="0" fontId="42" fillId="7" borderId="0" xfId="0" applyFont="1" applyFill="1" applyBorder="1" applyAlignment="1" applyProtection="1">
      <alignment vertical="center"/>
      <protection hidden="1"/>
    </xf>
    <xf numFmtId="10" fontId="42" fillId="7" borderId="0" xfId="0" applyNumberFormat="1" applyFont="1" applyFill="1" applyBorder="1" applyAlignment="1" applyProtection="1">
      <alignment horizontal="center" vertical="center"/>
      <protection hidden="1"/>
    </xf>
    <xf numFmtId="0" fontId="45" fillId="7" borderId="0" xfId="0" applyFont="1" applyFill="1" applyBorder="1" applyAlignment="1" applyProtection="1">
      <alignment horizontal="center" vertical="center"/>
      <protection hidden="1"/>
    </xf>
    <xf numFmtId="10" fontId="45" fillId="7" borderId="0" xfId="2" applyNumberFormat="1" applyFont="1" applyFill="1" applyBorder="1" applyAlignment="1" applyProtection="1">
      <alignment horizontal="center" vertical="center"/>
      <protection hidden="1"/>
    </xf>
    <xf numFmtId="0" fontId="48" fillId="7" borderId="0" xfId="0" applyFont="1" applyFill="1" applyBorder="1" applyAlignment="1">
      <alignment horizontal="center" vertical="center"/>
    </xf>
    <xf numFmtId="182" fontId="42" fillId="7" borderId="0" xfId="2" applyNumberFormat="1" applyFont="1" applyFill="1" applyBorder="1" applyAlignment="1" applyProtection="1">
      <alignment horizontal="center" vertical="center"/>
      <protection hidden="1"/>
    </xf>
    <xf numFmtId="10" fontId="42" fillId="7" borderId="0" xfId="0" applyNumberFormat="1" applyFont="1" applyFill="1" applyBorder="1" applyAlignment="1" applyProtection="1">
      <alignment horizontal="right" vertical="center"/>
      <protection hidden="1"/>
    </xf>
    <xf numFmtId="0" fontId="40" fillId="8" borderId="0" xfId="0" applyFont="1" applyFill="1" applyBorder="1" applyAlignment="1" applyProtection="1">
      <alignment horizontal="left" vertical="center"/>
      <protection hidden="1"/>
    </xf>
    <xf numFmtId="196" fontId="42" fillId="9" borderId="0" xfId="0" applyNumberFormat="1" applyFont="1" applyFill="1" applyBorder="1" applyAlignment="1" applyProtection="1">
      <alignment horizontal="right" vertical="center"/>
      <protection hidden="1"/>
    </xf>
    <xf numFmtId="183" fontId="42" fillId="9" borderId="0" xfId="0" applyNumberFormat="1" applyFont="1" applyFill="1" applyBorder="1" applyAlignment="1" applyProtection="1">
      <alignment horizontal="right" vertical="center"/>
      <protection hidden="1"/>
    </xf>
    <xf numFmtId="196" fontId="42" fillId="7" borderId="0" xfId="0" applyNumberFormat="1" applyFont="1" applyFill="1" applyBorder="1" applyAlignment="1" applyProtection="1">
      <alignment horizontal="right" vertical="center"/>
      <protection hidden="1"/>
    </xf>
    <xf numFmtId="183" fontId="41" fillId="7" borderId="0" xfId="0" applyNumberFormat="1" applyFont="1" applyFill="1" applyBorder="1" applyAlignment="1" applyProtection="1">
      <alignment horizontal="center" vertical="center"/>
      <protection hidden="1"/>
    </xf>
    <xf numFmtId="0" fontId="51" fillId="10" borderId="0" xfId="0" applyFont="1" applyFill="1" applyBorder="1" applyAlignment="1" applyProtection="1">
      <alignment horizontal="left" vertical="center"/>
      <protection hidden="1"/>
    </xf>
    <xf numFmtId="183" fontId="40" fillId="10" borderId="0" xfId="0" applyNumberFormat="1" applyFont="1" applyFill="1" applyBorder="1" applyAlignment="1" applyProtection="1">
      <alignment horizontal="right" vertical="center"/>
      <protection hidden="1"/>
    </xf>
    <xf numFmtId="0" fontId="41" fillId="7" borderId="0" xfId="0" applyFont="1" applyFill="1" applyBorder="1" applyAlignment="1" applyProtection="1">
      <alignment horizontal="right" vertical="center"/>
      <protection hidden="1"/>
    </xf>
    <xf numFmtId="186" fontId="41" fillId="7" borderId="0" xfId="0" applyNumberFormat="1" applyFont="1" applyFill="1" applyBorder="1" applyAlignment="1" applyProtection="1">
      <alignment horizontal="right" vertical="center"/>
      <protection hidden="1"/>
    </xf>
    <xf numFmtId="0" fontId="41" fillId="7" borderId="0" xfId="0" applyFont="1" applyFill="1" applyBorder="1" applyAlignment="1" applyProtection="1">
      <alignment horizontal="left" vertical="center"/>
      <protection hidden="1"/>
    </xf>
    <xf numFmtId="9" fontId="43" fillId="7" borderId="0" xfId="0" applyNumberFormat="1" applyFont="1" applyFill="1" applyBorder="1" applyAlignment="1" applyProtection="1">
      <alignment horizontal="center" vertical="center"/>
      <protection hidden="1"/>
    </xf>
    <xf numFmtId="183" fontId="43" fillId="7" borderId="0" xfId="0" applyNumberFormat="1" applyFont="1" applyFill="1" applyBorder="1" applyAlignment="1" applyProtection="1">
      <alignment horizontal="right" vertical="center"/>
      <protection hidden="1"/>
    </xf>
    <xf numFmtId="0" fontId="43" fillId="7" borderId="0" xfId="0" applyFont="1" applyFill="1" applyBorder="1" applyAlignment="1" applyProtection="1">
      <alignment horizontal="center" vertical="center"/>
      <protection hidden="1"/>
    </xf>
    <xf numFmtId="10" fontId="43" fillId="7" borderId="0" xfId="0" applyNumberFormat="1" applyFont="1" applyFill="1" applyBorder="1" applyAlignment="1" applyProtection="1">
      <alignment horizontal="center" vertical="center"/>
      <protection hidden="1"/>
    </xf>
    <xf numFmtId="184" fontId="43" fillId="7" borderId="0" xfId="0" applyNumberFormat="1" applyFont="1" applyFill="1" applyBorder="1" applyAlignment="1" applyProtection="1">
      <alignment horizontal="center" vertical="center"/>
      <protection hidden="1"/>
    </xf>
    <xf numFmtId="10" fontId="41" fillId="7" borderId="0" xfId="0" applyNumberFormat="1" applyFont="1" applyFill="1" applyBorder="1" applyAlignment="1" applyProtection="1">
      <alignment horizontal="center" vertical="center"/>
      <protection hidden="1"/>
    </xf>
    <xf numFmtId="9" fontId="41" fillId="7" borderId="0" xfId="0" applyNumberFormat="1" applyFont="1" applyFill="1" applyBorder="1" applyAlignment="1" applyProtection="1">
      <alignment horizontal="center" vertical="center"/>
      <protection hidden="1"/>
    </xf>
    <xf numFmtId="0" fontId="40" fillId="10" borderId="0" xfId="0" applyFont="1" applyFill="1" applyBorder="1" applyAlignment="1" applyProtection="1">
      <alignment vertical="center" wrapText="1"/>
      <protection hidden="1"/>
    </xf>
    <xf numFmtId="183" fontId="48" fillId="7" borderId="0" xfId="0" applyNumberFormat="1" applyFont="1" applyFill="1" applyBorder="1" applyAlignment="1" applyProtection="1">
      <alignment horizontal="right" vertical="center"/>
      <protection hidden="1"/>
    </xf>
    <xf numFmtId="0" fontId="40" fillId="10" borderId="0" xfId="0" applyFont="1" applyFill="1" applyBorder="1" applyAlignment="1" applyProtection="1">
      <alignment horizontal="right" vertical="center"/>
      <protection hidden="1"/>
    </xf>
    <xf numFmtId="176" fontId="41" fillId="7" borderId="0" xfId="0" applyNumberFormat="1" applyFont="1" applyFill="1" applyBorder="1" applyAlignment="1" applyProtection="1">
      <alignment horizontal="right" vertical="center"/>
      <protection hidden="1"/>
    </xf>
    <xf numFmtId="49" fontId="41" fillId="7" borderId="0" xfId="0" applyNumberFormat="1" applyFont="1" applyFill="1" applyBorder="1" applyAlignment="1" applyProtection="1">
      <alignment horizontal="left" vertical="center"/>
      <protection hidden="1"/>
    </xf>
    <xf numFmtId="0" fontId="40" fillId="10" borderId="0" xfId="10" applyFont="1" applyFill="1" applyBorder="1" applyAlignment="1" applyProtection="1">
      <alignment horizontal="center" vertical="center"/>
      <protection hidden="1"/>
    </xf>
    <xf numFmtId="0" fontId="40" fillId="10" borderId="0" xfId="10" applyFont="1" applyFill="1" applyBorder="1" applyAlignment="1" applyProtection="1">
      <alignment vertical="center"/>
      <protection hidden="1"/>
    </xf>
    <xf numFmtId="0" fontId="42" fillId="7" borderId="0" xfId="10" applyFont="1" applyFill="1" applyBorder="1" applyAlignment="1" applyProtection="1">
      <alignment horizontal="center" vertical="center"/>
      <protection hidden="1"/>
    </xf>
    <xf numFmtId="183" fontId="42" fillId="7" borderId="0" xfId="10" applyNumberFormat="1" applyFont="1" applyFill="1" applyBorder="1" applyAlignment="1" applyProtection="1">
      <alignment horizontal="right" vertical="center"/>
      <protection hidden="1"/>
    </xf>
    <xf numFmtId="0" fontId="42" fillId="7" borderId="0" xfId="10" applyFont="1" applyFill="1" applyBorder="1" applyAlignment="1" applyProtection="1">
      <alignment horizontal="right" vertical="center"/>
      <protection hidden="1"/>
    </xf>
    <xf numFmtId="0" fontId="76" fillId="10" borderId="0" xfId="10" applyFont="1" applyFill="1" applyBorder="1" applyAlignment="1" applyProtection="1">
      <alignment horizontal="center" vertical="center"/>
      <protection hidden="1"/>
    </xf>
    <xf numFmtId="181" fontId="76" fillId="10" borderId="0" xfId="10" applyNumberFormat="1" applyFont="1" applyFill="1" applyBorder="1" applyAlignment="1" applyProtection="1">
      <alignment vertical="center"/>
      <protection hidden="1"/>
    </xf>
    <xf numFmtId="181" fontId="76" fillId="10" borderId="0" xfId="10" applyNumberFormat="1" applyFont="1" applyFill="1" applyBorder="1" applyAlignment="1" applyProtection="1">
      <alignment horizontal="right" vertical="center"/>
      <protection hidden="1"/>
    </xf>
    <xf numFmtId="0" fontId="76" fillId="10" borderId="0" xfId="10" applyFont="1" applyFill="1" applyBorder="1" applyAlignment="1" applyProtection="1">
      <alignment vertical="center"/>
      <protection hidden="1"/>
    </xf>
    <xf numFmtId="183" fontId="76" fillId="10" borderId="0" xfId="10" applyNumberFormat="1" applyFont="1" applyFill="1" applyBorder="1" applyAlignment="1" applyProtection="1">
      <alignment horizontal="right" vertical="center"/>
      <protection hidden="1"/>
    </xf>
    <xf numFmtId="183" fontId="42" fillId="9" borderId="0" xfId="10" applyNumberFormat="1" applyFont="1" applyFill="1" applyBorder="1" applyAlignment="1" applyProtection="1">
      <alignment horizontal="right" vertical="center"/>
      <protection hidden="1"/>
    </xf>
    <xf numFmtId="0" fontId="55" fillId="7" borderId="0" xfId="0" applyFont="1" applyFill="1" applyBorder="1" applyAlignment="1" applyProtection="1">
      <alignment horizontal="left" vertical="center"/>
      <protection hidden="1"/>
    </xf>
    <xf numFmtId="0" fontId="76" fillId="10" borderId="0" xfId="17" applyFont="1" applyFill="1" applyBorder="1" applyAlignment="1" applyProtection="1">
      <alignment horizontal="center" vertical="center"/>
      <protection hidden="1"/>
    </xf>
    <xf numFmtId="9" fontId="42" fillId="7" borderId="0" xfId="0" applyNumberFormat="1" applyFont="1" applyFill="1" applyBorder="1" applyAlignment="1" applyProtection="1">
      <alignment horizontal="left" vertical="center"/>
      <protection hidden="1"/>
    </xf>
    <xf numFmtId="0" fontId="42" fillId="4" borderId="1" xfId="0" applyFont="1" applyFill="1" applyBorder="1" applyAlignment="1">
      <alignment vertical="center"/>
    </xf>
    <xf numFmtId="0" fontId="42" fillId="0" borderId="1" xfId="0" applyFont="1" applyBorder="1" applyAlignment="1">
      <alignment horizontal="center" vertical="center" wrapText="1"/>
    </xf>
    <xf numFmtId="2" fontId="41" fillId="4" borderId="1" xfId="0" applyNumberFormat="1" applyFont="1" applyFill="1" applyBorder="1" applyAlignment="1">
      <alignment horizontal="justify" vertical="center" wrapText="1"/>
    </xf>
    <xf numFmtId="0" fontId="42" fillId="0" borderId="1" xfId="0" applyFont="1" applyBorder="1" applyAlignment="1">
      <alignment horizontal="justify" vertical="center" wrapText="1"/>
    </xf>
    <xf numFmtId="0" fontId="42" fillId="4" borderId="1" xfId="0" applyFont="1" applyFill="1" applyBorder="1" applyAlignment="1">
      <alignment horizontal="justify" vertical="center"/>
    </xf>
    <xf numFmtId="2" fontId="45" fillId="4" borderId="1" xfId="0" applyNumberFormat="1" applyFont="1" applyFill="1" applyBorder="1" applyAlignment="1">
      <alignment horizontal="justify" vertical="center" wrapText="1"/>
    </xf>
    <xf numFmtId="1" fontId="41" fillId="4" borderId="1" xfId="0" applyNumberFormat="1" applyFont="1" applyFill="1" applyBorder="1" applyAlignment="1">
      <alignment horizontal="right" vertical="center" wrapText="1"/>
    </xf>
    <xf numFmtId="2" fontId="41" fillId="4" borderId="1" xfId="0" applyNumberFormat="1" applyFont="1" applyFill="1" applyBorder="1" applyAlignment="1">
      <alignment horizontal="right" vertical="center" wrapText="1"/>
    </xf>
    <xf numFmtId="9" fontId="41" fillId="4" borderId="1" xfId="0" applyNumberFormat="1" applyFont="1" applyFill="1" applyBorder="1" applyAlignment="1">
      <alignment horizontal="right" vertical="center" wrapText="1"/>
    </xf>
    <xf numFmtId="0" fontId="42" fillId="0" borderId="1" xfId="0" applyFont="1" applyBorder="1" applyAlignment="1">
      <alignment horizontal="right"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vertical="center"/>
    </xf>
    <xf numFmtId="10" fontId="42" fillId="4" borderId="1" xfId="0" applyNumberFormat="1" applyFont="1" applyFill="1" applyBorder="1" applyAlignment="1">
      <alignment vertical="center"/>
    </xf>
    <xf numFmtId="10" fontId="42" fillId="0" borderId="1" xfId="0" applyNumberFormat="1" applyFont="1" applyBorder="1" applyAlignment="1">
      <alignment horizontal="right" vertical="center" wrapText="1"/>
    </xf>
    <xf numFmtId="176" fontId="42" fillId="0" borderId="1" xfId="0" applyNumberFormat="1" applyFont="1" applyBorder="1" applyAlignment="1">
      <alignment vertical="center" wrapText="1"/>
    </xf>
    <xf numFmtId="176" fontId="42" fillId="0" borderId="1" xfId="0" applyNumberFormat="1" applyFont="1" applyBorder="1" applyAlignment="1">
      <alignment vertical="center"/>
    </xf>
    <xf numFmtId="0" fontId="76" fillId="10" borderId="48" xfId="17" applyFont="1" applyFill="1" applyBorder="1" applyAlignment="1" applyProtection="1">
      <alignment vertical="center"/>
      <protection hidden="1"/>
    </xf>
    <xf numFmtId="0" fontId="76" fillId="10" borderId="49" xfId="17" applyFont="1" applyFill="1" applyBorder="1" applyAlignment="1" applyProtection="1">
      <alignment vertical="center"/>
      <protection hidden="1"/>
    </xf>
    <xf numFmtId="183" fontId="41" fillId="9" borderId="0" xfId="0" applyNumberFormat="1" applyFont="1" applyFill="1" applyBorder="1" applyAlignment="1" applyProtection="1">
      <alignment horizontal="right" vertical="center"/>
      <protection hidden="1"/>
    </xf>
    <xf numFmtId="0" fontId="76" fillId="10" borderId="0" xfId="0" applyFont="1" applyFill="1" applyBorder="1" applyAlignment="1" applyProtection="1">
      <alignment horizontal="left" vertical="center"/>
      <protection hidden="1"/>
    </xf>
    <xf numFmtId="0" fontId="76" fillId="10" borderId="0" xfId="0" applyFont="1" applyFill="1" applyBorder="1" applyAlignment="1">
      <alignment vertical="center"/>
    </xf>
    <xf numFmtId="49" fontId="77" fillId="7" borderId="0" xfId="0" applyNumberFormat="1" applyFont="1" applyFill="1" applyBorder="1" applyAlignment="1" applyProtection="1">
      <alignment horizontal="left" vertical="center"/>
      <protection hidden="1"/>
    </xf>
    <xf numFmtId="0" fontId="77" fillId="7" borderId="0" xfId="0" applyFont="1" applyFill="1" applyBorder="1" applyAlignment="1" applyProtection="1">
      <alignment horizontal="left" vertical="center"/>
      <protection hidden="1"/>
    </xf>
    <xf numFmtId="176" fontId="77" fillId="9" borderId="0" xfId="0" applyNumberFormat="1" applyFont="1" applyFill="1" applyBorder="1" applyAlignment="1" applyProtection="1">
      <alignment horizontal="left" vertical="center"/>
      <protection hidden="1"/>
    </xf>
    <xf numFmtId="176" fontId="77" fillId="7" borderId="0" xfId="0" applyNumberFormat="1" applyFont="1" applyFill="1" applyBorder="1" applyAlignment="1" applyProtection="1">
      <alignment horizontal="left" vertical="center"/>
      <protection hidden="1"/>
    </xf>
    <xf numFmtId="9" fontId="77" fillId="9" borderId="0" xfId="0" applyNumberFormat="1" applyFont="1" applyFill="1" applyBorder="1" applyAlignment="1" applyProtection="1">
      <alignment horizontal="left" vertical="center"/>
      <protection hidden="1"/>
    </xf>
    <xf numFmtId="9" fontId="77" fillId="9" borderId="0" xfId="2" applyFont="1" applyFill="1" applyBorder="1" applyAlignment="1" applyProtection="1">
      <alignment horizontal="left" vertical="center"/>
      <protection hidden="1"/>
    </xf>
    <xf numFmtId="0" fontId="78" fillId="10" borderId="0" xfId="0" applyFont="1" applyFill="1" applyBorder="1" applyAlignment="1" applyProtection="1">
      <alignment vertical="center"/>
      <protection hidden="1"/>
    </xf>
    <xf numFmtId="0" fontId="55" fillId="7" borderId="0" xfId="0" applyFont="1" applyFill="1" applyBorder="1" applyAlignment="1" applyProtection="1">
      <alignment vertical="center"/>
      <protection hidden="1"/>
    </xf>
    <xf numFmtId="192" fontId="55" fillId="7" borderId="0" xfId="0" applyNumberFormat="1" applyFont="1" applyFill="1" applyBorder="1" applyAlignment="1" applyProtection="1">
      <alignment horizontal="left" vertical="center"/>
      <protection hidden="1"/>
    </xf>
    <xf numFmtId="0" fontId="42" fillId="7" borderId="50" xfId="0" applyFont="1" applyFill="1" applyBorder="1" applyAlignment="1" applyProtection="1">
      <alignment horizontal="left" vertical="center"/>
      <protection hidden="1"/>
    </xf>
    <xf numFmtId="178" fontId="42" fillId="7" borderId="50" xfId="19" applyFont="1" applyFill="1" applyBorder="1" applyAlignment="1" applyProtection="1">
      <alignment horizontal="left" vertical="center"/>
      <protection hidden="1"/>
    </xf>
    <xf numFmtId="9" fontId="42" fillId="7" borderId="50" xfId="0" applyNumberFormat="1" applyFont="1" applyFill="1" applyBorder="1" applyAlignment="1" applyProtection="1">
      <alignment horizontal="left" vertical="center"/>
      <protection hidden="1"/>
    </xf>
    <xf numFmtId="0" fontId="42" fillId="7" borderId="50" xfId="0" applyFont="1" applyFill="1" applyBorder="1" applyAlignment="1">
      <alignment vertical="center"/>
    </xf>
    <xf numFmtId="0" fontId="42" fillId="7" borderId="51" xfId="0" applyFont="1" applyFill="1" applyBorder="1" applyAlignment="1" applyProtection="1">
      <alignment horizontal="left" vertical="center"/>
      <protection hidden="1"/>
    </xf>
    <xf numFmtId="0" fontId="42" fillId="7" borderId="52" xfId="0" applyFont="1" applyFill="1" applyBorder="1" applyAlignment="1" applyProtection="1">
      <alignment horizontal="left" vertical="center"/>
      <protection hidden="1"/>
    </xf>
    <xf numFmtId="0" fontId="42" fillId="7" borderId="53" xfId="0" applyFont="1" applyFill="1" applyBorder="1" applyAlignment="1" applyProtection="1">
      <alignment vertical="center"/>
      <protection hidden="1"/>
    </xf>
    <xf numFmtId="178" fontId="42" fillId="7" borderId="53" xfId="19" applyFont="1" applyFill="1" applyBorder="1" applyAlignment="1" applyProtection="1">
      <alignment horizontal="left" vertical="center"/>
      <protection hidden="1"/>
    </xf>
    <xf numFmtId="0" fontId="40" fillId="10" borderId="0" xfId="0" applyFont="1" applyFill="1" applyBorder="1" applyAlignment="1" applyProtection="1">
      <alignment horizontal="center" vertical="center"/>
      <protection hidden="1"/>
    </xf>
    <xf numFmtId="0" fontId="76" fillId="10" borderId="0" xfId="0" applyFont="1" applyFill="1" applyBorder="1" applyAlignment="1" applyProtection="1">
      <alignment horizontal="left" vertical="center"/>
      <protection hidden="1"/>
    </xf>
    <xf numFmtId="9" fontId="42" fillId="7" borderId="50" xfId="0" applyNumberFormat="1" applyFont="1" applyFill="1" applyBorder="1" applyAlignment="1" applyProtection="1">
      <alignment horizontal="right" vertical="center"/>
      <protection hidden="1"/>
    </xf>
    <xf numFmtId="183" fontId="42" fillId="7" borderId="50" xfId="0" applyNumberFormat="1" applyFont="1" applyFill="1" applyBorder="1" applyAlignment="1" applyProtection="1">
      <alignment horizontal="right" vertical="center"/>
      <protection hidden="1"/>
    </xf>
    <xf numFmtId="10" fontId="42" fillId="7" borderId="51" xfId="0" applyNumberFormat="1" applyFont="1" applyFill="1" applyBorder="1" applyAlignment="1" applyProtection="1">
      <alignment horizontal="right" vertical="center"/>
      <protection hidden="1"/>
    </xf>
    <xf numFmtId="0" fontId="42" fillId="7" borderId="50" xfId="0" applyFont="1" applyFill="1" applyBorder="1" applyAlignment="1" applyProtection="1">
      <alignment horizontal="right" vertical="center"/>
      <protection hidden="1"/>
    </xf>
    <xf numFmtId="10" fontId="42" fillId="7" borderId="50" xfId="0" applyNumberFormat="1" applyFont="1" applyFill="1" applyBorder="1" applyAlignment="1" applyProtection="1">
      <alignment horizontal="right" vertical="center"/>
      <protection hidden="1"/>
    </xf>
    <xf numFmtId="183" fontId="42" fillId="7" borderId="54" xfId="0" applyNumberFormat="1" applyFont="1" applyFill="1" applyBorder="1" applyAlignment="1" applyProtection="1">
      <alignment horizontal="right" vertical="center"/>
      <protection hidden="1"/>
    </xf>
    <xf numFmtId="0" fontId="42" fillId="7" borderId="50" xfId="0" applyFont="1" applyFill="1" applyBorder="1" applyAlignment="1" applyProtection="1">
      <alignment vertical="center"/>
      <protection hidden="1"/>
    </xf>
    <xf numFmtId="0" fontId="55" fillId="7" borderId="55" xfId="0" applyFont="1" applyFill="1" applyBorder="1" applyAlignment="1" applyProtection="1">
      <alignment vertical="center"/>
      <protection hidden="1"/>
    </xf>
    <xf numFmtId="10" fontId="42" fillId="7" borderId="51" xfId="0" applyNumberFormat="1" applyFont="1" applyFill="1" applyBorder="1" applyAlignment="1" applyProtection="1">
      <alignment vertical="center"/>
      <protection hidden="1"/>
    </xf>
    <xf numFmtId="0" fontId="42" fillId="7" borderId="54" xfId="0" applyFont="1" applyFill="1" applyBorder="1" applyAlignment="1" applyProtection="1">
      <alignment horizontal="left" vertical="center"/>
      <protection hidden="1"/>
    </xf>
    <xf numFmtId="0" fontId="42" fillId="7" borderId="56" xfId="0" applyFont="1" applyFill="1" applyBorder="1" applyAlignment="1" applyProtection="1">
      <alignment horizontal="left" vertical="center"/>
      <protection hidden="1"/>
    </xf>
    <xf numFmtId="0" fontId="42" fillId="7" borderId="57" xfId="0" applyFont="1" applyFill="1" applyBorder="1" applyAlignment="1" applyProtection="1">
      <alignment horizontal="left" vertical="center"/>
      <protection hidden="1"/>
    </xf>
    <xf numFmtId="0" fontId="42" fillId="7" borderId="54" xfId="0" applyFont="1" applyFill="1" applyBorder="1" applyAlignment="1">
      <alignment vertical="center"/>
    </xf>
    <xf numFmtId="0" fontId="76" fillId="10" borderId="58" xfId="17" applyFont="1" applyFill="1" applyBorder="1" applyAlignment="1" applyProtection="1">
      <alignment vertical="center"/>
      <protection hidden="1"/>
    </xf>
    <xf numFmtId="0" fontId="76" fillId="10" borderId="59" xfId="17" applyFont="1" applyFill="1" applyBorder="1" applyAlignment="1" applyProtection="1">
      <alignment horizontal="center" vertical="center"/>
      <protection hidden="1"/>
    </xf>
    <xf numFmtId="0" fontId="76" fillId="10" borderId="60" xfId="17" applyFont="1" applyFill="1" applyBorder="1" applyAlignment="1" applyProtection="1">
      <alignment horizontal="center" vertical="center"/>
      <protection hidden="1"/>
    </xf>
    <xf numFmtId="0" fontId="42" fillId="7" borderId="50" xfId="17" applyFont="1" applyFill="1" applyBorder="1" applyAlignment="1" applyProtection="1">
      <alignment horizontal="left" vertical="center"/>
      <protection hidden="1"/>
    </xf>
    <xf numFmtId="0" fontId="42" fillId="7" borderId="50" xfId="17" applyFont="1" applyFill="1" applyBorder="1" applyAlignment="1" applyProtection="1">
      <alignment vertical="center"/>
      <protection hidden="1"/>
    </xf>
    <xf numFmtId="0" fontId="42" fillId="7" borderId="50" xfId="17" applyFont="1" applyFill="1" applyBorder="1" applyAlignment="1" applyProtection="1">
      <alignment vertical="center" wrapText="1"/>
      <protection hidden="1"/>
    </xf>
    <xf numFmtId="184" fontId="41" fillId="7" borderId="50" xfId="17" applyNumberFormat="1" applyFont="1" applyFill="1" applyBorder="1" applyAlignment="1" applyProtection="1">
      <alignment horizontal="right" vertical="center"/>
      <protection hidden="1"/>
    </xf>
    <xf numFmtId="184" fontId="41" fillId="7" borderId="50" xfId="17" applyNumberFormat="1" applyFont="1" applyFill="1" applyBorder="1" applyAlignment="1" applyProtection="1">
      <alignment horizontal="left" vertical="center"/>
      <protection hidden="1"/>
    </xf>
    <xf numFmtId="2" fontId="42" fillId="7" borderId="50" xfId="0" applyNumberFormat="1" applyFont="1" applyFill="1" applyBorder="1" applyAlignment="1" applyProtection="1">
      <alignment horizontal="right" vertical="center"/>
      <protection hidden="1"/>
    </xf>
    <xf numFmtId="2" fontId="42" fillId="7" borderId="50" xfId="0" applyNumberFormat="1" applyFont="1" applyFill="1" applyBorder="1" applyAlignment="1" applyProtection="1">
      <alignment horizontal="left" vertical="center"/>
      <protection hidden="1"/>
    </xf>
    <xf numFmtId="0" fontId="42" fillId="7" borderId="50" xfId="17" applyNumberFormat="1" applyFont="1" applyFill="1" applyBorder="1" applyAlignment="1" applyProtection="1">
      <alignment horizontal="right" vertical="center"/>
      <protection hidden="1"/>
    </xf>
    <xf numFmtId="0" fontId="42" fillId="7" borderId="50" xfId="17" applyNumberFormat="1" applyFont="1" applyFill="1" applyBorder="1" applyAlignment="1" applyProtection="1">
      <alignment horizontal="left" vertical="center"/>
      <protection hidden="1"/>
    </xf>
    <xf numFmtId="187" fontId="42" fillId="7" borderId="50" xfId="17" applyNumberFormat="1" applyFont="1" applyFill="1" applyBorder="1" applyAlignment="1" applyProtection="1">
      <alignment horizontal="right" vertical="center"/>
      <protection hidden="1"/>
    </xf>
    <xf numFmtId="187" fontId="42" fillId="7" borderId="50" xfId="17" applyNumberFormat="1" applyFont="1" applyFill="1" applyBorder="1" applyAlignment="1" applyProtection="1">
      <alignment horizontal="left" vertical="center"/>
      <protection hidden="1"/>
    </xf>
    <xf numFmtId="9" fontId="42" fillId="9" borderId="50" xfId="16" applyNumberFormat="1" applyFont="1" applyFill="1" applyBorder="1" applyAlignment="1" applyProtection="1">
      <alignment horizontal="right" vertical="center"/>
      <protection hidden="1"/>
    </xf>
    <xf numFmtId="9" fontId="42" fillId="7" borderId="50" xfId="16" applyNumberFormat="1" applyFont="1" applyFill="1" applyBorder="1" applyAlignment="1" applyProtection="1">
      <alignment horizontal="right" vertical="center"/>
      <protection hidden="1"/>
    </xf>
    <xf numFmtId="9" fontId="42" fillId="7" borderId="50" xfId="16" applyNumberFormat="1" applyFont="1" applyFill="1" applyBorder="1" applyAlignment="1" applyProtection="1">
      <alignment horizontal="left" vertical="center"/>
      <protection hidden="1"/>
    </xf>
    <xf numFmtId="9" fontId="42" fillId="7" borderId="50" xfId="17" applyNumberFormat="1" applyFont="1" applyFill="1" applyBorder="1" applyAlignment="1" applyProtection="1">
      <alignment horizontal="left" vertical="center"/>
      <protection hidden="1"/>
    </xf>
    <xf numFmtId="0" fontId="42" fillId="7" borderId="50" xfId="2" applyNumberFormat="1" applyFont="1" applyFill="1" applyBorder="1" applyAlignment="1" applyProtection="1">
      <alignment horizontal="right" vertical="center"/>
      <protection hidden="1"/>
    </xf>
    <xf numFmtId="0" fontId="42" fillId="7" borderId="50" xfId="2" applyNumberFormat="1" applyFont="1" applyFill="1" applyBorder="1" applyAlignment="1" applyProtection="1">
      <alignment horizontal="left" vertical="center"/>
      <protection hidden="1"/>
    </xf>
    <xf numFmtId="9" fontId="42" fillId="7" borderId="50" xfId="17" applyNumberFormat="1" applyFont="1" applyFill="1" applyBorder="1" applyAlignment="1" applyProtection="1">
      <alignment horizontal="right" vertical="center"/>
      <protection hidden="1"/>
    </xf>
    <xf numFmtId="186" fontId="42" fillId="7" borderId="50" xfId="17" applyNumberFormat="1" applyFont="1" applyFill="1" applyBorder="1" applyAlignment="1" applyProtection="1">
      <alignment horizontal="right" vertical="center"/>
      <protection hidden="1"/>
    </xf>
    <xf numFmtId="186" fontId="42" fillId="7" borderId="50" xfId="17" applyNumberFormat="1" applyFont="1" applyFill="1" applyBorder="1" applyAlignment="1" applyProtection="1">
      <alignment horizontal="left" vertical="center"/>
      <protection hidden="1"/>
    </xf>
    <xf numFmtId="9" fontId="42" fillId="7" borderId="50" xfId="2" applyFont="1" applyFill="1" applyBorder="1" applyAlignment="1" applyProtection="1">
      <alignment horizontal="right" vertical="center"/>
      <protection hidden="1"/>
    </xf>
    <xf numFmtId="9" fontId="42" fillId="7" borderId="50" xfId="2" applyFont="1" applyFill="1" applyBorder="1" applyAlignment="1" applyProtection="1">
      <alignment horizontal="left" vertical="center"/>
      <protection hidden="1"/>
    </xf>
    <xf numFmtId="9" fontId="42" fillId="9" borderId="50" xfId="2" applyFont="1" applyFill="1" applyBorder="1" applyAlignment="1" applyProtection="1">
      <alignment horizontal="right" vertical="center"/>
      <protection hidden="1"/>
    </xf>
    <xf numFmtId="0" fontId="42" fillId="7" borderId="54" xfId="17" applyFont="1" applyFill="1" applyBorder="1" applyAlignment="1" applyProtection="1">
      <alignment horizontal="left" vertical="center"/>
      <protection hidden="1"/>
    </xf>
    <xf numFmtId="0" fontId="42" fillId="7" borderId="57" xfId="17" applyFont="1" applyFill="1" applyBorder="1" applyAlignment="1" applyProtection="1">
      <alignment horizontal="right" vertical="center"/>
      <protection hidden="1"/>
    </xf>
    <xf numFmtId="9" fontId="42" fillId="7" borderId="56" xfId="2" applyFont="1" applyFill="1" applyBorder="1" applyAlignment="1" applyProtection="1">
      <alignment horizontal="right" vertical="center"/>
      <protection hidden="1"/>
    </xf>
    <xf numFmtId="9" fontId="42" fillId="7" borderId="56" xfId="2" applyFont="1" applyFill="1" applyBorder="1" applyAlignment="1" applyProtection="1">
      <alignment horizontal="left" vertical="center"/>
      <protection hidden="1"/>
    </xf>
    <xf numFmtId="9" fontId="42" fillId="7" borderId="56" xfId="17" applyNumberFormat="1" applyFont="1" applyFill="1" applyBorder="1" applyAlignment="1" applyProtection="1">
      <alignment horizontal="left" vertical="center"/>
      <protection hidden="1"/>
    </xf>
    <xf numFmtId="9" fontId="42" fillId="0" borderId="54" xfId="2" applyFont="1" applyFill="1" applyBorder="1" applyAlignment="1" applyProtection="1">
      <alignment horizontal="right" vertical="center"/>
      <protection hidden="1"/>
    </xf>
    <xf numFmtId="9" fontId="42" fillId="7" borderId="54" xfId="2" applyFont="1" applyFill="1" applyBorder="1" applyAlignment="1" applyProtection="1">
      <alignment horizontal="right" vertical="center"/>
      <protection hidden="1"/>
    </xf>
    <xf numFmtId="9" fontId="42" fillId="7" borderId="54" xfId="2" applyFont="1" applyFill="1" applyBorder="1" applyAlignment="1" applyProtection="1">
      <alignment horizontal="left" vertical="center"/>
      <protection hidden="1"/>
    </xf>
    <xf numFmtId="9" fontId="42" fillId="7" borderId="54" xfId="17" applyNumberFormat="1" applyFont="1" applyFill="1" applyBorder="1" applyAlignment="1" applyProtection="1">
      <alignment horizontal="left" vertical="center"/>
      <protection hidden="1"/>
    </xf>
    <xf numFmtId="182" fontId="42" fillId="9" borderId="57" xfId="0" applyNumberFormat="1" applyFont="1" applyFill="1" applyBorder="1" applyAlignment="1" applyProtection="1">
      <alignment vertical="center"/>
      <protection hidden="1"/>
    </xf>
    <xf numFmtId="9" fontId="42" fillId="7" borderId="57" xfId="2" applyFont="1" applyFill="1" applyBorder="1" applyAlignment="1" applyProtection="1">
      <alignment horizontal="right" vertical="center"/>
      <protection hidden="1"/>
    </xf>
    <xf numFmtId="9" fontId="42" fillId="7" borderId="57" xfId="2" applyFont="1" applyFill="1" applyBorder="1" applyAlignment="1" applyProtection="1">
      <alignment horizontal="left" vertical="center"/>
      <protection hidden="1"/>
    </xf>
    <xf numFmtId="9" fontId="42" fillId="7" borderId="57" xfId="17" applyNumberFormat="1" applyFont="1" applyFill="1" applyBorder="1" applyAlignment="1" applyProtection="1">
      <alignment horizontal="left" vertical="center"/>
      <protection hidden="1"/>
    </xf>
    <xf numFmtId="0" fontId="42" fillId="9" borderId="56" xfId="17" applyNumberFormat="1" applyFont="1" applyFill="1" applyBorder="1" applyAlignment="1" applyProtection="1">
      <alignment horizontal="right" vertical="center"/>
      <protection hidden="1"/>
    </xf>
    <xf numFmtId="10" fontId="42" fillId="7" borderId="56" xfId="0" applyNumberFormat="1" applyFont="1" applyFill="1" applyBorder="1" applyAlignment="1" applyProtection="1">
      <alignment horizontal="left" vertical="center"/>
      <protection hidden="1"/>
    </xf>
    <xf numFmtId="185" fontId="42" fillId="7" borderId="54" xfId="17" applyNumberFormat="1" applyFont="1" applyFill="1" applyBorder="1" applyAlignment="1" applyProtection="1">
      <alignment horizontal="right" vertical="center"/>
      <protection hidden="1"/>
    </xf>
    <xf numFmtId="185" fontId="42" fillId="7" borderId="54" xfId="17" applyNumberFormat="1" applyFont="1" applyFill="1" applyBorder="1" applyAlignment="1" applyProtection="1">
      <alignment horizontal="left" vertical="center"/>
      <protection hidden="1"/>
    </xf>
    <xf numFmtId="10" fontId="42" fillId="7" borderId="54" xfId="0" applyNumberFormat="1" applyFont="1" applyFill="1" applyBorder="1" applyAlignment="1" applyProtection="1">
      <alignment horizontal="left" vertical="center"/>
      <protection hidden="1"/>
    </xf>
    <xf numFmtId="10" fontId="42" fillId="9" borderId="56" xfId="17" applyNumberFormat="1" applyFont="1" applyFill="1" applyBorder="1" applyAlignment="1" applyProtection="1">
      <alignment horizontal="right" vertical="center"/>
      <protection hidden="1"/>
    </xf>
    <xf numFmtId="10" fontId="42" fillId="7" borderId="57" xfId="17" applyNumberFormat="1" applyFont="1" applyFill="1" applyBorder="1" applyAlignment="1" applyProtection="1">
      <alignment horizontal="right" vertical="center"/>
      <protection hidden="1"/>
    </xf>
    <xf numFmtId="0" fontId="42" fillId="9" borderId="57" xfId="17" applyNumberFormat="1" applyFont="1" applyFill="1" applyBorder="1" applyAlignment="1" applyProtection="1">
      <alignment horizontal="right" vertical="center"/>
      <protection hidden="1"/>
    </xf>
    <xf numFmtId="10" fontId="42" fillId="7" borderId="57" xfId="0" applyNumberFormat="1" applyFont="1" applyFill="1" applyBorder="1" applyAlignment="1" applyProtection="1">
      <alignment horizontal="left" vertical="center"/>
      <protection hidden="1"/>
    </xf>
    <xf numFmtId="10" fontId="42" fillId="9" borderId="57" xfId="17" applyNumberFormat="1" applyFont="1" applyFill="1" applyBorder="1" applyAlignment="1" applyProtection="1">
      <alignment horizontal="right" vertical="center"/>
      <protection hidden="1"/>
    </xf>
    <xf numFmtId="0" fontId="42" fillId="7" borderId="51" xfId="17" applyFont="1" applyFill="1" applyBorder="1" applyAlignment="1" applyProtection="1">
      <alignment horizontal="left" vertical="center"/>
      <protection hidden="1"/>
    </xf>
    <xf numFmtId="0" fontId="42" fillId="7" borderId="52" xfId="17" applyFont="1" applyFill="1" applyBorder="1" applyAlignment="1" applyProtection="1">
      <alignment vertical="center"/>
      <protection hidden="1"/>
    </xf>
    <xf numFmtId="0" fontId="42" fillId="7" borderId="53" xfId="17" applyFont="1" applyFill="1" applyBorder="1" applyAlignment="1" applyProtection="1">
      <alignment vertical="center"/>
      <protection hidden="1"/>
    </xf>
    <xf numFmtId="0" fontId="76" fillId="10" borderId="59" xfId="17" applyFont="1" applyFill="1" applyBorder="1" applyAlignment="1" applyProtection="1">
      <alignment vertical="center"/>
      <protection hidden="1"/>
    </xf>
    <xf numFmtId="0" fontId="76" fillId="10" borderId="60" xfId="17" applyFont="1" applyFill="1" applyBorder="1" applyAlignment="1" applyProtection="1">
      <alignment vertical="center"/>
      <protection hidden="1"/>
    </xf>
    <xf numFmtId="0" fontId="76" fillId="10" borderId="0" xfId="17" applyFont="1" applyFill="1" applyBorder="1" applyAlignment="1" applyProtection="1">
      <alignment vertical="center"/>
      <protection hidden="1"/>
    </xf>
    <xf numFmtId="0" fontId="79" fillId="10" borderId="0" xfId="0" applyFont="1" applyFill="1" applyBorder="1" applyAlignment="1" applyProtection="1">
      <alignment vertical="center" wrapText="1"/>
      <protection hidden="1"/>
    </xf>
    <xf numFmtId="0" fontId="76" fillId="10" borderId="0" xfId="0" applyFont="1" applyFill="1" applyAlignment="1" applyProtection="1">
      <alignment vertical="center"/>
      <protection hidden="1"/>
    </xf>
    <xf numFmtId="0" fontId="42" fillId="7" borderId="0" xfId="0" applyFont="1" applyFill="1" applyAlignment="1" applyProtection="1">
      <alignment horizontal="left" vertical="center"/>
      <protection hidden="1"/>
    </xf>
    <xf numFmtId="0" fontId="79" fillId="10" borderId="0" xfId="0" applyFont="1" applyFill="1" applyAlignment="1" applyProtection="1">
      <alignment horizontal="left" vertical="center"/>
      <protection hidden="1"/>
    </xf>
    <xf numFmtId="183" fontId="42" fillId="7" borderId="0" xfId="0" applyNumberFormat="1" applyFont="1" applyFill="1" applyBorder="1" applyAlignment="1" applyProtection="1">
      <alignment horizontal="left" vertical="center"/>
      <protection hidden="1"/>
    </xf>
    <xf numFmtId="10" fontId="42" fillId="7" borderId="0" xfId="2" applyNumberFormat="1" applyFont="1" applyFill="1" applyBorder="1" applyAlignment="1" applyProtection="1">
      <alignment horizontal="left" vertical="center"/>
      <protection hidden="1"/>
    </xf>
    <xf numFmtId="183" fontId="42" fillId="7" borderId="61" xfId="0" applyNumberFormat="1" applyFont="1" applyFill="1" applyBorder="1" applyAlignment="1" applyProtection="1">
      <alignment horizontal="right" vertical="center" wrapText="1"/>
      <protection hidden="1"/>
    </xf>
    <xf numFmtId="183" fontId="42" fillId="7" borderId="62" xfId="0" applyNumberFormat="1" applyFont="1" applyFill="1" applyBorder="1" applyAlignment="1" applyProtection="1">
      <alignment horizontal="right" vertical="center" wrapText="1"/>
      <protection hidden="1"/>
    </xf>
    <xf numFmtId="183" fontId="42" fillId="7" borderId="63" xfId="0" applyNumberFormat="1" applyFont="1" applyFill="1" applyBorder="1" applyAlignment="1" applyProtection="1">
      <alignment horizontal="right" vertical="center" wrapText="1"/>
      <protection hidden="1"/>
    </xf>
    <xf numFmtId="183" fontId="42" fillId="7" borderId="56" xfId="0" applyNumberFormat="1" applyFont="1" applyFill="1" applyBorder="1" applyAlignment="1" applyProtection="1">
      <alignment horizontal="right" vertical="center"/>
      <protection hidden="1"/>
    </xf>
    <xf numFmtId="183" fontId="42" fillId="7" borderId="57" xfId="0" applyNumberFormat="1" applyFont="1" applyFill="1" applyBorder="1" applyAlignment="1" applyProtection="1">
      <alignment horizontal="right" vertical="center"/>
      <protection hidden="1"/>
    </xf>
    <xf numFmtId="183" fontId="42" fillId="7" borderId="61" xfId="0" applyNumberFormat="1" applyFont="1" applyFill="1" applyBorder="1" applyAlignment="1" applyProtection="1">
      <alignment horizontal="right" vertical="center"/>
      <protection hidden="1"/>
    </xf>
    <xf numFmtId="183" fontId="42" fillId="7" borderId="62" xfId="0" applyNumberFormat="1" applyFont="1" applyFill="1" applyBorder="1" applyAlignment="1" applyProtection="1">
      <alignment horizontal="right" vertical="center"/>
      <protection hidden="1"/>
    </xf>
    <xf numFmtId="183" fontId="42" fillId="7" borderId="63" xfId="0" applyNumberFormat="1" applyFont="1" applyFill="1" applyBorder="1" applyAlignment="1" applyProtection="1">
      <alignment horizontal="right" vertical="center"/>
      <protection hidden="1"/>
    </xf>
    <xf numFmtId="10" fontId="42" fillId="7" borderId="63" xfId="0" applyNumberFormat="1" applyFont="1" applyFill="1" applyBorder="1" applyAlignment="1" applyProtection="1">
      <alignment horizontal="right" vertical="center"/>
      <protection hidden="1"/>
    </xf>
    <xf numFmtId="10" fontId="42" fillId="7" borderId="61" xfId="0" applyNumberFormat="1" applyFont="1" applyFill="1" applyBorder="1" applyAlignment="1" applyProtection="1">
      <alignment horizontal="right" vertical="center"/>
      <protection hidden="1"/>
    </xf>
    <xf numFmtId="10" fontId="42" fillId="7" borderId="62" xfId="0" applyNumberFormat="1" applyFont="1" applyFill="1" applyBorder="1" applyAlignment="1" applyProtection="1">
      <alignment horizontal="right" vertical="center"/>
      <protection hidden="1"/>
    </xf>
    <xf numFmtId="184" fontId="42" fillId="7" borderId="63" xfId="0" applyNumberFormat="1" applyFont="1" applyFill="1" applyBorder="1" applyAlignment="1" applyProtection="1">
      <alignment horizontal="right" vertical="center"/>
      <protection hidden="1"/>
    </xf>
    <xf numFmtId="9" fontId="42" fillId="7" borderId="62" xfId="0" applyNumberFormat="1" applyFont="1" applyFill="1" applyBorder="1" applyAlignment="1" applyProtection="1">
      <alignment horizontal="right" vertical="center" wrapText="1"/>
      <protection hidden="1"/>
    </xf>
    <xf numFmtId="184" fontId="42" fillId="7" borderId="62" xfId="0" applyNumberFormat="1" applyFont="1" applyFill="1" applyBorder="1" applyAlignment="1" applyProtection="1">
      <alignment horizontal="right" vertical="center"/>
      <protection hidden="1"/>
    </xf>
    <xf numFmtId="183" fontId="42" fillId="7" borderId="64" xfId="0" applyNumberFormat="1" applyFont="1" applyFill="1" applyBorder="1" applyAlignment="1" applyProtection="1">
      <alignment vertical="center"/>
      <protection hidden="1"/>
    </xf>
    <xf numFmtId="183" fontId="42" fillId="7" borderId="55" xfId="0" applyNumberFormat="1" applyFont="1" applyFill="1" applyBorder="1" applyAlignment="1" applyProtection="1">
      <alignment vertical="center"/>
      <protection hidden="1"/>
    </xf>
    <xf numFmtId="183" fontId="42" fillId="7" borderId="65" xfId="0" applyNumberFormat="1" applyFont="1" applyFill="1" applyBorder="1" applyAlignment="1" applyProtection="1">
      <alignment vertical="center"/>
      <protection hidden="1"/>
    </xf>
    <xf numFmtId="183" fontId="42" fillId="7" borderId="0" xfId="0" applyNumberFormat="1" applyFont="1" applyFill="1" applyBorder="1" applyAlignment="1" applyProtection="1">
      <alignment vertical="center"/>
      <protection hidden="1"/>
    </xf>
    <xf numFmtId="183" fontId="42" fillId="7" borderId="66" xfId="0" applyNumberFormat="1" applyFont="1" applyFill="1" applyBorder="1" applyAlignment="1" applyProtection="1">
      <alignment vertical="center"/>
      <protection hidden="1"/>
    </xf>
    <xf numFmtId="183" fontId="42" fillId="7" borderId="67" xfId="0" applyNumberFormat="1" applyFont="1" applyFill="1" applyBorder="1" applyAlignment="1" applyProtection="1">
      <alignment vertical="center"/>
      <protection hidden="1"/>
    </xf>
    <xf numFmtId="0" fontId="42" fillId="7" borderId="66" xfId="0" applyFont="1" applyFill="1" applyBorder="1" applyAlignment="1" applyProtection="1">
      <alignment horizontal="left" vertical="center"/>
      <protection hidden="1"/>
    </xf>
    <xf numFmtId="0" fontId="42" fillId="7" borderId="63" xfId="0" applyFont="1" applyFill="1" applyBorder="1" applyAlignment="1" applyProtection="1">
      <alignment horizontal="left" vertical="center"/>
      <protection hidden="1"/>
    </xf>
    <xf numFmtId="0" fontId="76" fillId="10" borderId="0" xfId="0" applyFont="1" applyFill="1" applyAlignment="1" applyProtection="1">
      <alignment horizontal="left" vertical="center"/>
      <protection hidden="1"/>
    </xf>
    <xf numFmtId="0" fontId="79" fillId="10" borderId="0" xfId="0" applyFont="1" applyFill="1" applyBorder="1" applyAlignment="1" applyProtection="1">
      <alignment horizontal="left" vertical="center"/>
      <protection hidden="1"/>
    </xf>
    <xf numFmtId="0" fontId="76" fillId="10" borderId="0" xfId="0" applyFont="1" applyFill="1" applyBorder="1" applyAlignment="1" applyProtection="1">
      <alignment horizontal="right" vertical="center"/>
      <protection hidden="1"/>
    </xf>
    <xf numFmtId="0" fontId="76" fillId="10" borderId="66" xfId="17" applyFont="1" applyFill="1" applyBorder="1" applyAlignment="1" applyProtection="1">
      <alignment horizontal="center" vertical="center"/>
      <protection hidden="1"/>
    </xf>
    <xf numFmtId="176" fontId="42" fillId="7" borderId="0" xfId="2" applyNumberFormat="1" applyFont="1" applyFill="1" applyBorder="1" applyAlignment="1" applyProtection="1">
      <alignment horizontal="right" vertical="center"/>
      <protection hidden="1"/>
    </xf>
    <xf numFmtId="2" fontId="42" fillId="7" borderId="0" xfId="0" applyNumberFormat="1" applyFont="1" applyFill="1" applyBorder="1" applyAlignment="1">
      <alignment vertical="center"/>
    </xf>
    <xf numFmtId="0" fontId="39" fillId="7" borderId="50" xfId="0" applyFont="1" applyFill="1" applyBorder="1" applyAlignment="1" applyProtection="1">
      <alignment horizontal="center" vertical="center"/>
      <protection hidden="1"/>
    </xf>
    <xf numFmtId="186" fontId="39" fillId="7" borderId="50" xfId="0" applyNumberFormat="1" applyFont="1" applyFill="1" applyBorder="1" applyAlignment="1" applyProtection="1">
      <alignment horizontal="center" vertical="center"/>
      <protection hidden="1"/>
    </xf>
    <xf numFmtId="0" fontId="39" fillId="7" borderId="50" xfId="0" applyFont="1" applyFill="1" applyBorder="1" applyAlignment="1" applyProtection="1">
      <alignment horizontal="left" vertical="center"/>
      <protection hidden="1"/>
    </xf>
    <xf numFmtId="183" fontId="39" fillId="7" borderId="50" xfId="0" applyNumberFormat="1" applyFont="1" applyFill="1" applyBorder="1" applyAlignment="1" applyProtection="1">
      <alignment horizontal="right" vertical="center"/>
      <protection hidden="1"/>
    </xf>
    <xf numFmtId="183" fontId="42" fillId="7" borderId="50" xfId="0" applyNumberFormat="1" applyFont="1" applyFill="1" applyBorder="1" applyAlignment="1" applyProtection="1">
      <alignment horizontal="center" vertical="center"/>
      <protection hidden="1"/>
    </xf>
    <xf numFmtId="0" fontId="42" fillId="7" borderId="50" xfId="0" applyFont="1" applyFill="1" applyBorder="1" applyAlignment="1" applyProtection="1">
      <alignment horizontal="center" vertical="center"/>
      <protection hidden="1"/>
    </xf>
    <xf numFmtId="10" fontId="42" fillId="9" borderId="50" xfId="0" applyNumberFormat="1" applyFont="1" applyFill="1" applyBorder="1" applyAlignment="1" applyProtection="1">
      <alignment vertical="center"/>
      <protection hidden="1"/>
    </xf>
    <xf numFmtId="10" fontId="42" fillId="7" borderId="50" xfId="0" applyNumberFormat="1" applyFont="1" applyFill="1" applyBorder="1" applyAlignment="1" applyProtection="1">
      <alignment vertical="center"/>
      <protection hidden="1"/>
    </xf>
    <xf numFmtId="184" fontId="44" fillId="7" borderId="50" xfId="0" applyNumberFormat="1" applyFont="1" applyFill="1" applyBorder="1" applyAlignment="1" applyProtection="1">
      <alignment horizontal="center" vertical="center"/>
      <protection hidden="1"/>
    </xf>
    <xf numFmtId="0" fontId="39" fillId="7" borderId="54" xfId="0" applyFont="1" applyFill="1" applyBorder="1" applyAlignment="1" applyProtection="1">
      <alignment horizontal="left" vertical="center"/>
      <protection hidden="1"/>
    </xf>
    <xf numFmtId="0" fontId="42" fillId="7" borderId="56" xfId="0" applyFont="1" applyFill="1" applyBorder="1" applyAlignment="1" applyProtection="1">
      <alignment horizontal="right" vertical="center"/>
      <protection hidden="1"/>
    </xf>
    <xf numFmtId="183" fontId="39" fillId="7" borderId="54" xfId="0" applyNumberFormat="1" applyFont="1" applyFill="1" applyBorder="1" applyAlignment="1" applyProtection="1">
      <alignment horizontal="right" vertical="center"/>
      <protection hidden="1"/>
    </xf>
    <xf numFmtId="184" fontId="42" fillId="7" borderId="56" xfId="0" applyNumberFormat="1" applyFont="1" applyFill="1" applyBorder="1" applyAlignment="1" applyProtection="1">
      <alignment vertical="center"/>
      <protection hidden="1"/>
    </xf>
    <xf numFmtId="183" fontId="44" fillId="7" borderId="56" xfId="0" applyNumberFormat="1" applyFont="1" applyFill="1" applyBorder="1" applyAlignment="1" applyProtection="1">
      <alignment horizontal="right" vertical="center"/>
      <protection hidden="1"/>
    </xf>
    <xf numFmtId="181" fontId="44" fillId="7" borderId="56" xfId="0" applyNumberFormat="1" applyFont="1" applyFill="1" applyBorder="1" applyAlignment="1" applyProtection="1">
      <alignment vertical="center"/>
      <protection hidden="1"/>
    </xf>
    <xf numFmtId="0" fontId="42" fillId="7" borderId="57" xfId="0" applyFont="1" applyFill="1" applyBorder="1" applyAlignment="1" applyProtection="1">
      <alignment horizontal="right" vertical="center"/>
      <protection hidden="1"/>
    </xf>
    <xf numFmtId="0" fontId="46" fillId="7" borderId="57" xfId="0" applyFont="1" applyFill="1" applyBorder="1" applyAlignment="1" applyProtection="1">
      <alignment horizontal="right" vertical="center"/>
      <protection hidden="1"/>
    </xf>
    <xf numFmtId="183" fontId="41" fillId="7" borderId="57" xfId="0" applyNumberFormat="1" applyFont="1" applyFill="1" applyBorder="1" applyAlignment="1" applyProtection="1">
      <alignment horizontal="right" vertical="center"/>
      <protection hidden="1"/>
    </xf>
    <xf numFmtId="183" fontId="47" fillId="7" borderId="57" xfId="0" applyNumberFormat="1" applyFont="1" applyFill="1" applyBorder="1" applyAlignment="1" applyProtection="1">
      <alignment horizontal="right" vertical="center"/>
      <protection hidden="1"/>
    </xf>
    <xf numFmtId="0" fontId="42" fillId="7" borderId="57" xfId="0" applyFont="1" applyFill="1" applyBorder="1" applyAlignment="1" applyProtection="1">
      <alignment vertical="center"/>
      <protection hidden="1"/>
    </xf>
    <xf numFmtId="0" fontId="42" fillId="9" borderId="57" xfId="0" applyFont="1" applyFill="1" applyBorder="1" applyAlignment="1" applyProtection="1">
      <alignment vertical="center"/>
      <protection hidden="1"/>
    </xf>
    <xf numFmtId="10" fontId="42" fillId="9" borderId="57" xfId="0" applyNumberFormat="1" applyFont="1" applyFill="1" applyBorder="1" applyAlignment="1" applyProtection="1">
      <alignment vertical="center"/>
      <protection hidden="1"/>
    </xf>
    <xf numFmtId="2" fontId="41" fillId="7" borderId="57" xfId="0" applyNumberFormat="1" applyFont="1" applyFill="1" applyBorder="1" applyAlignment="1" applyProtection="1">
      <alignment horizontal="right" vertical="center"/>
      <protection hidden="1"/>
    </xf>
    <xf numFmtId="2" fontId="47" fillId="7" borderId="57" xfId="0" applyNumberFormat="1" applyFont="1" applyFill="1" applyBorder="1" applyAlignment="1" applyProtection="1">
      <alignment horizontal="right" vertical="center"/>
      <protection hidden="1"/>
    </xf>
    <xf numFmtId="0" fontId="42" fillId="9" borderId="57" xfId="0" applyFont="1" applyFill="1" applyBorder="1" applyAlignment="1" applyProtection="1">
      <alignment horizontal="right" vertical="center"/>
      <protection hidden="1"/>
    </xf>
    <xf numFmtId="0" fontId="42" fillId="7" borderId="57" xfId="0" applyFont="1" applyFill="1" applyBorder="1" applyAlignment="1">
      <alignment horizontal="right"/>
    </xf>
    <xf numFmtId="0" fontId="46" fillId="9" borderId="57" xfId="0" applyFont="1" applyFill="1" applyBorder="1" applyAlignment="1">
      <alignment horizontal="right"/>
    </xf>
    <xf numFmtId="0" fontId="42" fillId="9" borderId="56" xfId="0" applyNumberFormat="1" applyFont="1" applyFill="1" applyBorder="1" applyAlignment="1" applyProtection="1">
      <alignment horizontal="right" vertical="center"/>
      <protection hidden="1"/>
    </xf>
    <xf numFmtId="183" fontId="44" fillId="7" borderId="57" xfId="0" applyNumberFormat="1" applyFont="1" applyFill="1" applyBorder="1" applyAlignment="1" applyProtection="1">
      <alignment horizontal="right" vertical="center"/>
      <protection hidden="1"/>
    </xf>
    <xf numFmtId="10" fontId="44" fillId="9" borderId="57" xfId="0" applyNumberFormat="1" applyFont="1" applyFill="1" applyBorder="1" applyAlignment="1" applyProtection="1">
      <alignment vertical="center"/>
      <protection hidden="1"/>
    </xf>
    <xf numFmtId="181" fontId="44" fillId="7" borderId="57" xfId="0" applyNumberFormat="1" applyFont="1" applyFill="1" applyBorder="1" applyAlignment="1" applyProtection="1">
      <alignment vertical="center"/>
      <protection hidden="1"/>
    </xf>
    <xf numFmtId="0" fontId="44" fillId="7" borderId="57" xfId="0" applyFont="1" applyFill="1" applyBorder="1" applyAlignment="1" applyProtection="1">
      <alignment horizontal="right" vertical="center"/>
      <protection hidden="1"/>
    </xf>
    <xf numFmtId="0" fontId="44" fillId="9" borderId="56" xfId="0" applyFont="1" applyFill="1" applyBorder="1" applyAlignment="1" applyProtection="1">
      <alignment horizontal="right" vertical="center"/>
      <protection hidden="1"/>
    </xf>
    <xf numFmtId="183" fontId="42" fillId="7" borderId="54" xfId="0" applyNumberFormat="1" applyFont="1" applyFill="1" applyBorder="1" applyAlignment="1" applyProtection="1">
      <alignment horizontal="left" vertical="center"/>
      <protection hidden="1"/>
    </xf>
    <xf numFmtId="0" fontId="42" fillId="7" borderId="57" xfId="0" applyNumberFormat="1" applyFont="1" applyFill="1" applyBorder="1" applyAlignment="1" applyProtection="1">
      <alignment horizontal="left" vertical="center"/>
      <protection hidden="1"/>
    </xf>
    <xf numFmtId="0" fontId="44" fillId="7" borderId="57" xfId="0" applyFont="1" applyFill="1" applyBorder="1" applyAlignment="1" applyProtection="1">
      <alignment horizontal="left" vertical="center"/>
      <protection hidden="1"/>
    </xf>
    <xf numFmtId="183" fontId="44" fillId="7" borderId="57" xfId="0" applyNumberFormat="1" applyFont="1" applyFill="1" applyBorder="1" applyAlignment="1" applyProtection="1">
      <alignment horizontal="left" vertical="center"/>
      <protection hidden="1"/>
    </xf>
    <xf numFmtId="0" fontId="44" fillId="7" borderId="56" xfId="0" applyFont="1" applyFill="1" applyBorder="1" applyAlignment="1" applyProtection="1">
      <alignment horizontal="left" vertical="center"/>
      <protection hidden="1"/>
    </xf>
    <xf numFmtId="2" fontId="46" fillId="7" borderId="57" xfId="0" applyNumberFormat="1" applyFont="1" applyFill="1" applyBorder="1" applyAlignment="1" applyProtection="1">
      <alignment horizontal="right" vertical="center"/>
      <protection hidden="1"/>
    </xf>
    <xf numFmtId="183" fontId="49" fillId="7" borderId="54" xfId="0" applyNumberFormat="1" applyFont="1" applyFill="1" applyBorder="1" applyAlignment="1" applyProtection="1">
      <alignment horizontal="right" vertical="center"/>
      <protection hidden="1"/>
    </xf>
    <xf numFmtId="183" fontId="50" fillId="7" borderId="57" xfId="0" applyNumberFormat="1" applyFont="1" applyFill="1" applyBorder="1" applyAlignment="1" applyProtection="1">
      <alignment horizontal="right" vertical="center"/>
      <protection hidden="1"/>
    </xf>
    <xf numFmtId="183" fontId="44" fillId="7" borderId="54" xfId="0" applyNumberFormat="1" applyFont="1" applyFill="1" applyBorder="1" applyAlignment="1" applyProtection="1">
      <alignment horizontal="right" vertical="center"/>
      <protection hidden="1"/>
    </xf>
    <xf numFmtId="184" fontId="44" fillId="7" borderId="57" xfId="0" applyNumberFormat="1" applyFont="1" applyFill="1" applyBorder="1" applyAlignment="1" applyProtection="1">
      <alignment vertical="center"/>
      <protection hidden="1"/>
    </xf>
    <xf numFmtId="184" fontId="50" fillId="7" borderId="57" xfId="0" applyNumberFormat="1" applyFont="1" applyFill="1" applyBorder="1" applyAlignment="1" applyProtection="1">
      <alignment horizontal="right" vertical="center"/>
      <protection hidden="1"/>
    </xf>
    <xf numFmtId="183" fontId="46" fillId="9" borderId="57" xfId="0" applyNumberFormat="1" applyFont="1" applyFill="1" applyBorder="1" applyAlignment="1" applyProtection="1">
      <alignment horizontal="right" vertical="center"/>
      <protection hidden="1"/>
    </xf>
    <xf numFmtId="183" fontId="44" fillId="7" borderId="54" xfId="0" applyNumberFormat="1" applyFont="1" applyFill="1" applyBorder="1" applyAlignment="1" applyProtection="1">
      <alignment horizontal="left" vertical="center"/>
      <protection hidden="1"/>
    </xf>
    <xf numFmtId="0" fontId="50" fillId="9" borderId="57" xfId="0" applyFont="1" applyFill="1" applyBorder="1" applyAlignment="1" applyProtection="1">
      <alignment horizontal="left" vertical="center"/>
      <protection hidden="1"/>
    </xf>
    <xf numFmtId="181" fontId="42" fillId="7" borderId="57" xfId="0" applyNumberFormat="1" applyFont="1" applyFill="1" applyBorder="1" applyAlignment="1" applyProtection="1">
      <alignment vertical="center"/>
      <protection hidden="1"/>
    </xf>
    <xf numFmtId="183" fontId="41" fillId="9" borderId="57" xfId="0" applyNumberFormat="1" applyFont="1" applyFill="1" applyBorder="1" applyAlignment="1" applyProtection="1">
      <alignment horizontal="left" vertical="center"/>
      <protection hidden="1"/>
    </xf>
    <xf numFmtId="181" fontId="42" fillId="7" borderId="56" xfId="0" applyNumberFormat="1" applyFont="1" applyFill="1" applyBorder="1" applyAlignment="1" applyProtection="1">
      <alignment vertical="center"/>
      <protection hidden="1"/>
    </xf>
    <xf numFmtId="0" fontId="42" fillId="9" borderId="56" xfId="0" applyFont="1" applyFill="1" applyBorder="1" applyAlignment="1" applyProtection="1">
      <alignment horizontal="right" vertical="center"/>
      <protection hidden="1"/>
    </xf>
    <xf numFmtId="0" fontId="41" fillId="9" borderId="56" xfId="0" applyFont="1" applyFill="1" applyBorder="1" applyAlignment="1" applyProtection="1">
      <alignment horizontal="left" vertical="center"/>
      <protection hidden="1"/>
    </xf>
    <xf numFmtId="0" fontId="39" fillId="7" borderId="0" xfId="0" applyFont="1" applyFill="1" applyBorder="1" applyAlignment="1" applyProtection="1">
      <alignment vertical="center"/>
    </xf>
    <xf numFmtId="0" fontId="42" fillId="7" borderId="0" xfId="0" applyFont="1" applyFill="1" applyBorder="1" applyAlignment="1" applyProtection="1">
      <alignment vertical="center"/>
    </xf>
    <xf numFmtId="0" fontId="42" fillId="7" borderId="0" xfId="0" applyFont="1" applyFill="1" applyBorder="1" applyAlignment="1" applyProtection="1">
      <alignment horizontal="left" vertical="center"/>
    </xf>
    <xf numFmtId="49" fontId="42" fillId="7" borderId="0" xfId="0" applyNumberFormat="1" applyFont="1" applyFill="1" applyBorder="1" applyAlignment="1" applyProtection="1">
      <alignment horizontal="left" vertical="center"/>
    </xf>
    <xf numFmtId="0" fontId="42" fillId="7" borderId="0" xfId="0" applyNumberFormat="1" applyFont="1" applyFill="1" applyBorder="1" applyAlignment="1" applyProtection="1">
      <alignment vertical="center"/>
    </xf>
    <xf numFmtId="49" fontId="42" fillId="7" borderId="0" xfId="0" applyNumberFormat="1" applyFont="1" applyFill="1" applyBorder="1" applyAlignment="1" applyProtection="1">
      <alignment vertical="center"/>
    </xf>
    <xf numFmtId="0" fontId="76" fillId="7" borderId="0" xfId="0" applyFont="1" applyFill="1" applyBorder="1" applyAlignment="1">
      <alignment vertical="center"/>
    </xf>
    <xf numFmtId="0" fontId="76" fillId="10" borderId="0" xfId="0" applyFont="1" applyFill="1" applyBorder="1" applyAlignment="1" applyProtection="1">
      <alignment horizontal="center" vertical="center"/>
      <protection hidden="1"/>
    </xf>
    <xf numFmtId="49" fontId="76" fillId="10" borderId="0" xfId="18" applyNumberFormat="1" applyFont="1" applyFill="1" applyBorder="1" applyAlignment="1" applyProtection="1">
      <alignment horizontal="center" vertical="center" wrapText="1"/>
      <protection locked="0"/>
    </xf>
    <xf numFmtId="193" fontId="76" fillId="10" borderId="0" xfId="18" applyNumberFormat="1" applyFont="1" applyFill="1" applyBorder="1" applyAlignment="1" applyProtection="1">
      <alignment horizontal="center" vertical="center" wrapText="1"/>
      <protection locked="0"/>
    </xf>
    <xf numFmtId="190" fontId="76" fillId="10" borderId="0" xfId="0" applyNumberFormat="1" applyFont="1" applyFill="1" applyBorder="1" applyAlignment="1">
      <alignment horizontal="right" vertical="center"/>
    </xf>
    <xf numFmtId="0" fontId="76" fillId="10" borderId="0" xfId="0" applyFont="1" applyFill="1" applyBorder="1" applyAlignment="1" applyProtection="1">
      <alignment horizontal="left" vertical="center"/>
    </xf>
    <xf numFmtId="0" fontId="76" fillId="10" borderId="0" xfId="0" applyFont="1" applyFill="1" applyBorder="1" applyAlignment="1" applyProtection="1">
      <alignment vertical="center"/>
    </xf>
    <xf numFmtId="0" fontId="42" fillId="7" borderId="0" xfId="0" applyFont="1" applyFill="1" applyBorder="1" applyAlignment="1" applyProtection="1">
      <alignment horizontal="right" vertical="center"/>
    </xf>
    <xf numFmtId="0" fontId="76" fillId="10" borderId="0" xfId="0" applyFont="1" applyFill="1" applyBorder="1" applyAlignment="1">
      <alignment horizontal="left" vertical="center"/>
    </xf>
    <xf numFmtId="188" fontId="42" fillId="7" borderId="0" xfId="0" applyNumberFormat="1" applyFont="1" applyFill="1" applyBorder="1" applyAlignment="1" applyProtection="1">
      <alignment vertical="center"/>
    </xf>
    <xf numFmtId="188" fontId="39" fillId="7" borderId="0" xfId="0" applyNumberFormat="1" applyFont="1" applyFill="1" applyBorder="1" applyAlignment="1" applyProtection="1">
      <alignment vertical="center"/>
    </xf>
    <xf numFmtId="188" fontId="76" fillId="10" borderId="0" xfId="0" applyNumberFormat="1" applyFont="1" applyFill="1" applyBorder="1" applyAlignment="1" applyProtection="1">
      <alignment vertical="center"/>
    </xf>
    <xf numFmtId="0" fontId="79" fillId="10" borderId="0" xfId="0" applyFont="1" applyFill="1" applyBorder="1" applyAlignment="1" applyProtection="1">
      <alignment vertical="center"/>
    </xf>
    <xf numFmtId="49" fontId="76" fillId="10" borderId="0" xfId="0" applyNumberFormat="1" applyFont="1" applyFill="1" applyBorder="1" applyAlignment="1" applyProtection="1">
      <alignment vertical="center"/>
    </xf>
    <xf numFmtId="0" fontId="42" fillId="7" borderId="0" xfId="0" applyFont="1" applyFill="1" applyBorder="1" applyAlignment="1" applyProtection="1">
      <alignment horizontal="right" vertical="center" wrapText="1"/>
    </xf>
    <xf numFmtId="9" fontId="39" fillId="7" borderId="0" xfId="2" applyFont="1" applyFill="1" applyBorder="1" applyAlignment="1" applyProtection="1">
      <alignment vertical="center"/>
    </xf>
    <xf numFmtId="9" fontId="42" fillId="7" borderId="0" xfId="0" applyNumberFormat="1" applyFont="1" applyFill="1" applyBorder="1" applyAlignment="1">
      <alignment horizontal="right" vertical="center"/>
    </xf>
    <xf numFmtId="9" fontId="42" fillId="9" borderId="0" xfId="2" applyFont="1" applyFill="1" applyBorder="1" applyAlignment="1">
      <alignment horizontal="right" vertical="center"/>
    </xf>
    <xf numFmtId="9" fontId="42" fillId="7" borderId="0" xfId="2" applyFont="1" applyFill="1" applyBorder="1" applyAlignment="1">
      <alignment horizontal="right" vertical="center"/>
    </xf>
    <xf numFmtId="49" fontId="39" fillId="7" borderId="0" xfId="18" applyNumberFormat="1" applyFont="1" applyFill="1" applyBorder="1" applyAlignment="1" applyProtection="1">
      <alignment horizontal="left" vertical="center" wrapText="1"/>
      <protection locked="0"/>
    </xf>
    <xf numFmtId="0" fontId="39" fillId="7" borderId="0" xfId="0" applyFont="1" applyFill="1" applyBorder="1" applyAlignment="1">
      <alignment vertical="center"/>
    </xf>
    <xf numFmtId="190" fontId="39" fillId="7" borderId="0" xfId="0" applyNumberFormat="1" applyFont="1" applyFill="1" applyBorder="1" applyAlignment="1">
      <alignment vertical="center"/>
    </xf>
    <xf numFmtId="0" fontId="39" fillId="7" borderId="0" xfId="0" applyFont="1" applyFill="1" applyBorder="1" applyAlignment="1">
      <alignment horizontal="left" vertical="center"/>
    </xf>
    <xf numFmtId="0" fontId="39" fillId="7" borderId="0" xfId="0" applyFont="1" applyFill="1" applyBorder="1" applyAlignment="1">
      <alignment horizontal="right" vertical="center"/>
    </xf>
    <xf numFmtId="190" fontId="39" fillId="7" borderId="0" xfId="0" applyNumberFormat="1" applyFont="1" applyFill="1" applyBorder="1" applyAlignment="1">
      <alignment horizontal="right" vertical="center"/>
    </xf>
    <xf numFmtId="0" fontId="79" fillId="10" borderId="0" xfId="0" applyFont="1" applyFill="1" applyBorder="1" applyAlignment="1">
      <alignment horizontal="center" vertical="center"/>
    </xf>
    <xf numFmtId="0" fontId="79" fillId="10" borderId="0" xfId="0" applyFont="1" applyFill="1" applyBorder="1" applyAlignment="1">
      <alignment vertical="center"/>
    </xf>
    <xf numFmtId="0" fontId="42" fillId="10" borderId="0" xfId="0" applyFont="1" applyFill="1" applyBorder="1" applyAlignment="1">
      <alignment vertical="center"/>
    </xf>
    <xf numFmtId="0" fontId="76" fillId="8" borderId="0" xfId="0" applyFont="1" applyFill="1" applyBorder="1" applyAlignment="1">
      <alignment vertical="center"/>
    </xf>
    <xf numFmtId="190" fontId="42" fillId="7" borderId="0" xfId="20" applyNumberFormat="1" applyFont="1" applyFill="1" applyBorder="1" applyAlignment="1" applyProtection="1">
      <alignment horizontal="right" vertical="center"/>
    </xf>
    <xf numFmtId="0" fontId="42" fillId="7" borderId="0" xfId="0" applyFont="1" applyFill="1" applyBorder="1" applyAlignment="1">
      <alignment horizontal="left" vertical="center"/>
    </xf>
    <xf numFmtId="0" fontId="42" fillId="7" borderId="51" xfId="0" applyFont="1" applyFill="1" applyBorder="1" applyAlignment="1">
      <alignment horizontal="center" vertical="center"/>
    </xf>
    <xf numFmtId="0" fontId="42" fillId="7" borderId="52" xfId="0" applyFont="1" applyFill="1" applyBorder="1" applyAlignment="1">
      <alignment horizontal="center" vertical="center"/>
    </xf>
    <xf numFmtId="0" fontId="42" fillId="7" borderId="51" xfId="0" applyFont="1" applyFill="1" applyBorder="1" applyAlignment="1">
      <alignment vertical="center"/>
    </xf>
    <xf numFmtId="0" fontId="42" fillId="7" borderId="52" xfId="0" applyFont="1" applyFill="1" applyBorder="1" applyAlignment="1">
      <alignment vertical="center"/>
    </xf>
    <xf numFmtId="0" fontId="42" fillId="7" borderId="50" xfId="0" applyFont="1" applyFill="1" applyBorder="1" applyAlignment="1">
      <alignment horizontal="center" vertical="center"/>
    </xf>
    <xf numFmtId="0" fontId="40" fillId="10" borderId="67" xfId="0" applyFont="1" applyFill="1" applyBorder="1" applyAlignment="1" applyProtection="1">
      <alignment horizontal="center" vertical="center"/>
      <protection hidden="1"/>
    </xf>
    <xf numFmtId="0" fontId="40" fillId="10" borderId="66" xfId="0" applyFont="1" applyFill="1" applyBorder="1" applyAlignment="1" applyProtection="1">
      <alignment horizontal="center" vertical="center"/>
      <protection hidden="1"/>
    </xf>
    <xf numFmtId="0" fontId="40" fillId="10" borderId="63" xfId="0" applyFont="1" applyFill="1" applyBorder="1" applyAlignment="1" applyProtection="1">
      <alignment horizontal="center" vertical="center"/>
      <protection hidden="1"/>
    </xf>
    <xf numFmtId="176" fontId="40" fillId="10" borderId="67" xfId="10" applyNumberFormat="1" applyFont="1" applyFill="1" applyBorder="1" applyAlignment="1">
      <alignment horizontal="center" vertical="center"/>
    </xf>
    <xf numFmtId="176" fontId="40" fillId="10" borderId="66" xfId="10" applyNumberFormat="1" applyFont="1" applyFill="1" applyBorder="1" applyAlignment="1">
      <alignment horizontal="center" vertical="center"/>
    </xf>
    <xf numFmtId="176" fontId="40" fillId="10" borderId="63" xfId="10" applyNumberFormat="1" applyFont="1" applyFill="1" applyBorder="1" applyAlignment="1">
      <alignment horizontal="center" vertical="center"/>
    </xf>
    <xf numFmtId="176" fontId="40" fillId="10" borderId="67" xfId="0" applyNumberFormat="1" applyFont="1" applyFill="1" applyBorder="1" applyAlignment="1" applyProtection="1">
      <alignment horizontal="center" vertical="center"/>
      <protection hidden="1"/>
    </xf>
    <xf numFmtId="176" fontId="40" fillId="10" borderId="66" xfId="0" applyNumberFormat="1" applyFont="1" applyFill="1" applyBorder="1" applyAlignment="1" applyProtection="1">
      <alignment horizontal="center" vertical="center"/>
      <protection hidden="1"/>
    </xf>
    <xf numFmtId="176" fontId="40" fillId="10" borderId="63" xfId="0" applyNumberFormat="1" applyFont="1" applyFill="1" applyBorder="1" applyAlignment="1" applyProtection="1">
      <alignment horizontal="center" vertical="center"/>
      <protection hidden="1"/>
    </xf>
    <xf numFmtId="0" fontId="42" fillId="9" borderId="50" xfId="0" applyFont="1" applyFill="1" applyBorder="1" applyAlignment="1">
      <alignment vertical="center"/>
    </xf>
    <xf numFmtId="0" fontId="42" fillId="9" borderId="51" xfId="0" applyFont="1" applyFill="1" applyBorder="1" applyAlignment="1">
      <alignment vertical="center"/>
    </xf>
    <xf numFmtId="0" fontId="42" fillId="9" borderId="52" xfId="0" applyFont="1" applyFill="1" applyBorder="1" applyAlignment="1">
      <alignment vertical="center"/>
    </xf>
    <xf numFmtId="0" fontId="42" fillId="7" borderId="68" xfId="0" applyFont="1" applyFill="1" applyBorder="1" applyAlignment="1">
      <alignment vertical="center"/>
    </xf>
    <xf numFmtId="0" fontId="39" fillId="7" borderId="68" xfId="0" applyFont="1" applyFill="1" applyBorder="1" applyAlignment="1" applyProtection="1">
      <alignment vertical="center"/>
    </xf>
    <xf numFmtId="0" fontId="79" fillId="10" borderId="0" xfId="0" applyFont="1" applyFill="1" applyBorder="1" applyAlignment="1">
      <alignment horizontal="left" vertical="center"/>
    </xf>
    <xf numFmtId="0" fontId="10" fillId="7" borderId="0" xfId="0" applyFont="1" applyFill="1" applyBorder="1" applyAlignment="1"/>
    <xf numFmtId="0" fontId="10" fillId="7" borderId="0" xfId="0" applyFont="1" applyFill="1" applyBorder="1" applyAlignment="1">
      <alignment horizontal="left"/>
    </xf>
    <xf numFmtId="0" fontId="10" fillId="7" borderId="0" xfId="0" applyFont="1" applyFill="1"/>
    <xf numFmtId="0" fontId="10" fillId="7" borderId="0" xfId="0" applyFont="1" applyFill="1" applyAlignment="1">
      <alignment horizontal="left"/>
    </xf>
    <xf numFmtId="0" fontId="31" fillId="7" borderId="0" xfId="0" applyFont="1" applyFill="1" applyBorder="1" applyAlignment="1">
      <alignment horizontal="left"/>
    </xf>
    <xf numFmtId="0" fontId="10" fillId="7" borderId="3" xfId="0" applyFont="1" applyFill="1" applyBorder="1" applyAlignment="1"/>
    <xf numFmtId="9" fontId="10" fillId="7" borderId="3" xfId="0" applyNumberFormat="1" applyFont="1" applyFill="1" applyBorder="1" applyAlignment="1">
      <alignment horizontal="left"/>
    </xf>
    <xf numFmtId="0" fontId="10" fillId="7" borderId="3" xfId="0" applyFont="1" applyFill="1" applyBorder="1" applyAlignment="1">
      <alignment horizontal="left"/>
    </xf>
    <xf numFmtId="0" fontId="10" fillId="7" borderId="0" xfId="0" applyFont="1" applyFill="1" applyAlignment="1"/>
    <xf numFmtId="0" fontId="10" fillId="7" borderId="5" xfId="0" applyFont="1" applyFill="1" applyBorder="1" applyAlignment="1"/>
    <xf numFmtId="0" fontId="10" fillId="7" borderId="5" xfId="0" applyFont="1" applyFill="1" applyBorder="1" applyAlignment="1">
      <alignment horizontal="right"/>
    </xf>
    <xf numFmtId="0" fontId="11" fillId="7" borderId="5" xfId="0" applyFont="1" applyFill="1" applyBorder="1" applyAlignment="1"/>
    <xf numFmtId="0" fontId="11" fillId="7" borderId="5" xfId="0" applyFont="1" applyFill="1" applyBorder="1" applyAlignment="1">
      <alignment horizontal="right"/>
    </xf>
    <xf numFmtId="0" fontId="27" fillId="7" borderId="0" xfId="0" applyFont="1" applyFill="1"/>
    <xf numFmtId="10" fontId="10" fillId="7" borderId="0" xfId="2" applyNumberFormat="1" applyFont="1" applyFill="1"/>
    <xf numFmtId="0" fontId="42" fillId="4" borderId="0" xfId="0" applyNumberFormat="1" applyFont="1" applyFill="1" applyAlignment="1">
      <alignment vertical="center"/>
    </xf>
    <xf numFmtId="0" fontId="56" fillId="9" borderId="50" xfId="0" applyFont="1" applyFill="1" applyBorder="1" applyAlignment="1" applyProtection="1">
      <alignment horizontal="center" vertical="center"/>
      <protection hidden="1"/>
    </xf>
    <xf numFmtId="0" fontId="56" fillId="7" borderId="0" xfId="0" applyFont="1" applyFill="1" applyAlignment="1">
      <alignment vertical="center"/>
    </xf>
    <xf numFmtId="0" fontId="57" fillId="4" borderId="13" xfId="0" applyFont="1" applyFill="1" applyBorder="1" applyAlignment="1">
      <alignment horizontal="left" vertical="center" wrapText="1"/>
    </xf>
    <xf numFmtId="0" fontId="42" fillId="9" borderId="57" xfId="17" applyNumberFormat="1" applyFont="1" applyFill="1" applyBorder="1" applyAlignment="1" applyProtection="1">
      <alignment horizontal="left" vertical="center"/>
      <protection hidden="1"/>
    </xf>
    <xf numFmtId="0" fontId="42" fillId="9" borderId="56" xfId="17" applyNumberFormat="1" applyFont="1" applyFill="1" applyBorder="1" applyAlignment="1" applyProtection="1">
      <alignment horizontal="left" vertical="center"/>
      <protection hidden="1"/>
    </xf>
    <xf numFmtId="176" fontId="42" fillId="0" borderId="1" xfId="0" applyNumberFormat="1" applyFont="1" applyBorder="1" applyAlignment="1">
      <alignment horizontal="right" vertical="center" wrapText="1"/>
    </xf>
    <xf numFmtId="176" fontId="42" fillId="0" borderId="1" xfId="0" applyNumberFormat="1" applyFont="1" applyBorder="1" applyAlignment="1">
      <alignment horizontal="justify" vertical="center" wrapText="1"/>
    </xf>
    <xf numFmtId="177" fontId="42" fillId="7" borderId="0" xfId="0" applyNumberFormat="1" applyFont="1" applyFill="1" applyBorder="1" applyAlignment="1">
      <alignment vertical="center"/>
    </xf>
    <xf numFmtId="196" fontId="42" fillId="4" borderId="0" xfId="0" applyNumberFormat="1" applyFont="1" applyFill="1" applyBorder="1" applyAlignment="1" applyProtection="1">
      <alignment horizontal="center" vertical="center"/>
      <protection hidden="1"/>
    </xf>
    <xf numFmtId="2" fontId="42" fillId="4" borderId="0" xfId="10" applyNumberFormat="1" applyFont="1" applyFill="1" applyBorder="1" applyAlignment="1" applyProtection="1">
      <alignment vertical="center"/>
      <protection hidden="1"/>
    </xf>
    <xf numFmtId="0" fontId="75" fillId="0" borderId="1" xfId="0" applyFont="1" applyBorder="1"/>
    <xf numFmtId="10" fontId="0" fillId="0" borderId="1" xfId="0" applyNumberFormat="1" applyBorder="1"/>
    <xf numFmtId="0" fontId="0" fillId="0" borderId="1" xfId="0" applyBorder="1"/>
    <xf numFmtId="0" fontId="11" fillId="7" borderId="0" xfId="0" applyFont="1" applyFill="1" applyBorder="1" applyAlignment="1"/>
    <xf numFmtId="0" fontId="11" fillId="7" borderId="0" xfId="0" applyFont="1" applyFill="1" applyBorder="1" applyAlignment="1">
      <alignment horizontal="right"/>
    </xf>
    <xf numFmtId="0" fontId="10" fillId="7" borderId="0" xfId="0" applyFont="1" applyFill="1" applyBorder="1" applyAlignment="1">
      <alignment horizontal="left" wrapText="1"/>
    </xf>
    <xf numFmtId="10" fontId="10" fillId="7" borderId="0" xfId="0" applyNumberFormat="1" applyFont="1" applyFill="1"/>
    <xf numFmtId="0" fontId="58" fillId="7" borderId="0" xfId="0" applyFont="1" applyFill="1"/>
    <xf numFmtId="0" fontId="59" fillId="4" borderId="0" xfId="10" applyFont="1" applyFill="1" applyBorder="1" applyAlignment="1" applyProtection="1">
      <alignment vertical="center"/>
      <protection hidden="1"/>
    </xf>
    <xf numFmtId="1" fontId="59" fillId="4" borderId="0" xfId="10" applyNumberFormat="1" applyFont="1" applyFill="1" applyBorder="1" applyAlignment="1" applyProtection="1">
      <alignment vertical="center"/>
      <protection hidden="1"/>
    </xf>
    <xf numFmtId="0" fontId="75" fillId="0" borderId="1" xfId="0" applyFont="1" applyBorder="1" applyAlignment="1">
      <alignment horizontal="center"/>
    </xf>
    <xf numFmtId="185" fontId="0" fillId="0" borderId="1" xfId="0" applyNumberFormat="1" applyBorder="1" applyAlignment="1">
      <alignment horizontal="center" vertical="center"/>
    </xf>
    <xf numFmtId="0" fontId="60" fillId="7" borderId="19" xfId="0" applyFont="1" applyFill="1" applyBorder="1" applyAlignment="1">
      <alignment horizontal="center" vertical="center"/>
    </xf>
    <xf numFmtId="0" fontId="60" fillId="7" borderId="0" xfId="0" applyFont="1" applyFill="1" applyBorder="1" applyAlignment="1">
      <alignment horizontal="center" vertical="center"/>
    </xf>
    <xf numFmtId="0" fontId="60" fillId="7" borderId="3" xfId="0" applyFont="1" applyFill="1" applyBorder="1" applyAlignment="1">
      <alignment horizontal="center" vertical="center"/>
    </xf>
    <xf numFmtId="0" fontId="60" fillId="7" borderId="20" xfId="0" applyFont="1" applyFill="1" applyBorder="1" applyAlignment="1">
      <alignment horizontal="center" vertical="center"/>
    </xf>
    <xf numFmtId="0" fontId="61" fillId="7" borderId="21" xfId="0" applyFont="1" applyFill="1" applyBorder="1" applyAlignment="1">
      <alignment vertical="center"/>
    </xf>
    <xf numFmtId="190" fontId="62" fillId="7" borderId="22" xfId="22" applyNumberFormat="1" applyFont="1" applyFill="1" applyBorder="1" applyAlignment="1" applyProtection="1">
      <alignment horizontal="center" vertical="center"/>
      <protection hidden="1"/>
    </xf>
    <xf numFmtId="190" fontId="62" fillId="7" borderId="0" xfId="22" applyNumberFormat="1" applyFont="1" applyFill="1" applyBorder="1" applyAlignment="1" applyProtection="1">
      <alignment horizontal="center" vertical="center"/>
      <protection hidden="1"/>
    </xf>
    <xf numFmtId="190" fontId="62" fillId="7" borderId="23" xfId="22" applyNumberFormat="1" applyFont="1" applyFill="1" applyBorder="1" applyAlignment="1" applyProtection="1">
      <alignment horizontal="center" vertical="center"/>
      <protection hidden="1"/>
    </xf>
    <xf numFmtId="0" fontId="10" fillId="7" borderId="0" xfId="0" applyFont="1" applyFill="1" applyBorder="1"/>
    <xf numFmtId="190" fontId="42" fillId="4" borderId="0" xfId="10" applyNumberFormat="1" applyFont="1" applyFill="1" applyBorder="1" applyAlignment="1" applyProtection="1">
      <alignment vertical="center"/>
      <protection hidden="1"/>
    </xf>
    <xf numFmtId="190" fontId="63" fillId="7" borderId="3" xfId="22" applyNumberFormat="1" applyFont="1" applyFill="1" applyBorder="1" applyAlignment="1" applyProtection="1">
      <alignment horizontal="center" vertical="center"/>
      <protection hidden="1"/>
    </xf>
    <xf numFmtId="0" fontId="10" fillId="7" borderId="0" xfId="0" applyFont="1" applyFill="1" applyBorder="1" applyAlignment="1">
      <alignment horizontal="right"/>
    </xf>
    <xf numFmtId="0" fontId="10" fillId="7" borderId="24" xfId="0" applyFont="1" applyFill="1" applyBorder="1"/>
    <xf numFmtId="0" fontId="10" fillId="7" borderId="19" xfId="0" applyFont="1" applyFill="1" applyBorder="1"/>
    <xf numFmtId="0" fontId="10" fillId="7" borderId="25" xfId="0" applyFont="1" applyFill="1" applyBorder="1"/>
    <xf numFmtId="0" fontId="10" fillId="7" borderId="21" xfId="0" applyFont="1" applyFill="1" applyBorder="1"/>
    <xf numFmtId="0" fontId="10" fillId="7" borderId="23" xfId="0" applyFont="1" applyFill="1" applyBorder="1"/>
    <xf numFmtId="0" fontId="10" fillId="7" borderId="26" xfId="0" applyFont="1" applyFill="1" applyBorder="1"/>
    <xf numFmtId="0" fontId="64" fillId="7" borderId="21" xfId="0" applyFont="1" applyFill="1" applyBorder="1" applyAlignment="1">
      <alignment vertical="center"/>
    </xf>
    <xf numFmtId="0" fontId="66" fillId="7" borderId="26" xfId="0" applyFont="1" applyFill="1" applyBorder="1" applyAlignment="1">
      <alignment vertical="center"/>
    </xf>
    <xf numFmtId="190" fontId="63" fillId="7" borderId="20" xfId="22" applyNumberFormat="1" applyFont="1" applyFill="1" applyBorder="1" applyAlignment="1" applyProtection="1">
      <alignment horizontal="center" vertical="center"/>
      <protection hidden="1"/>
    </xf>
    <xf numFmtId="0" fontId="64" fillId="7" borderId="27" xfId="0" applyFont="1" applyFill="1" applyBorder="1" applyAlignment="1">
      <alignment vertical="center"/>
    </xf>
    <xf numFmtId="190" fontId="62" fillId="7" borderId="28" xfId="22" applyNumberFormat="1" applyFont="1" applyFill="1" applyBorder="1" applyAlignment="1" applyProtection="1">
      <alignment horizontal="center" vertical="center"/>
      <protection hidden="1"/>
    </xf>
    <xf numFmtId="190" fontId="62" fillId="7" borderId="29" xfId="22" applyNumberFormat="1" applyFont="1" applyFill="1" applyBorder="1" applyAlignment="1" applyProtection="1">
      <alignment horizontal="center" vertical="center"/>
      <protection hidden="1"/>
    </xf>
    <xf numFmtId="0" fontId="10" fillId="7" borderId="30" xfId="0" applyFont="1" applyFill="1" applyBorder="1"/>
    <xf numFmtId="0" fontId="10" fillId="7" borderId="22" xfId="0" applyFont="1" applyFill="1" applyBorder="1"/>
    <xf numFmtId="0" fontId="61" fillId="7" borderId="6" xfId="0" applyFont="1" applyFill="1" applyBorder="1" applyAlignment="1">
      <alignment vertical="center"/>
    </xf>
    <xf numFmtId="0" fontId="65" fillId="7" borderId="6" xfId="0" applyFont="1" applyFill="1" applyBorder="1"/>
    <xf numFmtId="190" fontId="63" fillId="7" borderId="6" xfId="22" applyNumberFormat="1" applyFont="1" applyFill="1" applyBorder="1" applyAlignment="1" applyProtection="1">
      <alignment horizontal="center" vertical="center"/>
      <protection hidden="1"/>
    </xf>
    <xf numFmtId="0" fontId="10" fillId="7" borderId="31" xfId="0" applyFont="1" applyFill="1" applyBorder="1"/>
    <xf numFmtId="0" fontId="66" fillId="7" borderId="21" xfId="0" applyFont="1" applyFill="1" applyBorder="1" applyAlignment="1">
      <alignment vertical="center"/>
    </xf>
    <xf numFmtId="190" fontId="63" fillId="7" borderId="22" xfId="22" applyNumberFormat="1" applyFont="1" applyFill="1" applyBorder="1" applyAlignment="1" applyProtection="1">
      <alignment horizontal="center" vertical="center"/>
      <protection hidden="1"/>
    </xf>
    <xf numFmtId="0" fontId="42" fillId="7" borderId="0" xfId="0" applyFont="1" applyFill="1" applyBorder="1" applyAlignment="1" applyProtection="1">
      <alignment horizontal="left" vertical="center" wrapText="1"/>
      <protection hidden="1"/>
    </xf>
    <xf numFmtId="0" fontId="42" fillId="7" borderId="0" xfId="0" applyFont="1" applyFill="1" applyBorder="1" applyAlignment="1" applyProtection="1">
      <alignment horizontal="left" vertical="center"/>
      <protection hidden="1"/>
    </xf>
    <xf numFmtId="186" fontId="39" fillId="7" borderId="0" xfId="0" applyNumberFormat="1" applyFont="1" applyFill="1" applyBorder="1" applyAlignment="1" applyProtection="1">
      <alignment horizontal="left" vertical="center"/>
      <protection hidden="1"/>
    </xf>
    <xf numFmtId="0" fontId="10" fillId="7" borderId="0" xfId="0" applyNumberFormat="1" applyFont="1" applyFill="1" applyAlignment="1">
      <alignment horizontal="left"/>
    </xf>
    <xf numFmtId="0" fontId="26" fillId="7" borderId="0" xfId="0" applyNumberFormat="1" applyFont="1" applyFill="1" applyAlignment="1">
      <alignment horizontal="left"/>
    </xf>
    <xf numFmtId="0" fontId="10" fillId="7" borderId="5" xfId="0" applyNumberFormat="1" applyFont="1" applyFill="1" applyBorder="1" applyAlignment="1">
      <alignment horizontal="left"/>
    </xf>
    <xf numFmtId="0" fontId="10" fillId="7" borderId="0" xfId="2" applyNumberFormat="1" applyFont="1" applyFill="1" applyAlignment="1">
      <alignment horizontal="left"/>
    </xf>
    <xf numFmtId="2" fontId="11" fillId="7" borderId="0" xfId="0" applyNumberFormat="1" applyFont="1" applyFill="1" applyBorder="1" applyAlignment="1">
      <alignment horizontal="left"/>
    </xf>
    <xf numFmtId="2" fontId="10" fillId="7" borderId="0" xfId="0" applyNumberFormat="1" applyFont="1" applyFill="1" applyAlignment="1">
      <alignment horizontal="left"/>
    </xf>
    <xf numFmtId="1" fontId="11" fillId="7" borderId="0" xfId="0" applyNumberFormat="1" applyFont="1" applyFill="1" applyBorder="1" applyAlignment="1">
      <alignment horizontal="left"/>
    </xf>
    <xf numFmtId="1" fontId="10" fillId="7" borderId="0" xfId="0" applyNumberFormat="1" applyFont="1" applyFill="1" applyBorder="1" applyAlignment="1">
      <alignment horizontal="left"/>
    </xf>
    <xf numFmtId="2" fontId="10" fillId="7" borderId="5" xfId="0" applyNumberFormat="1" applyFont="1" applyFill="1" applyBorder="1" applyAlignment="1">
      <alignment horizontal="left"/>
    </xf>
    <xf numFmtId="198" fontId="10" fillId="7" borderId="0" xfId="2" applyNumberFormat="1" applyFont="1" applyFill="1" applyBorder="1" applyAlignment="1">
      <alignment horizontal="left"/>
    </xf>
    <xf numFmtId="10" fontId="10" fillId="7" borderId="0" xfId="2" applyNumberFormat="1" applyFont="1" applyFill="1" applyBorder="1" applyAlignment="1">
      <alignment horizontal="left"/>
    </xf>
    <xf numFmtId="1" fontId="11" fillId="7" borderId="5" xfId="0" applyNumberFormat="1" applyFont="1" applyFill="1" applyBorder="1" applyAlignment="1">
      <alignment horizontal="left"/>
    </xf>
    <xf numFmtId="0" fontId="42" fillId="7" borderId="0" xfId="0" applyFont="1" applyFill="1" applyBorder="1" applyAlignment="1" applyProtection="1">
      <alignment horizontal="left" vertical="center"/>
      <protection hidden="1"/>
    </xf>
    <xf numFmtId="0" fontId="42" fillId="7" borderId="0" xfId="0" applyFont="1" applyFill="1" applyBorder="1" applyAlignment="1" applyProtection="1">
      <alignment horizontal="left" vertical="center" wrapText="1"/>
      <protection hidden="1"/>
    </xf>
    <xf numFmtId="0" fontId="40" fillId="10" borderId="0" xfId="0" applyFont="1" applyFill="1" applyBorder="1" applyAlignment="1" applyProtection="1">
      <alignment horizontal="center" vertical="center"/>
      <protection hidden="1"/>
    </xf>
    <xf numFmtId="0" fontId="43" fillId="7" borderId="0" xfId="0" applyFont="1" applyFill="1" applyBorder="1" applyAlignment="1" applyProtection="1">
      <alignment horizontal="left" vertical="center"/>
      <protection hidden="1"/>
    </xf>
    <xf numFmtId="0" fontId="42" fillId="9" borderId="50" xfId="17" applyNumberFormat="1" applyFont="1" applyFill="1" applyBorder="1" applyAlignment="1" applyProtection="1">
      <alignment horizontal="right" vertical="center"/>
      <protection hidden="1"/>
    </xf>
    <xf numFmtId="0" fontId="40" fillId="10" borderId="66" xfId="0" applyFont="1" applyFill="1" applyBorder="1" applyAlignment="1" applyProtection="1">
      <alignment vertical="center" wrapText="1"/>
      <protection hidden="1"/>
    </xf>
    <xf numFmtId="49" fontId="51" fillId="7" borderId="0" xfId="0" applyNumberFormat="1" applyFont="1" applyFill="1" applyBorder="1" applyAlignment="1">
      <alignment vertical="center"/>
    </xf>
    <xf numFmtId="10" fontId="40" fillId="7" borderId="0" xfId="2" applyNumberFormat="1" applyFont="1" applyFill="1" applyBorder="1" applyAlignment="1">
      <alignment vertical="center"/>
    </xf>
    <xf numFmtId="10" fontId="51" fillId="7" borderId="0" xfId="2" applyNumberFormat="1" applyFont="1" applyFill="1" applyBorder="1" applyAlignment="1">
      <alignment vertical="center"/>
    </xf>
    <xf numFmtId="9" fontId="42" fillId="9" borderId="69" xfId="2" applyNumberFormat="1" applyFont="1" applyFill="1" applyBorder="1" applyAlignment="1">
      <alignment vertical="center"/>
    </xf>
    <xf numFmtId="9" fontId="42" fillId="9" borderId="70" xfId="2" applyNumberFormat="1" applyFont="1" applyFill="1" applyBorder="1" applyAlignment="1">
      <alignment vertical="center"/>
    </xf>
    <xf numFmtId="9" fontId="42" fillId="9" borderId="71" xfId="2" applyNumberFormat="1" applyFont="1" applyFill="1" applyBorder="1" applyAlignment="1">
      <alignment vertical="center"/>
    </xf>
    <xf numFmtId="0" fontId="42" fillId="7" borderId="15" xfId="0" applyNumberFormat="1" applyFont="1" applyFill="1" applyBorder="1" applyAlignment="1">
      <alignment vertical="center"/>
    </xf>
    <xf numFmtId="0" fontId="42" fillId="7" borderId="14" xfId="0" applyNumberFormat="1" applyFont="1" applyFill="1" applyBorder="1" applyAlignment="1">
      <alignment vertical="center"/>
    </xf>
    <xf numFmtId="0" fontId="0" fillId="7" borderId="0" xfId="0" applyFill="1"/>
    <xf numFmtId="0" fontId="39" fillId="7" borderId="32" xfId="0" applyNumberFormat="1" applyFont="1" applyFill="1" applyBorder="1" applyAlignment="1">
      <alignment vertical="center"/>
    </xf>
    <xf numFmtId="0" fontId="39" fillId="7" borderId="7" xfId="0" applyNumberFormat="1" applyFont="1" applyFill="1" applyBorder="1" applyAlignment="1">
      <alignment vertical="center"/>
    </xf>
    <xf numFmtId="0" fontId="42" fillId="7" borderId="7" xfId="0" applyNumberFormat="1" applyFont="1" applyFill="1" applyBorder="1" applyAlignment="1">
      <alignment vertical="center"/>
    </xf>
    <xf numFmtId="0" fontId="42" fillId="4" borderId="33" xfId="0" applyFont="1" applyFill="1" applyBorder="1"/>
    <xf numFmtId="0" fontId="42" fillId="4" borderId="34" xfId="0" applyFont="1" applyFill="1" applyBorder="1"/>
    <xf numFmtId="0" fontId="42" fillId="7" borderId="16" xfId="0" applyNumberFormat="1" applyFont="1" applyFill="1" applyBorder="1" applyAlignment="1">
      <alignment vertical="center"/>
    </xf>
    <xf numFmtId="49" fontId="42" fillId="7" borderId="8" xfId="0" applyNumberFormat="1" applyFont="1" applyFill="1" applyBorder="1" applyAlignment="1">
      <alignment vertical="center"/>
    </xf>
    <xf numFmtId="49" fontId="42" fillId="7" borderId="35" xfId="0" applyNumberFormat="1" applyFont="1" applyFill="1" applyBorder="1" applyAlignment="1">
      <alignment vertical="center"/>
    </xf>
    <xf numFmtId="0" fontId="42" fillId="4" borderId="36" xfId="0" applyFont="1" applyFill="1" applyBorder="1"/>
    <xf numFmtId="0" fontId="42" fillId="4" borderId="37" xfId="0" applyFont="1" applyFill="1" applyBorder="1"/>
    <xf numFmtId="0" fontId="39" fillId="7" borderId="16" xfId="0" applyNumberFormat="1" applyFont="1" applyFill="1" applyBorder="1" applyAlignment="1">
      <alignment vertical="center"/>
    </xf>
    <xf numFmtId="0" fontId="42" fillId="7" borderId="35" xfId="0" applyNumberFormat="1" applyFont="1" applyFill="1" applyBorder="1" applyAlignment="1">
      <alignment vertical="center"/>
    </xf>
    <xf numFmtId="0" fontId="39" fillId="7" borderId="8" xfId="0" applyNumberFormat="1" applyFont="1" applyFill="1" applyBorder="1" applyAlignment="1">
      <alignment vertical="center"/>
    </xf>
    <xf numFmtId="0" fontId="42" fillId="7" borderId="8" xfId="0" applyNumberFormat="1" applyFont="1" applyFill="1" applyBorder="1" applyAlignment="1">
      <alignment vertical="center"/>
    </xf>
    <xf numFmtId="0" fontId="39" fillId="7" borderId="38" xfId="0" applyNumberFormat="1" applyFont="1" applyFill="1" applyBorder="1" applyAlignment="1">
      <alignment vertical="center"/>
    </xf>
    <xf numFmtId="0" fontId="39" fillId="7" borderId="7" xfId="0" applyNumberFormat="1" applyFont="1" applyFill="1" applyBorder="1" applyAlignment="1">
      <alignment horizontal="right" vertical="center"/>
    </xf>
    <xf numFmtId="0" fontId="39" fillId="7" borderId="39" xfId="0" applyNumberFormat="1" applyFont="1" applyFill="1" applyBorder="1" applyAlignment="1">
      <alignment vertical="center"/>
    </xf>
    <xf numFmtId="0" fontId="39" fillId="7" borderId="40" xfId="0" applyNumberFormat="1" applyFont="1" applyFill="1" applyBorder="1" applyAlignment="1">
      <alignment vertical="center"/>
    </xf>
    <xf numFmtId="0" fontId="42" fillId="9" borderId="7" xfId="0" applyNumberFormat="1" applyFont="1" applyFill="1" applyBorder="1" applyAlignment="1">
      <alignment vertical="center"/>
    </xf>
    <xf numFmtId="195" fontId="42" fillId="9" borderId="1" xfId="0" applyNumberFormat="1" applyFont="1" applyFill="1" applyBorder="1" applyAlignment="1">
      <alignment horizontal="right" vertical="center"/>
    </xf>
    <xf numFmtId="195" fontId="42" fillId="9" borderId="2" xfId="0" applyNumberFormat="1" applyFont="1" applyFill="1" applyBorder="1" applyAlignment="1">
      <alignment horizontal="right" vertical="center"/>
    </xf>
    <xf numFmtId="195" fontId="39" fillId="7" borderId="1" xfId="0" applyNumberFormat="1" applyFont="1" applyFill="1" applyBorder="1" applyAlignment="1">
      <alignment horizontal="right" vertical="center"/>
    </xf>
    <xf numFmtId="195" fontId="42" fillId="7" borderId="1" xfId="0" applyNumberFormat="1" applyFont="1" applyFill="1" applyBorder="1" applyAlignment="1">
      <alignment horizontal="right" vertical="center"/>
    </xf>
    <xf numFmtId="195" fontId="39" fillId="7" borderId="8" xfId="0" applyNumberFormat="1" applyFont="1" applyFill="1" applyBorder="1" applyAlignment="1">
      <alignment horizontal="right" vertical="center"/>
    </xf>
    <xf numFmtId="0" fontId="42" fillId="4" borderId="41" xfId="0" applyNumberFormat="1" applyFont="1" applyFill="1" applyBorder="1" applyAlignment="1">
      <alignment horizontal="right" vertical="center"/>
    </xf>
    <xf numFmtId="0" fontId="42" fillId="4" borderId="42" xfId="0" applyFont="1" applyFill="1" applyBorder="1"/>
    <xf numFmtId="195" fontId="39" fillId="7" borderId="38" xfId="0" applyNumberFormat="1" applyFont="1" applyFill="1" applyBorder="1" applyAlignment="1">
      <alignment horizontal="right" vertical="center"/>
    </xf>
    <xf numFmtId="10" fontId="42" fillId="9" borderId="8" xfId="0" applyNumberFormat="1" applyFont="1" applyFill="1" applyBorder="1" applyAlignment="1">
      <alignment horizontal="right" vertical="center"/>
    </xf>
    <xf numFmtId="10" fontId="42" fillId="7" borderId="8" xfId="0" applyNumberFormat="1" applyFont="1" applyFill="1" applyBorder="1" applyAlignment="1">
      <alignment horizontal="right" vertical="center"/>
    </xf>
    <xf numFmtId="0" fontId="39" fillId="4" borderId="41" xfId="0" applyNumberFormat="1" applyFont="1" applyFill="1" applyBorder="1" applyAlignment="1">
      <alignment horizontal="right" vertical="center"/>
    </xf>
    <xf numFmtId="0" fontId="42" fillId="7" borderId="57" xfId="0" applyFont="1" applyFill="1" applyBorder="1" applyAlignment="1" applyProtection="1">
      <alignment horizontal="left" vertical="center"/>
      <protection hidden="1"/>
    </xf>
    <xf numFmtId="0" fontId="42" fillId="7" borderId="0" xfId="0" applyFont="1" applyFill="1" applyBorder="1" applyAlignment="1" applyProtection="1">
      <alignment horizontal="left" vertical="center"/>
      <protection hidden="1"/>
    </xf>
    <xf numFmtId="0" fontId="40" fillId="10" borderId="0" xfId="10" applyFont="1" applyFill="1" applyBorder="1" applyAlignment="1" applyProtection="1">
      <alignment horizontal="center" vertical="center"/>
      <protection hidden="1"/>
    </xf>
    <xf numFmtId="186" fontId="39" fillId="8" borderId="0" xfId="0" applyNumberFormat="1" applyFont="1" applyFill="1" applyBorder="1" applyAlignment="1" applyProtection="1">
      <alignment horizontal="left" vertical="center"/>
      <protection hidden="1"/>
    </xf>
    <xf numFmtId="10" fontId="42" fillId="8" borderId="0" xfId="0" applyNumberFormat="1" applyFont="1" applyFill="1" applyBorder="1" applyAlignment="1" applyProtection="1">
      <alignment horizontal="right" vertical="center"/>
      <protection hidden="1"/>
    </xf>
    <xf numFmtId="2" fontId="46" fillId="7" borderId="65" xfId="0" applyNumberFormat="1" applyFont="1" applyFill="1" applyBorder="1" applyAlignment="1" applyProtection="1">
      <alignment horizontal="right" vertical="center"/>
      <protection hidden="1"/>
    </xf>
    <xf numFmtId="176" fontId="51" fillId="7" borderId="72" xfId="2" applyNumberFormat="1" applyFont="1" applyFill="1" applyBorder="1" applyAlignment="1">
      <alignment vertical="center"/>
    </xf>
    <xf numFmtId="176" fontId="51" fillId="7" borderId="72" xfId="0" applyNumberFormat="1" applyFont="1" applyFill="1" applyBorder="1" applyAlignment="1">
      <alignment vertical="center"/>
    </xf>
    <xf numFmtId="49" fontId="42" fillId="7" borderId="73" xfId="0" applyNumberFormat="1" applyFont="1" applyFill="1" applyBorder="1" applyAlignment="1">
      <alignment vertical="center"/>
    </xf>
    <xf numFmtId="183" fontId="39" fillId="9" borderId="50" xfId="0" applyNumberFormat="1" applyFont="1" applyFill="1" applyBorder="1" applyAlignment="1" applyProtection="1">
      <alignment horizontal="right" vertical="center"/>
      <protection hidden="1"/>
    </xf>
    <xf numFmtId="0" fontId="40" fillId="7" borderId="0" xfId="0" applyFont="1" applyFill="1" applyBorder="1" applyAlignment="1" applyProtection="1">
      <alignment horizontal="left" vertical="center"/>
      <protection hidden="1"/>
    </xf>
    <xf numFmtId="176" fontId="41" fillId="4" borderId="0" xfId="0" applyNumberFormat="1" applyFont="1" applyFill="1" applyBorder="1" applyAlignment="1" applyProtection="1">
      <alignment horizontal="left" vertical="center"/>
      <protection hidden="1"/>
    </xf>
    <xf numFmtId="0" fontId="43" fillId="7" borderId="74" xfId="0" applyFont="1" applyFill="1" applyBorder="1" applyAlignment="1" applyProtection="1">
      <alignment horizontal="left" vertical="center"/>
      <protection hidden="1"/>
    </xf>
    <xf numFmtId="0" fontId="43" fillId="7" borderId="75" xfId="0" applyFont="1" applyFill="1" applyBorder="1" applyAlignment="1" applyProtection="1">
      <alignment horizontal="left" vertical="center"/>
      <protection hidden="1"/>
    </xf>
    <xf numFmtId="192" fontId="43" fillId="7" borderId="76" xfId="0" applyNumberFormat="1" applyFont="1" applyFill="1" applyBorder="1" applyAlignment="1" applyProtection="1">
      <alignment horizontal="right" vertical="center"/>
      <protection hidden="1"/>
    </xf>
    <xf numFmtId="9" fontId="43" fillId="7" borderId="77" xfId="0" applyNumberFormat="1" applyFont="1" applyFill="1" applyBorder="1" applyAlignment="1" applyProtection="1">
      <alignment horizontal="center" vertical="center"/>
      <protection hidden="1"/>
    </xf>
    <xf numFmtId="10" fontId="43" fillId="7" borderId="78" xfId="0" applyNumberFormat="1" applyFont="1" applyFill="1" applyBorder="1" applyAlignment="1" applyProtection="1">
      <alignment horizontal="center" vertical="center"/>
      <protection hidden="1"/>
    </xf>
    <xf numFmtId="9" fontId="43" fillId="7" borderId="79" xfId="0" applyNumberFormat="1" applyFont="1" applyFill="1" applyBorder="1" applyAlignment="1" applyProtection="1">
      <alignment horizontal="right" vertical="center"/>
      <protection hidden="1"/>
    </xf>
    <xf numFmtId="10" fontId="43" fillId="7" borderId="72" xfId="0" applyNumberFormat="1" applyFont="1" applyFill="1" applyBorder="1" applyAlignment="1" applyProtection="1">
      <alignment horizontal="right" vertical="center"/>
      <protection hidden="1"/>
    </xf>
    <xf numFmtId="9" fontId="43" fillId="7" borderId="69" xfId="0" applyNumberFormat="1" applyFont="1" applyFill="1" applyBorder="1" applyAlignment="1" applyProtection="1">
      <alignment horizontal="center" vertical="center"/>
      <protection hidden="1"/>
    </xf>
    <xf numFmtId="10" fontId="43" fillId="7" borderId="71" xfId="0" applyNumberFormat="1" applyFont="1" applyFill="1" applyBorder="1" applyAlignment="1" applyProtection="1">
      <alignment horizontal="center" vertical="center"/>
      <protection hidden="1"/>
    </xf>
    <xf numFmtId="10" fontId="43" fillId="7" borderId="72" xfId="0" applyNumberFormat="1" applyFont="1" applyFill="1" applyBorder="1" applyAlignment="1" applyProtection="1">
      <alignment horizontal="center" vertical="center"/>
      <protection hidden="1"/>
    </xf>
    <xf numFmtId="9" fontId="43" fillId="7" borderId="79" xfId="0" applyNumberFormat="1" applyFont="1" applyFill="1" applyBorder="1" applyAlignment="1" applyProtection="1">
      <alignment horizontal="center" vertical="center"/>
      <protection hidden="1"/>
    </xf>
    <xf numFmtId="0" fontId="43" fillId="7" borderId="76" xfId="0" applyFont="1" applyFill="1" applyBorder="1" applyAlignment="1" applyProtection="1">
      <alignment horizontal="left" vertical="center"/>
      <protection hidden="1"/>
    </xf>
    <xf numFmtId="184" fontId="43" fillId="7" borderId="80" xfId="0" applyNumberFormat="1" applyFont="1" applyFill="1" applyBorder="1" applyAlignment="1" applyProtection="1">
      <alignment horizontal="center" vertical="center"/>
      <protection hidden="1"/>
    </xf>
    <xf numFmtId="49" fontId="42" fillId="7" borderId="57" xfId="17" applyNumberFormat="1" applyFont="1" applyFill="1" applyBorder="1" applyAlignment="1" applyProtection="1">
      <alignment horizontal="right" vertical="center"/>
      <protection hidden="1"/>
    </xf>
    <xf numFmtId="49" fontId="42" fillId="7" borderId="56" xfId="17" applyNumberFormat="1" applyFont="1" applyFill="1" applyBorder="1" applyAlignment="1" applyProtection="1">
      <alignment horizontal="right" vertical="center"/>
      <protection hidden="1"/>
    </xf>
    <xf numFmtId="9" fontId="42" fillId="9" borderId="81" xfId="2" applyNumberFormat="1" applyFont="1" applyFill="1" applyBorder="1" applyAlignment="1">
      <alignment vertical="center"/>
    </xf>
    <xf numFmtId="9" fontId="42" fillId="9" borderId="82" xfId="2" applyNumberFormat="1" applyFont="1" applyFill="1" applyBorder="1" applyAlignment="1">
      <alignment vertical="center"/>
    </xf>
    <xf numFmtId="9" fontId="42" fillId="9" borderId="83" xfId="2" applyNumberFormat="1" applyFont="1" applyFill="1" applyBorder="1" applyAlignment="1">
      <alignment vertical="center"/>
    </xf>
    <xf numFmtId="176" fontId="42" fillId="7" borderId="72" xfId="2" applyNumberFormat="1" applyFont="1" applyFill="1" applyBorder="1" applyAlignment="1">
      <alignment vertical="center"/>
    </xf>
    <xf numFmtId="0" fontId="39" fillId="7" borderId="41" xfId="0" applyNumberFormat="1" applyFont="1" applyFill="1" applyBorder="1" applyAlignment="1">
      <alignment vertical="center"/>
    </xf>
    <xf numFmtId="0" fontId="39" fillId="7" borderId="43" xfId="0" applyNumberFormat="1" applyFont="1" applyFill="1" applyBorder="1" applyAlignment="1">
      <alignment vertical="center"/>
    </xf>
    <xf numFmtId="0" fontId="39" fillId="7" borderId="44" xfId="0" applyNumberFormat="1" applyFont="1" applyFill="1" applyBorder="1" applyAlignment="1">
      <alignment vertical="center"/>
    </xf>
    <xf numFmtId="0" fontId="67" fillId="0" borderId="29" xfId="0" applyFont="1" applyBorder="1"/>
    <xf numFmtId="0" fontId="42" fillId="9" borderId="0" xfId="2" applyNumberFormat="1" applyFont="1" applyFill="1" applyBorder="1" applyAlignment="1" applyProtection="1">
      <alignment horizontal="right" vertical="center"/>
      <protection hidden="1"/>
    </xf>
    <xf numFmtId="0" fontId="42" fillId="7" borderId="0" xfId="2" applyNumberFormat="1" applyFont="1" applyFill="1" applyBorder="1" applyAlignment="1" applyProtection="1">
      <alignment horizontal="right" vertical="center"/>
      <protection hidden="1"/>
    </xf>
    <xf numFmtId="183" fontId="42" fillId="9" borderId="57" xfId="0" applyNumberFormat="1" applyFont="1" applyFill="1" applyBorder="1" applyAlignment="1" applyProtection="1">
      <alignment horizontal="right" vertical="center"/>
      <protection hidden="1"/>
    </xf>
    <xf numFmtId="0" fontId="42" fillId="9" borderId="56" xfId="0" applyNumberFormat="1" applyFont="1" applyFill="1" applyBorder="1" applyAlignment="1" applyProtection="1">
      <alignment horizontal="left" vertical="center"/>
      <protection hidden="1"/>
    </xf>
    <xf numFmtId="0" fontId="42" fillId="9" borderId="57" xfId="0" applyNumberFormat="1" applyFont="1" applyFill="1" applyBorder="1" applyAlignment="1" applyProtection="1">
      <alignment horizontal="left" vertical="center"/>
      <protection hidden="1"/>
    </xf>
    <xf numFmtId="0" fontId="42" fillId="9" borderId="57" xfId="0" applyFont="1" applyFill="1" applyBorder="1" applyAlignment="1" applyProtection="1">
      <alignment horizontal="left" vertical="center"/>
      <protection hidden="1"/>
    </xf>
    <xf numFmtId="185" fontId="42" fillId="7" borderId="0" xfId="2" applyNumberFormat="1" applyFont="1" applyFill="1" applyBorder="1" applyAlignment="1" applyProtection="1">
      <alignment horizontal="right" vertical="center"/>
      <protection hidden="1"/>
    </xf>
    <xf numFmtId="182" fontId="80" fillId="9" borderId="57" xfId="0" applyNumberFormat="1" applyFont="1" applyFill="1" applyBorder="1" applyAlignment="1" applyProtection="1">
      <alignment vertical="center"/>
      <protection hidden="1"/>
    </xf>
    <xf numFmtId="182" fontId="42" fillId="9" borderId="0" xfId="2" applyNumberFormat="1" applyFont="1" applyFill="1" applyBorder="1" applyAlignment="1" applyProtection="1">
      <alignment horizontal="right" vertical="center"/>
      <protection hidden="1"/>
    </xf>
    <xf numFmtId="186" fontId="80" fillId="9" borderId="1" xfId="0" applyNumberFormat="1" applyFont="1" applyFill="1" applyBorder="1" applyAlignment="1">
      <alignment horizontal="right" vertical="center"/>
    </xf>
    <xf numFmtId="186" fontId="42" fillId="9" borderId="1" xfId="0" applyNumberFormat="1" applyFont="1" applyFill="1" applyBorder="1" applyAlignment="1">
      <alignment horizontal="right" vertical="center"/>
    </xf>
    <xf numFmtId="186" fontId="42" fillId="9" borderId="2" xfId="0" applyNumberFormat="1" applyFont="1" applyFill="1" applyBorder="1" applyAlignment="1">
      <alignment horizontal="right" vertical="center"/>
    </xf>
    <xf numFmtId="186" fontId="42" fillId="9" borderId="13" xfId="0" applyNumberFormat="1" applyFont="1" applyFill="1" applyBorder="1" applyAlignment="1">
      <alignment horizontal="right" vertical="center"/>
    </xf>
    <xf numFmtId="197" fontId="42" fillId="7" borderId="0" xfId="0" applyNumberFormat="1" applyFont="1" applyFill="1" applyBorder="1" applyAlignment="1" applyProtection="1">
      <alignment horizontal="center" vertical="center"/>
      <protection hidden="1"/>
    </xf>
    <xf numFmtId="10" fontId="43" fillId="9" borderId="76" xfId="0" applyNumberFormat="1" applyFont="1" applyFill="1" applyBorder="1" applyAlignment="1" applyProtection="1">
      <alignment horizontal="right" vertical="center"/>
      <protection hidden="1"/>
    </xf>
    <xf numFmtId="183" fontId="43" fillId="9" borderId="80" xfId="0" applyNumberFormat="1" applyFont="1" applyFill="1" applyBorder="1" applyAlignment="1" applyProtection="1">
      <alignment horizontal="right" vertical="center"/>
      <protection hidden="1"/>
    </xf>
    <xf numFmtId="0" fontId="46" fillId="9" borderId="57" xfId="0" applyNumberFormat="1" applyFont="1" applyFill="1" applyBorder="1" applyAlignment="1" applyProtection="1">
      <alignment vertical="center"/>
      <protection hidden="1"/>
    </xf>
    <xf numFmtId="0" fontId="46" fillId="9" borderId="57" xfId="0" applyFont="1" applyFill="1" applyBorder="1" applyAlignment="1" applyProtection="1">
      <alignment horizontal="right" vertical="center"/>
      <protection hidden="1"/>
    </xf>
    <xf numFmtId="0" fontId="46" fillId="9" borderId="57" xfId="0" applyFont="1" applyFill="1" applyBorder="1" applyAlignment="1" applyProtection="1">
      <alignment horizontal="left" vertical="center"/>
      <protection hidden="1"/>
    </xf>
    <xf numFmtId="0" fontId="42" fillId="7" borderId="0" xfId="0" applyFont="1" applyFill="1" applyBorder="1" applyAlignment="1" applyProtection="1">
      <alignment horizontal="left" vertical="center"/>
      <protection hidden="1"/>
    </xf>
    <xf numFmtId="10" fontId="80" fillId="9" borderId="57" xfId="17" applyNumberFormat="1" applyFont="1" applyFill="1" applyBorder="1" applyAlignment="1" applyProtection="1">
      <alignment horizontal="right" vertical="center"/>
      <protection hidden="1"/>
    </xf>
    <xf numFmtId="196" fontId="40" fillId="10" borderId="0" xfId="0" applyNumberFormat="1" applyFont="1" applyFill="1" applyBorder="1" applyAlignment="1" applyProtection="1">
      <alignment horizontal="center" vertical="center"/>
      <protection hidden="1"/>
    </xf>
    <xf numFmtId="177" fontId="42" fillId="7" borderId="0" xfId="0" applyNumberFormat="1" applyFont="1" applyFill="1" applyBorder="1" applyAlignment="1" applyProtection="1">
      <alignment horizontal="center" vertical="center"/>
      <protection hidden="1"/>
    </xf>
    <xf numFmtId="0" fontId="42" fillId="7" borderId="0" xfId="0" applyNumberFormat="1" applyFont="1" applyFill="1" applyBorder="1" applyAlignment="1" applyProtection="1">
      <alignment horizontal="left" vertical="center"/>
      <protection hidden="1"/>
    </xf>
    <xf numFmtId="10" fontId="42" fillId="7" borderId="0" xfId="0" applyNumberFormat="1" applyFont="1" applyFill="1" applyBorder="1" applyAlignment="1" applyProtection="1">
      <alignment horizontal="left" vertical="center"/>
      <protection hidden="1"/>
    </xf>
    <xf numFmtId="0" fontId="45" fillId="7" borderId="0" xfId="0" applyFont="1" applyFill="1" applyBorder="1" applyAlignment="1" applyProtection="1">
      <alignment horizontal="left" vertical="center"/>
      <protection hidden="1"/>
    </xf>
    <xf numFmtId="188" fontId="42" fillId="0" borderId="0" xfId="0" applyNumberFormat="1" applyFont="1" applyFill="1" applyBorder="1" applyAlignment="1" applyProtection="1">
      <alignment vertical="center"/>
    </xf>
    <xf numFmtId="0" fontId="81" fillId="0" borderId="57" xfId="0" applyFont="1" applyFill="1" applyBorder="1" applyAlignment="1" applyProtection="1">
      <alignment horizontal="right" vertical="center"/>
      <protection hidden="1"/>
    </xf>
    <xf numFmtId="0" fontId="42" fillId="4" borderId="1" xfId="0" applyFont="1" applyFill="1" applyBorder="1" applyAlignment="1">
      <alignment horizontal="right" vertical="center"/>
    </xf>
    <xf numFmtId="17" fontId="42" fillId="4" borderId="1" xfId="0" applyNumberFormat="1" applyFont="1" applyFill="1" applyBorder="1" applyAlignment="1">
      <alignment horizontal="right" vertical="center"/>
    </xf>
    <xf numFmtId="0" fontId="42" fillId="9" borderId="45" xfId="0" applyNumberFormat="1" applyFont="1" applyFill="1" applyBorder="1" applyAlignment="1">
      <alignment vertical="center"/>
    </xf>
    <xf numFmtId="0" fontId="70" fillId="9" borderId="57" xfId="0" applyFont="1" applyFill="1" applyBorder="1" applyAlignment="1" applyProtection="1">
      <alignment horizontal="left" vertical="center"/>
      <protection hidden="1"/>
    </xf>
    <xf numFmtId="187" fontId="42" fillId="9" borderId="57" xfId="17" applyNumberFormat="1" applyFont="1" applyFill="1" applyBorder="1" applyAlignment="1" applyProtection="1">
      <alignment horizontal="left" vertical="center"/>
      <protection hidden="1"/>
    </xf>
    <xf numFmtId="180" fontId="81" fillId="7" borderId="1" xfId="0" applyNumberFormat="1" applyFont="1" applyFill="1" applyBorder="1" applyAlignment="1">
      <alignment horizontal="right" vertical="center"/>
    </xf>
    <xf numFmtId="181" fontId="39" fillId="7" borderId="39" xfId="0" applyNumberFormat="1" applyFont="1" applyFill="1" applyBorder="1" applyAlignment="1">
      <alignment vertical="center"/>
    </xf>
    <xf numFmtId="0" fontId="71" fillId="7" borderId="57" xfId="17" applyFont="1" applyFill="1" applyBorder="1" applyAlignment="1" applyProtection="1">
      <alignment horizontal="right" vertical="center"/>
    </xf>
    <xf numFmtId="0" fontId="71" fillId="7" borderId="56" xfId="17" applyFont="1" applyFill="1" applyBorder="1" applyAlignment="1" applyProtection="1">
      <alignment horizontal="right" vertical="center"/>
    </xf>
    <xf numFmtId="196" fontId="71" fillId="9" borderId="0" xfId="0" applyNumberFormat="1" applyFont="1" applyFill="1" applyBorder="1" applyAlignment="1" applyProtection="1">
      <alignment horizontal="right" vertical="center"/>
    </xf>
    <xf numFmtId="196" fontId="71" fillId="7" borderId="0" xfId="0" applyNumberFormat="1" applyFont="1" applyFill="1" applyBorder="1" applyAlignment="1" applyProtection="1">
      <alignment horizontal="right" vertical="center"/>
    </xf>
    <xf numFmtId="49" fontId="71" fillId="7" borderId="0" xfId="0" applyNumberFormat="1" applyFont="1" applyFill="1" applyBorder="1" applyAlignment="1" applyProtection="1">
      <alignment horizontal="left" vertical="center"/>
    </xf>
    <xf numFmtId="0" fontId="71" fillId="7" borderId="0" xfId="0" applyFont="1" applyFill="1" applyBorder="1" applyAlignment="1" applyProtection="1">
      <alignment horizontal="left" vertical="center"/>
    </xf>
    <xf numFmtId="183" fontId="71" fillId="7" borderId="0" xfId="10" applyNumberFormat="1" applyFont="1" applyFill="1" applyBorder="1" applyAlignment="1" applyProtection="1">
      <alignment horizontal="right" vertical="center"/>
    </xf>
    <xf numFmtId="182" fontId="82" fillId="9" borderId="57" xfId="0" applyNumberFormat="1" applyFont="1" applyFill="1" applyBorder="1" applyAlignment="1" applyProtection="1">
      <alignment vertical="center"/>
      <protection hidden="1"/>
    </xf>
    <xf numFmtId="196" fontId="83" fillId="7" borderId="0" xfId="0" applyNumberFormat="1" applyFont="1" applyFill="1" applyBorder="1" applyAlignment="1" applyProtection="1">
      <alignment horizontal="right" vertical="center"/>
      <protection hidden="1"/>
    </xf>
    <xf numFmtId="176" fontId="83" fillId="7" borderId="0" xfId="0" applyNumberFormat="1" applyFont="1" applyFill="1" applyBorder="1" applyAlignment="1" applyProtection="1">
      <alignment horizontal="center" vertical="center"/>
      <protection hidden="1"/>
    </xf>
    <xf numFmtId="14" fontId="42" fillId="0" borderId="13" xfId="0" applyNumberFormat="1" applyFont="1" applyFill="1" applyBorder="1" applyAlignment="1">
      <alignment horizontal="left" vertical="center"/>
    </xf>
    <xf numFmtId="184" fontId="42" fillId="7" borderId="0" xfId="0" applyNumberFormat="1" applyFont="1" applyFill="1" applyBorder="1" applyAlignment="1">
      <alignment horizontal="center" vertical="center"/>
    </xf>
    <xf numFmtId="2" fontId="42" fillId="7" borderId="0" xfId="0" applyNumberFormat="1" applyFont="1" applyFill="1" applyBorder="1" applyAlignment="1">
      <alignment horizontal="center" vertical="center"/>
    </xf>
    <xf numFmtId="184" fontId="42" fillId="7" borderId="0" xfId="0" applyNumberFormat="1" applyFont="1" applyFill="1" applyBorder="1" applyAlignment="1" applyProtection="1">
      <alignment horizontal="center" vertical="center"/>
      <protection hidden="1"/>
    </xf>
    <xf numFmtId="0" fontId="84" fillId="10" borderId="0" xfId="0" applyFont="1" applyFill="1" applyBorder="1" applyAlignment="1">
      <alignment horizontal="left" vertical="top" wrapText="1"/>
    </xf>
    <xf numFmtId="0" fontId="76" fillId="10" borderId="0" xfId="0" applyFont="1" applyFill="1" applyBorder="1" applyAlignment="1">
      <alignment horizontal="left" vertical="top" wrapText="1"/>
    </xf>
    <xf numFmtId="0" fontId="42" fillId="7" borderId="0" xfId="0" applyFont="1" applyFill="1" applyAlignment="1" applyProtection="1">
      <alignment horizontal="left" vertical="center"/>
      <protection hidden="1"/>
    </xf>
    <xf numFmtId="0" fontId="39" fillId="7" borderId="0" xfId="0" applyFont="1" applyFill="1" applyAlignment="1" applyProtection="1">
      <alignment horizontal="left" vertical="center"/>
      <protection hidden="1"/>
    </xf>
    <xf numFmtId="0" fontId="42" fillId="0" borderId="1" xfId="0" applyFont="1" applyBorder="1" applyAlignment="1">
      <alignment horizontal="center" vertical="center" wrapText="1"/>
    </xf>
    <xf numFmtId="0" fontId="42" fillId="0" borderId="2" xfId="0" applyFont="1" applyBorder="1" applyAlignment="1">
      <alignment vertical="center" wrapText="1"/>
    </xf>
    <xf numFmtId="0" fontId="42" fillId="0" borderId="4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5" fillId="0" borderId="1" xfId="0" applyFont="1" applyBorder="1" applyAlignment="1">
      <alignment horizontal="left" vertical="center" wrapText="1"/>
    </xf>
    <xf numFmtId="9" fontId="42" fillId="7" borderId="54" xfId="0" applyNumberFormat="1" applyFont="1" applyFill="1" applyBorder="1" applyAlignment="1" applyProtection="1">
      <alignment horizontal="left" vertical="center"/>
      <protection hidden="1"/>
    </xf>
    <xf numFmtId="9" fontId="42" fillId="7" borderId="64" xfId="0" applyNumberFormat="1" applyFont="1" applyFill="1" applyBorder="1" applyAlignment="1" applyProtection="1">
      <alignment horizontal="left" vertical="center"/>
      <protection hidden="1"/>
    </xf>
    <xf numFmtId="9" fontId="42" fillId="7" borderId="57" xfId="0" applyNumberFormat="1" applyFont="1" applyFill="1" applyBorder="1" applyAlignment="1" applyProtection="1">
      <alignment horizontal="left" vertical="center"/>
      <protection hidden="1"/>
    </xf>
    <xf numFmtId="9" fontId="42" fillId="7" borderId="65" xfId="0" applyNumberFormat="1" applyFont="1" applyFill="1" applyBorder="1" applyAlignment="1" applyProtection="1">
      <alignment horizontal="left" vertical="center"/>
      <protection hidden="1"/>
    </xf>
    <xf numFmtId="0" fontId="42" fillId="7" borderId="57" xfId="0" applyFont="1" applyFill="1" applyBorder="1" applyAlignment="1" applyProtection="1">
      <alignment horizontal="left" vertical="center" wrapText="1"/>
      <protection hidden="1"/>
    </xf>
    <xf numFmtId="0" fontId="42" fillId="7" borderId="65" xfId="0" applyFont="1" applyFill="1" applyBorder="1" applyAlignment="1" applyProtection="1">
      <alignment horizontal="left" vertical="center" wrapText="1"/>
      <protection hidden="1"/>
    </xf>
    <xf numFmtId="0" fontId="42" fillId="0" borderId="2" xfId="0" applyFont="1" applyBorder="1" applyAlignment="1">
      <alignment horizontal="left" vertical="center" wrapText="1"/>
    </xf>
    <xf numFmtId="0" fontId="42" fillId="0" borderId="4" xfId="0" applyFont="1" applyBorder="1" applyAlignment="1">
      <alignment horizontal="left" vertical="center" wrapText="1"/>
    </xf>
    <xf numFmtId="9" fontId="42" fillId="7" borderId="56" xfId="0" applyNumberFormat="1" applyFont="1" applyFill="1" applyBorder="1" applyAlignment="1" applyProtection="1">
      <alignment horizontal="left" vertical="center"/>
      <protection hidden="1"/>
    </xf>
    <xf numFmtId="9" fontId="42" fillId="7" borderId="67" xfId="0" applyNumberFormat="1" applyFont="1" applyFill="1" applyBorder="1" applyAlignment="1" applyProtection="1">
      <alignment horizontal="left" vertical="center"/>
      <protection hidden="1"/>
    </xf>
    <xf numFmtId="0" fontId="42" fillId="7" borderId="61" xfId="0" applyFont="1" applyFill="1" applyBorder="1" applyAlignment="1" applyProtection="1">
      <alignment horizontal="left" vertical="center" wrapText="1"/>
      <protection hidden="1"/>
    </xf>
    <xf numFmtId="0" fontId="42" fillId="7" borderId="62" xfId="0" applyFont="1" applyFill="1" applyBorder="1" applyAlignment="1" applyProtection="1">
      <alignment horizontal="left" vertical="center" wrapText="1"/>
      <protection hidden="1"/>
    </xf>
    <xf numFmtId="0" fontId="42" fillId="7" borderId="63" xfId="0" applyFont="1" applyFill="1" applyBorder="1" applyAlignment="1" applyProtection="1">
      <alignment horizontal="left" vertical="center" wrapText="1"/>
      <protection hidden="1"/>
    </xf>
    <xf numFmtId="0" fontId="42" fillId="7" borderId="54" xfId="0" applyFont="1" applyFill="1" applyBorder="1" applyAlignment="1" applyProtection="1">
      <alignment horizontal="left" vertical="center" wrapText="1"/>
      <protection hidden="1"/>
    </xf>
    <xf numFmtId="0" fontId="42" fillId="7" borderId="56" xfId="0" applyFont="1" applyFill="1" applyBorder="1" applyAlignment="1" applyProtection="1">
      <alignment horizontal="left" vertical="center" wrapText="1"/>
      <protection hidden="1"/>
    </xf>
    <xf numFmtId="0" fontId="42" fillId="7" borderId="65" xfId="0" applyFont="1" applyFill="1" applyBorder="1" applyAlignment="1" applyProtection="1">
      <alignment horizontal="left" vertical="center"/>
      <protection hidden="1"/>
    </xf>
    <xf numFmtId="0" fontId="42" fillId="7" borderId="0" xfId="0" applyFont="1" applyFill="1" applyBorder="1" applyAlignment="1" applyProtection="1">
      <alignment horizontal="left" vertical="center"/>
      <protection hidden="1"/>
    </xf>
    <xf numFmtId="0" fontId="42" fillId="7" borderId="0" xfId="0" applyFont="1" applyFill="1" applyBorder="1" applyAlignment="1" applyProtection="1">
      <alignment horizontal="left" vertical="center" wrapText="1"/>
      <protection hidden="1"/>
    </xf>
    <xf numFmtId="0" fontId="42" fillId="7" borderId="67" xfId="0" applyFont="1" applyFill="1" applyBorder="1" applyAlignment="1" applyProtection="1">
      <alignment horizontal="left" vertical="center" wrapText="1"/>
      <protection hidden="1"/>
    </xf>
    <xf numFmtId="0" fontId="42" fillId="7" borderId="54" xfId="0" applyFont="1" applyFill="1" applyBorder="1" applyAlignment="1" applyProtection="1">
      <alignment horizontal="left" vertical="center"/>
      <protection hidden="1"/>
    </xf>
    <xf numFmtId="0" fontId="42" fillId="7" borderId="64" xfId="0" applyFont="1" applyFill="1" applyBorder="1" applyAlignment="1" applyProtection="1">
      <alignment horizontal="left" vertical="center"/>
      <protection hidden="1"/>
    </xf>
    <xf numFmtId="0" fontId="42" fillId="7" borderId="57" xfId="0" applyFont="1" applyFill="1" applyBorder="1" applyAlignment="1" applyProtection="1">
      <alignment horizontal="left" vertical="center"/>
      <protection hidden="1"/>
    </xf>
    <xf numFmtId="0" fontId="42" fillId="7" borderId="64" xfId="0" applyFont="1" applyFill="1" applyBorder="1" applyAlignment="1" applyProtection="1">
      <alignment horizontal="left" vertical="center" wrapText="1"/>
      <protection hidden="1"/>
    </xf>
    <xf numFmtId="0" fontId="10" fillId="4" borderId="1" xfId="0" applyFont="1" applyFill="1" applyBorder="1" applyAlignment="1" applyProtection="1">
      <alignment horizontal="center" vertical="center"/>
      <protection hidden="1"/>
    </xf>
    <xf numFmtId="0" fontId="11" fillId="4" borderId="0" xfId="0" applyFont="1" applyFill="1" applyAlignment="1" applyProtection="1">
      <alignment horizontal="left"/>
      <protection hidden="1"/>
    </xf>
    <xf numFmtId="0" fontId="10" fillId="4" borderId="2" xfId="0" applyFont="1" applyFill="1" applyBorder="1" applyAlignment="1" applyProtection="1">
      <alignment horizontal="left" vertical="center"/>
      <protection hidden="1"/>
    </xf>
    <xf numFmtId="0" fontId="10" fillId="4" borderId="46" xfId="0" applyFont="1" applyFill="1" applyBorder="1" applyAlignment="1" applyProtection="1">
      <alignment horizontal="left" vertical="center"/>
      <protection hidden="1"/>
    </xf>
    <xf numFmtId="0" fontId="10" fillId="4" borderId="4" xfId="0" applyFont="1" applyFill="1" applyBorder="1" applyAlignment="1" applyProtection="1">
      <alignment horizontal="left" vertical="center"/>
      <protection hidden="1"/>
    </xf>
    <xf numFmtId="0" fontId="10" fillId="4" borderId="3" xfId="0" applyFont="1" applyFill="1" applyBorder="1" applyAlignment="1" applyProtection="1">
      <alignment horizontal="left" vertical="center" wrapText="1"/>
      <protection hidden="1"/>
    </xf>
    <xf numFmtId="0" fontId="22" fillId="4" borderId="8" xfId="0" applyFont="1" applyFill="1" applyBorder="1" applyAlignment="1" applyProtection="1">
      <alignment horizontal="center" vertical="center"/>
      <protection hidden="1"/>
    </xf>
    <xf numFmtId="0" fontId="10" fillId="4" borderId="38" xfId="0" applyFont="1" applyFill="1" applyBorder="1" applyAlignment="1" applyProtection="1">
      <alignment horizontal="center" vertical="center"/>
      <protection hidden="1"/>
    </xf>
    <xf numFmtId="0" fontId="10" fillId="4" borderId="7" xfId="0" applyFont="1" applyFill="1" applyBorder="1" applyAlignment="1" applyProtection="1">
      <alignment horizontal="center" vertical="center"/>
      <protection hidden="1"/>
    </xf>
    <xf numFmtId="0" fontId="10" fillId="4" borderId="8" xfId="0" applyFont="1" applyFill="1" applyBorder="1" applyAlignment="1" applyProtection="1">
      <alignment horizontal="center" vertical="center"/>
      <protection hidden="1"/>
    </xf>
    <xf numFmtId="0" fontId="10" fillId="4" borderId="8" xfId="0" applyFont="1" applyFill="1" applyBorder="1" applyAlignment="1" applyProtection="1">
      <alignment horizontal="left" vertical="center"/>
      <protection hidden="1"/>
    </xf>
    <xf numFmtId="0" fontId="10" fillId="4" borderId="7" xfId="0" applyFont="1" applyFill="1" applyBorder="1" applyAlignment="1" applyProtection="1">
      <alignment horizontal="left" vertical="center"/>
      <protection hidden="1"/>
    </xf>
    <xf numFmtId="0" fontId="10" fillId="4" borderId="35" xfId="0" applyFont="1" applyFill="1" applyBorder="1" applyAlignment="1" applyProtection="1">
      <alignment horizontal="left" vertical="center"/>
      <protection hidden="1"/>
    </xf>
    <xf numFmtId="0" fontId="10" fillId="4" borderId="45" xfId="0" applyFont="1" applyFill="1" applyBorder="1" applyAlignment="1" applyProtection="1">
      <alignment horizontal="left" vertical="center"/>
      <protection hidden="1"/>
    </xf>
    <xf numFmtId="0" fontId="10" fillId="4" borderId="47" xfId="0" applyFont="1" applyFill="1" applyBorder="1" applyAlignment="1" applyProtection="1">
      <alignment horizontal="left" vertical="center"/>
      <protection hidden="1"/>
    </xf>
    <xf numFmtId="0" fontId="10" fillId="4" borderId="22" xfId="0" applyFont="1" applyFill="1" applyBorder="1" applyAlignment="1" applyProtection="1">
      <alignment horizontal="left" vertical="center"/>
      <protection hidden="1"/>
    </xf>
    <xf numFmtId="0" fontId="10" fillId="4" borderId="9" xfId="0" applyFont="1" applyFill="1" applyBorder="1" applyAlignment="1" applyProtection="1">
      <alignment horizontal="left" vertical="center"/>
      <protection hidden="1"/>
    </xf>
    <xf numFmtId="0" fontId="10" fillId="4" borderId="6" xfId="0" applyFont="1" applyFill="1" applyBorder="1" applyAlignment="1" applyProtection="1">
      <alignment horizontal="left" vertical="center"/>
      <protection hidden="1"/>
    </xf>
    <xf numFmtId="0" fontId="17" fillId="4" borderId="2" xfId="0" applyFont="1" applyFill="1" applyBorder="1" applyAlignment="1" applyProtection="1">
      <alignment horizontal="center" vertical="center"/>
      <protection hidden="1"/>
    </xf>
    <xf numFmtId="0" fontId="17" fillId="4" borderId="46" xfId="0" applyFont="1" applyFill="1" applyBorder="1" applyAlignment="1" applyProtection="1">
      <alignment horizontal="center" vertical="center"/>
      <protection hidden="1"/>
    </xf>
    <xf numFmtId="0" fontId="17" fillId="4" borderId="4" xfId="0" applyFont="1" applyFill="1" applyBorder="1" applyAlignment="1" applyProtection="1">
      <alignment horizontal="center" vertical="center"/>
      <protection hidden="1"/>
    </xf>
    <xf numFmtId="176" fontId="40" fillId="10" borderId="64" xfId="0" applyNumberFormat="1" applyFont="1" applyFill="1" applyBorder="1" applyAlignment="1" applyProtection="1">
      <alignment horizontal="center" vertical="center"/>
      <protection hidden="1"/>
    </xf>
    <xf numFmtId="176" fontId="40" fillId="10" borderId="55" xfId="0" applyNumberFormat="1" applyFont="1" applyFill="1" applyBorder="1" applyAlignment="1" applyProtection="1">
      <alignment horizontal="center" vertical="center"/>
      <protection hidden="1"/>
    </xf>
    <xf numFmtId="176" fontId="40" fillId="10" borderId="61" xfId="0" applyNumberFormat="1" applyFont="1" applyFill="1" applyBorder="1" applyAlignment="1" applyProtection="1">
      <alignment horizontal="center" vertical="center"/>
      <protection hidden="1"/>
    </xf>
    <xf numFmtId="49" fontId="40" fillId="10" borderId="0" xfId="0" applyNumberFormat="1" applyFont="1" applyFill="1" applyBorder="1" applyAlignment="1" applyProtection="1">
      <alignment horizontal="center" vertical="center"/>
      <protection hidden="1"/>
    </xf>
    <xf numFmtId="0" fontId="40" fillId="10" borderId="0" xfId="0" applyFont="1" applyFill="1" applyBorder="1" applyAlignment="1" applyProtection="1">
      <alignment horizontal="center" vertical="center"/>
      <protection hidden="1"/>
    </xf>
    <xf numFmtId="186" fontId="39" fillId="7" borderId="0" xfId="0" applyNumberFormat="1" applyFont="1" applyFill="1" applyBorder="1" applyAlignment="1" applyProtection="1">
      <alignment horizontal="left" vertical="center"/>
      <protection hidden="1"/>
    </xf>
    <xf numFmtId="0" fontId="40" fillId="10" borderId="64" xfId="0" applyFont="1" applyFill="1" applyBorder="1" applyAlignment="1" applyProtection="1">
      <alignment horizontal="center" vertical="center"/>
      <protection hidden="1"/>
    </xf>
    <xf numFmtId="0" fontId="40" fillId="10" borderId="55" xfId="0" applyFont="1" applyFill="1" applyBorder="1" applyAlignment="1" applyProtection="1">
      <alignment horizontal="center" vertical="center"/>
      <protection hidden="1"/>
    </xf>
    <xf numFmtId="0" fontId="40" fillId="10" borderId="61" xfId="0" applyFont="1" applyFill="1" applyBorder="1" applyAlignment="1" applyProtection="1">
      <alignment horizontal="center" vertical="center"/>
      <protection hidden="1"/>
    </xf>
    <xf numFmtId="0" fontId="40" fillId="10" borderId="65" xfId="0" applyFont="1" applyFill="1" applyBorder="1" applyAlignment="1" applyProtection="1">
      <alignment horizontal="center" vertical="center"/>
      <protection hidden="1"/>
    </xf>
    <xf numFmtId="0" fontId="43" fillId="7" borderId="0" xfId="0" applyFont="1" applyFill="1" applyBorder="1" applyAlignment="1" applyProtection="1">
      <alignment horizontal="left" vertical="center"/>
      <protection hidden="1"/>
    </xf>
    <xf numFmtId="0" fontId="43" fillId="7" borderId="74" xfId="0" applyFont="1" applyFill="1" applyBorder="1" applyAlignment="1" applyProtection="1">
      <alignment horizontal="left" vertical="center"/>
      <protection hidden="1"/>
    </xf>
    <xf numFmtId="0" fontId="43" fillId="7" borderId="75" xfId="0" applyFont="1" applyFill="1" applyBorder="1" applyAlignment="1" applyProtection="1">
      <alignment horizontal="left" vertical="center"/>
      <protection hidden="1"/>
    </xf>
    <xf numFmtId="0" fontId="40" fillId="10" borderId="62" xfId="0" applyFont="1" applyFill="1" applyBorder="1" applyAlignment="1" applyProtection="1">
      <alignment horizontal="center" vertical="center"/>
      <protection hidden="1"/>
    </xf>
    <xf numFmtId="0" fontId="76" fillId="10" borderId="0" xfId="0" applyFont="1" applyFill="1" applyBorder="1" applyAlignment="1" applyProtection="1">
      <alignment horizontal="left" vertical="center" wrapText="1"/>
      <protection hidden="1"/>
    </xf>
    <xf numFmtId="0" fontId="30" fillId="4" borderId="0" xfId="0" applyFont="1" applyFill="1" applyAlignment="1" applyProtection="1">
      <alignment horizontal="left"/>
      <protection hidden="1"/>
    </xf>
    <xf numFmtId="0" fontId="32" fillId="4" borderId="0" xfId="0" applyFont="1" applyFill="1" applyAlignment="1" applyProtection="1">
      <alignment horizontal="left"/>
      <protection hidden="1"/>
    </xf>
    <xf numFmtId="0" fontId="30" fillId="4" borderId="3" xfId="0" applyFont="1" applyFill="1" applyBorder="1" applyAlignment="1" applyProtection="1">
      <alignment horizontal="left" vertical="center" wrapText="1"/>
      <protection hidden="1"/>
    </xf>
    <xf numFmtId="0" fontId="30" fillId="4" borderId="8" xfId="0" applyFont="1" applyFill="1" applyBorder="1" applyAlignment="1" applyProtection="1">
      <alignment horizontal="left"/>
      <protection hidden="1"/>
    </xf>
    <xf numFmtId="0" fontId="30" fillId="4" borderId="38" xfId="0" applyFont="1" applyFill="1" applyBorder="1" applyAlignment="1" applyProtection="1">
      <alignment horizontal="left"/>
      <protection hidden="1"/>
    </xf>
    <xf numFmtId="0" fontId="30" fillId="4" borderId="7" xfId="0" applyFont="1" applyFill="1" applyBorder="1" applyAlignment="1" applyProtection="1">
      <alignment horizontal="left"/>
      <protection hidden="1"/>
    </xf>
    <xf numFmtId="0" fontId="34" fillId="0" borderId="0" xfId="0" applyFont="1" applyFill="1" applyAlignment="1" applyProtection="1">
      <alignment horizontal="center"/>
      <protection hidden="1"/>
    </xf>
    <xf numFmtId="0" fontId="38" fillId="0" borderId="3" xfId="0" applyFont="1" applyFill="1" applyBorder="1" applyAlignment="1" applyProtection="1">
      <alignment horizontal="center" vertical="center" wrapText="1"/>
      <protection hidden="1"/>
    </xf>
    <xf numFmtId="0" fontId="31" fillId="0" borderId="3" xfId="0" applyFont="1" applyFill="1" applyBorder="1" applyAlignment="1" applyProtection="1">
      <alignment horizontal="center"/>
      <protection hidden="1"/>
    </xf>
    <xf numFmtId="0" fontId="31" fillId="0" borderId="8" xfId="0" applyFont="1" applyFill="1" applyBorder="1" applyAlignment="1" applyProtection="1">
      <alignment horizontal="center"/>
      <protection hidden="1"/>
    </xf>
    <xf numFmtId="0" fontId="31" fillId="0" borderId="38" xfId="0" applyFont="1" applyFill="1" applyBorder="1" applyAlignment="1" applyProtection="1">
      <alignment horizontal="center"/>
      <protection hidden="1"/>
    </xf>
    <xf numFmtId="0" fontId="31" fillId="0" borderId="7" xfId="0" applyFont="1" applyFill="1" applyBorder="1" applyAlignment="1" applyProtection="1">
      <alignment horizontal="center"/>
      <protection hidden="1"/>
    </xf>
    <xf numFmtId="0" fontId="40" fillId="10" borderId="64" xfId="10" applyFont="1" applyFill="1" applyBorder="1" applyAlignment="1" applyProtection="1">
      <alignment horizontal="center" vertical="center"/>
      <protection hidden="1"/>
    </xf>
    <xf numFmtId="0" fontId="40" fillId="10" borderId="55" xfId="10" applyFont="1" applyFill="1" applyBorder="1" applyAlignment="1" applyProtection="1">
      <alignment horizontal="center" vertical="center"/>
      <protection hidden="1"/>
    </xf>
    <xf numFmtId="0" fontId="40" fillId="10" borderId="61" xfId="10" applyFont="1" applyFill="1" applyBorder="1" applyAlignment="1" applyProtection="1">
      <alignment horizontal="center" vertical="center"/>
      <protection hidden="1"/>
    </xf>
    <xf numFmtId="0" fontId="40" fillId="10" borderId="0" xfId="10" applyFont="1" applyFill="1" applyBorder="1" applyAlignment="1" applyProtection="1">
      <alignment horizontal="center" vertical="center"/>
      <protection hidden="1"/>
    </xf>
    <xf numFmtId="0" fontId="24" fillId="4" borderId="0" xfId="0" applyFont="1" applyFill="1" applyAlignment="1" applyProtection="1">
      <alignment horizontal="center"/>
      <protection hidden="1"/>
    </xf>
    <xf numFmtId="0" fontId="2" fillId="4" borderId="3" xfId="0" applyFont="1" applyFill="1" applyBorder="1" applyAlignment="1" applyProtection="1">
      <alignment horizontal="center" vertical="center" wrapText="1"/>
      <protection hidden="1"/>
    </xf>
    <xf numFmtId="0" fontId="2" fillId="4" borderId="8" xfId="0" applyFont="1" applyFill="1" applyBorder="1" applyAlignment="1" applyProtection="1">
      <alignment horizontal="center"/>
      <protection hidden="1"/>
    </xf>
    <xf numFmtId="0" fontId="2" fillId="4" borderId="38" xfId="0" applyFont="1" applyFill="1" applyBorder="1" applyAlignment="1" applyProtection="1">
      <alignment horizontal="center"/>
      <protection hidden="1"/>
    </xf>
    <xf numFmtId="0" fontId="2" fillId="4" borderId="7" xfId="0" applyFont="1" applyFill="1" applyBorder="1" applyAlignment="1" applyProtection="1">
      <alignment horizontal="center"/>
      <protection hidden="1"/>
    </xf>
  </cellXfs>
  <cellStyles count="24">
    <cellStyle name="3232" xfId="1"/>
    <cellStyle name="百分比" xfId="2" builtinId="5"/>
    <cellStyle name="百分比 2" xfId="3"/>
    <cellStyle name="百分比 3" xfId="4"/>
    <cellStyle name="常规" xfId="0" builtinId="0"/>
    <cellStyle name="常规 10" xfId="5"/>
    <cellStyle name="常规 16" xfId="6"/>
    <cellStyle name="常规 2" xfId="7"/>
    <cellStyle name="常规 2 2" xfId="8"/>
    <cellStyle name="常规 2 3" xfId="9"/>
    <cellStyle name="常规 3" xfId="10"/>
    <cellStyle name="常规 4" xfId="11"/>
    <cellStyle name="常规 5" xfId="12"/>
    <cellStyle name="常规 6" xfId="13"/>
    <cellStyle name="常规 7" xfId="14"/>
    <cellStyle name="常规 9" xfId="15"/>
    <cellStyle name="常规_ffb1" xfId="16"/>
    <cellStyle name="常规_工业项目评估表营业税" xfId="17"/>
    <cellStyle name="常规_鹿回头测算-溢价" xfId="18"/>
    <cellStyle name="货币[0]" xfId="19" builtinId="7"/>
    <cellStyle name="千位分隔" xfId="20" builtinId="3"/>
    <cellStyle name="千位分隔 2" xfId="21"/>
    <cellStyle name="千位分隔 2 2" xfId="22"/>
    <cellStyle name="千位分隔 3" xfId="23"/>
  </cellStyles>
  <dxfs count="53">
    <dxf>
      <font>
        <b/>
        <i val="0"/>
        <strike/>
      </font>
      <fill>
        <patternFill>
          <bgColor rgb="FFFF0000"/>
        </patternFill>
      </fill>
    </dxf>
    <dxf>
      <font>
        <b/>
        <i val="0"/>
        <strike/>
      </font>
      <fill>
        <patternFill>
          <bgColor rgb="FFFF0000"/>
        </patternFill>
      </fill>
    </dxf>
    <dxf>
      <font>
        <b/>
        <i val="0"/>
        <strike/>
      </font>
      <fill>
        <patternFill>
          <bgColor rgb="FFFF0000"/>
        </patternFill>
      </fill>
    </dxf>
    <dxf>
      <font>
        <b/>
        <i val="0"/>
        <strike/>
      </font>
      <fill>
        <patternFill>
          <bgColor rgb="FFFF0000"/>
        </patternFill>
      </fill>
    </dxf>
    <dxf>
      <font>
        <b/>
        <i val="0"/>
        <strike/>
      </font>
      <fill>
        <patternFill>
          <bgColor rgb="FFFF0000"/>
        </patternFill>
      </fill>
    </dxf>
    <dxf>
      <font>
        <b/>
        <i val="0"/>
        <strike/>
      </font>
      <fill>
        <patternFill>
          <bgColor rgb="FFFF0000"/>
        </patternFill>
      </fill>
    </dxf>
    <dxf>
      <font>
        <b/>
        <i val="0"/>
        <strike/>
      </font>
      <fill>
        <patternFill>
          <bgColor rgb="FFFF0000"/>
        </patternFill>
      </fill>
    </dxf>
    <dxf>
      <font>
        <b/>
        <i val="0"/>
        <strike/>
      </font>
      <fill>
        <patternFill>
          <bgColor rgb="FFFF0000"/>
        </patternFill>
      </fill>
    </dxf>
    <dxf>
      <font>
        <b/>
        <i val="0"/>
        <strike/>
      </font>
      <fill>
        <patternFill>
          <bgColor rgb="FFFF0000"/>
        </patternFill>
      </fill>
    </dxf>
    <dxf>
      <font>
        <b/>
        <i val="0"/>
        <strike/>
      </font>
      <fill>
        <patternFill>
          <bgColor rgb="FFFF0000"/>
        </patternFill>
      </fill>
    </dxf>
    <dxf>
      <font>
        <b/>
        <i val="0"/>
        <strike/>
      </font>
      <fill>
        <patternFill>
          <bgColor rgb="FFFF0000"/>
        </patternFill>
      </fill>
    </dxf>
    <dxf>
      <font>
        <b/>
        <i val="0"/>
        <strike/>
      </font>
      <fill>
        <patternFill>
          <bgColor rgb="FFFF0000"/>
        </patternFill>
      </fill>
    </dxf>
    <dxf>
      <font>
        <b/>
        <i val="0"/>
        <strike/>
      </font>
      <fill>
        <patternFill>
          <bgColor rgb="FFFF0000"/>
        </patternFill>
      </fill>
    </dxf>
    <dxf>
      <font>
        <b/>
        <i val="0"/>
        <strike/>
      </font>
      <fill>
        <patternFill>
          <bgColor rgb="FFFF0000"/>
        </patternFill>
      </fill>
    </dxf>
    <dxf>
      <font>
        <b/>
        <i val="0"/>
        <strike/>
      </font>
      <fill>
        <patternFill>
          <bgColor rgb="FFFF0000"/>
        </patternFill>
      </fill>
    </dxf>
    <dxf>
      <font>
        <b/>
        <i val="0"/>
        <strike/>
      </font>
      <fill>
        <patternFill>
          <bgColor rgb="FFFF0000"/>
        </patternFill>
      </fill>
    </dxf>
    <dxf>
      <font>
        <b/>
        <i val="0"/>
        <strike/>
      </font>
      <fill>
        <patternFill>
          <bgColor rgb="FFFF0000"/>
        </patternFill>
      </fill>
    </dxf>
    <dxf>
      <font>
        <b/>
        <i val="0"/>
        <strike/>
      </font>
      <fill>
        <patternFill>
          <bgColor rgb="FFFF0000"/>
        </patternFill>
      </fill>
    </dxf>
    <dxf>
      <font>
        <b/>
        <i val="0"/>
        <strike/>
      </font>
      <fill>
        <patternFill>
          <bgColor rgb="FFFF0000"/>
        </patternFill>
      </fill>
    </dxf>
    <dxf>
      <font>
        <b/>
        <i val="0"/>
        <strike/>
      </font>
      <fill>
        <patternFill>
          <bgColor rgb="FFFF0000"/>
        </patternFill>
      </fill>
    </dxf>
    <dxf>
      <font>
        <b/>
        <i val="0"/>
        <strike/>
      </font>
      <fill>
        <patternFill>
          <bgColor rgb="FFFF0000"/>
        </patternFill>
      </fill>
    </dxf>
    <dxf>
      <font>
        <b/>
        <i val="0"/>
        <strike/>
      </font>
      <fill>
        <patternFill>
          <bgColor rgb="FFFF0000"/>
        </patternFill>
      </fill>
    </dxf>
    <dxf>
      <font>
        <b/>
        <i val="0"/>
        <strike/>
      </font>
      <fill>
        <patternFill>
          <bgColor rgb="FFFF0000"/>
        </patternFill>
      </fill>
    </dxf>
    <dxf>
      <font>
        <b/>
        <i val="0"/>
        <strike/>
      </font>
      <fill>
        <patternFill>
          <bgColor rgb="FFFF0000"/>
        </patternFill>
      </fill>
    </dxf>
    <dxf>
      <font>
        <b/>
        <i val="0"/>
        <strike/>
      </font>
      <fill>
        <patternFill>
          <bgColor rgb="FFFF0000"/>
        </patternFill>
      </fill>
    </dxf>
    <dxf>
      <font>
        <b/>
        <i val="0"/>
        <strike/>
      </font>
      <fill>
        <patternFill>
          <bgColor rgb="FFFF0000"/>
        </patternFill>
      </fill>
    </dxf>
    <dxf>
      <font>
        <b/>
        <i val="0"/>
        <strike/>
      </font>
      <fill>
        <patternFill>
          <bgColor rgb="FFFF0000"/>
        </patternFill>
      </fill>
    </dxf>
    <dxf>
      <font>
        <b/>
        <i val="0"/>
        <strike/>
      </font>
      <fill>
        <patternFill>
          <bgColor rgb="FFFF0000"/>
        </patternFill>
      </fill>
    </dxf>
    <dxf>
      <font>
        <b/>
        <i val="0"/>
        <strike/>
      </font>
      <fill>
        <patternFill>
          <bgColor rgb="FFFF0000"/>
        </patternFill>
      </fill>
    </dxf>
    <dxf>
      <font>
        <b/>
        <i val="0"/>
        <strike/>
      </font>
      <fill>
        <patternFill>
          <bgColor rgb="FFFF0000"/>
        </patternFill>
      </fill>
    </dxf>
    <dxf>
      <font>
        <b/>
        <i val="0"/>
        <strike/>
      </font>
      <fill>
        <patternFill>
          <bgColor rgb="FFFF0000"/>
        </patternFill>
      </fill>
    </dxf>
    <dxf>
      <font>
        <b/>
        <i val="0"/>
        <strike/>
      </font>
      <fill>
        <patternFill>
          <bgColor rgb="FFFF0000"/>
        </patternFill>
      </fill>
    </dxf>
    <dxf>
      <font>
        <b/>
        <i val="0"/>
        <strike/>
      </font>
      <fill>
        <patternFill>
          <bgColor rgb="FFFF0000"/>
        </patternFill>
      </fill>
    </dxf>
    <dxf>
      <font>
        <b/>
        <i val="0"/>
        <strike/>
      </font>
      <fill>
        <patternFill>
          <bgColor rgb="FFFF0000"/>
        </patternFill>
      </fill>
    </dxf>
    <dxf>
      <font>
        <b/>
        <i val="0"/>
        <strike/>
      </font>
      <fill>
        <patternFill>
          <bgColor rgb="FFFF0000"/>
        </patternFill>
      </fill>
    </dxf>
    <dxf>
      <font>
        <b/>
        <i val="0"/>
        <strike/>
      </font>
      <fill>
        <patternFill>
          <bgColor rgb="FFFF0000"/>
        </patternFill>
      </fill>
    </dxf>
    <dxf>
      <font>
        <b/>
        <i val="0"/>
        <strike/>
      </font>
      <fill>
        <patternFill>
          <bgColor rgb="FFFF0000"/>
        </patternFill>
      </fill>
    </dxf>
    <dxf>
      <font>
        <b/>
        <i val="0"/>
        <strike/>
      </font>
      <fill>
        <patternFill>
          <bgColor rgb="FFFF0000"/>
        </patternFill>
      </fill>
    </dxf>
    <dxf>
      <font>
        <b/>
        <i val="0"/>
        <strike/>
      </font>
      <fill>
        <patternFill>
          <bgColor rgb="FFFF0000"/>
        </patternFill>
      </fill>
    </dxf>
    <dxf>
      <font>
        <b/>
        <i val="0"/>
        <strike/>
      </font>
      <fill>
        <patternFill>
          <bgColor rgb="FFFF0000"/>
        </patternFill>
      </fill>
    </dxf>
    <dxf>
      <font>
        <b/>
        <i val="0"/>
        <strike/>
      </font>
      <fill>
        <patternFill>
          <bgColor rgb="FFFF0000"/>
        </patternFill>
      </fill>
    </dxf>
    <dxf>
      <font>
        <b/>
        <i val="0"/>
        <strike/>
      </font>
      <fill>
        <patternFill>
          <bgColor rgb="FFFF0000"/>
        </patternFill>
      </fill>
    </dxf>
    <dxf>
      <font>
        <b/>
        <i val="0"/>
        <strike/>
      </font>
      <fill>
        <patternFill>
          <bgColor rgb="FFFF0000"/>
        </patternFill>
      </fill>
    </dxf>
    <dxf>
      <font>
        <b/>
        <i val="0"/>
        <strike/>
      </font>
      <fill>
        <patternFill>
          <bgColor rgb="FFFF0000"/>
        </patternFill>
      </fill>
    </dxf>
    <dxf>
      <font>
        <b/>
        <i val="0"/>
        <strike/>
      </font>
      <fill>
        <patternFill>
          <bgColor rgb="FFFF0000"/>
        </patternFill>
      </fill>
    </dxf>
    <dxf>
      <font>
        <b/>
        <i val="0"/>
        <strike/>
      </font>
      <fill>
        <patternFill>
          <bgColor rgb="FFFF0000"/>
        </patternFill>
      </fill>
    </dxf>
    <dxf>
      <font>
        <b/>
        <i val="0"/>
        <strike/>
      </font>
      <fill>
        <patternFill>
          <bgColor rgb="FFFF0000"/>
        </patternFill>
      </fill>
    </dxf>
    <dxf>
      <font>
        <b/>
        <i val="0"/>
        <strike/>
      </font>
      <fill>
        <patternFill>
          <bgColor rgb="FFFF0000"/>
        </patternFill>
      </fill>
    </dxf>
    <dxf>
      <font>
        <b/>
        <i val="0"/>
        <strike/>
      </font>
      <fill>
        <patternFill>
          <bgColor rgb="FFFF0000"/>
        </patternFill>
      </fill>
    </dxf>
    <dxf>
      <font>
        <b/>
        <i val="0"/>
        <strike/>
      </font>
      <fill>
        <patternFill>
          <bgColor rgb="FFFF0000"/>
        </patternFill>
      </fill>
    </dxf>
    <dxf>
      <font>
        <b/>
        <i val="0"/>
        <strike/>
      </font>
      <fill>
        <patternFill>
          <bgColor rgb="FFFF0000"/>
        </patternFill>
      </fill>
    </dxf>
    <dxf>
      <font>
        <b/>
        <i val="0"/>
        <strike/>
      </font>
      <fill>
        <patternFill>
          <bgColor rgb="FFFF0000"/>
        </patternFill>
      </fill>
    </dxf>
    <dxf>
      <font>
        <b/>
        <i val="0"/>
        <strike/>
      </font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114300</xdr:colOff>
      <xdr:row>1</xdr:row>
      <xdr:rowOff>171450</xdr:rowOff>
    </xdr:from>
    <xdr:to>
      <xdr:col>18</xdr:col>
      <xdr:colOff>523875</xdr:colOff>
      <xdr:row>13</xdr:row>
      <xdr:rowOff>171450</xdr:rowOff>
    </xdr:to>
    <xdr:pic>
      <xdr:nvPicPr>
        <xdr:cNvPr id="6198" name="图片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44650" y="847725"/>
          <a:ext cx="6572250" cy="274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123825</xdr:colOff>
      <xdr:row>13</xdr:row>
      <xdr:rowOff>180975</xdr:rowOff>
    </xdr:from>
    <xdr:to>
      <xdr:col>18</xdr:col>
      <xdr:colOff>561975</xdr:colOff>
      <xdr:row>34</xdr:row>
      <xdr:rowOff>190500</xdr:rowOff>
    </xdr:to>
    <xdr:pic>
      <xdr:nvPicPr>
        <xdr:cNvPr id="6199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54175" y="3600450"/>
          <a:ext cx="6600825" cy="481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85725</xdr:colOff>
      <xdr:row>35</xdr:row>
      <xdr:rowOff>9525</xdr:rowOff>
    </xdr:from>
    <xdr:to>
      <xdr:col>18</xdr:col>
      <xdr:colOff>552450</xdr:colOff>
      <xdr:row>55</xdr:row>
      <xdr:rowOff>19050</xdr:rowOff>
    </xdr:to>
    <xdr:pic>
      <xdr:nvPicPr>
        <xdr:cNvPr id="6200" name="图片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16075" y="8458200"/>
          <a:ext cx="6629400" cy="458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560294</xdr:colOff>
      <xdr:row>1</xdr:row>
      <xdr:rowOff>168088</xdr:rowOff>
    </xdr:from>
    <xdr:to>
      <xdr:col>26</xdr:col>
      <xdr:colOff>770099</xdr:colOff>
      <xdr:row>27</xdr:row>
      <xdr:rowOff>45791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966206" y="840441"/>
          <a:ext cx="6933334" cy="5704762"/>
        </a:xfrm>
        <a:prstGeom prst="rect">
          <a:avLst/>
        </a:prstGeom>
      </xdr:spPr>
    </xdr:pic>
    <xdr:clientData/>
  </xdr:twoCellAnchor>
  <xdr:twoCellAnchor editAs="oneCell">
    <xdr:from>
      <xdr:col>18</xdr:col>
      <xdr:colOff>582706</xdr:colOff>
      <xdr:row>27</xdr:row>
      <xdr:rowOff>11205</xdr:rowOff>
    </xdr:from>
    <xdr:to>
      <xdr:col>27</xdr:col>
      <xdr:colOff>629071</xdr:colOff>
      <xdr:row>55</xdr:row>
      <xdr:rowOff>201706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0988618" y="6510617"/>
          <a:ext cx="7610335" cy="64657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7494;&#27721;&#27494;&#26124;&#20116;&#30719;/&#27979;&#31639;&#25253;&#21578;/&#29616;&#37329;&#27969;&#27979;&#31639;-&#27494;&#27721;&#27494;&#26124;-v3-&#32771;&#34385;&#38598;&#22242;&#32929;&#19996;&#20511;&#2745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系统读取表"/>
      <sheetName val="基础数据"/>
      <sheetName val="规划指标"/>
      <sheetName val="结论表"/>
      <sheetName val="底表1（销售）"/>
      <sheetName val="底表1-销售计划"/>
      <sheetName val="底表2-增值税、土地增值税"/>
      <sheetName val="主表1-成本"/>
      <sheetName val="主表2-现金流量表"/>
      <sheetName val="主表3-损益表"/>
      <sheetName val="主表4-敏感性分析"/>
      <sheetName val="主表5-资金来源与运用"/>
      <sheetName val="主表6-负债偿还预测"/>
      <sheetName val="主表3 （敏感性分析 销售-5%）"/>
      <sheetName val="主表4-1（敏感性分析 销售-5%）"/>
      <sheetName val="主表3 （敏感性分析 销售-10%）"/>
      <sheetName val="主表4-1（敏感性分析 销售-10%）"/>
      <sheetName val="主表3 （敏感性分析 销售+5%） "/>
      <sheetName val="主表4-1（敏感性分析 销售+5%）"/>
      <sheetName val="主表3 （敏感性分析 销售+10%）"/>
      <sheetName val="主表4-1（敏感性分析 销售+10%）"/>
      <sheetName val="主表3 （敏感性分析 成本+5%）"/>
      <sheetName val="主表3 （敏感性分析 成本+10%）"/>
      <sheetName val="主表4-1（敏感性分析 成本+10%）"/>
      <sheetName val="主表3 （敏感性分析 成本-5%）"/>
      <sheetName val="主表4-1（敏感性分析 成本-5%）"/>
      <sheetName val="主表3 （敏感性分析 成本-10%）"/>
      <sheetName val="主表4-1（敏感性分析 成本-10%）"/>
      <sheetName val="模拟清算"/>
      <sheetName val="底表1（销售计划）(模拟清算)"/>
      <sheetName val="底表2（增值税、土地增值税）（模拟清算）"/>
      <sheetName val="主表5（负债偿还预测表）"/>
      <sheetName val="Sheet1"/>
      <sheetName val="支付情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8">
          <cell r="B18" t="str">
            <v>其他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23"/>
  <sheetViews>
    <sheetView workbookViewId="0">
      <selection activeCell="G13" sqref="G13"/>
    </sheetView>
  </sheetViews>
  <sheetFormatPr defaultColWidth="8.875" defaultRowHeight="14.25" x14ac:dyDescent="0.15"/>
  <cols>
    <col min="1" max="1" width="8.875" customWidth="1"/>
    <col min="2" max="2" width="12.5" bestFit="1" customWidth="1"/>
    <col min="3" max="3" width="10.125" bestFit="1" customWidth="1"/>
  </cols>
  <sheetData>
    <row r="1" spans="1:9" ht="49.5" x14ac:dyDescent="0.15">
      <c r="A1" s="9" t="s">
        <v>141</v>
      </c>
      <c r="B1" s="9">
        <f>SUM(B14:B23)</f>
        <v>196279</v>
      </c>
      <c r="C1" s="11"/>
      <c r="D1" s="11"/>
      <c r="E1" s="11"/>
      <c r="F1" s="11"/>
      <c r="G1" s="14"/>
      <c r="H1" s="15"/>
      <c r="I1" s="15"/>
    </row>
    <row r="2" spans="1:9" ht="49.5" x14ac:dyDescent="0.15">
      <c r="A2" s="9" t="s">
        <v>142</v>
      </c>
      <c r="B2" s="9" t="e">
        <f>SUM(C14:C23)</f>
        <v>#REF!</v>
      </c>
      <c r="C2" s="11"/>
      <c r="D2" s="11"/>
      <c r="E2" s="11"/>
      <c r="F2" s="11"/>
      <c r="G2" s="14"/>
      <c r="H2" s="15"/>
      <c r="I2" s="15"/>
    </row>
    <row r="3" spans="1:9" ht="49.5" x14ac:dyDescent="0.15">
      <c r="A3" s="9" t="s">
        <v>143</v>
      </c>
      <c r="B3" s="12">
        <v>43417</v>
      </c>
      <c r="C3" s="11"/>
      <c r="D3" s="11"/>
      <c r="E3" s="11"/>
      <c r="F3" s="11"/>
      <c r="G3" s="14"/>
      <c r="H3" s="15"/>
      <c r="I3" s="15"/>
    </row>
    <row r="4" spans="1:9" ht="49.5" x14ac:dyDescent="0.15">
      <c r="A4" s="9" t="s">
        <v>131</v>
      </c>
      <c r="B4" s="9" t="s">
        <v>132</v>
      </c>
      <c r="C4" s="9" t="s">
        <v>133</v>
      </c>
      <c r="D4" s="9" t="s">
        <v>144</v>
      </c>
      <c r="E4" s="11"/>
      <c r="F4" s="14"/>
      <c r="G4" s="14"/>
      <c r="H4" s="15"/>
      <c r="I4" s="15"/>
    </row>
    <row r="5" spans="1:9" ht="16.5" x14ac:dyDescent="0.15">
      <c r="A5" s="9" t="s">
        <v>134</v>
      </c>
      <c r="B5" s="9">
        <f>SUM(D14:D23)</f>
        <v>302593</v>
      </c>
      <c r="C5" s="9">
        <f>ROUND(B5*10000/$B$1,0)</f>
        <v>15416</v>
      </c>
      <c r="D5" s="9" t="e">
        <f>ROUND(B5*10000/$B$2,0)</f>
        <v>#REF!</v>
      </c>
      <c r="E5" s="11"/>
      <c r="F5" s="14"/>
      <c r="G5" s="14"/>
      <c r="H5" s="15"/>
      <c r="I5" s="15"/>
    </row>
    <row r="6" spans="1:9" ht="16.5" x14ac:dyDescent="0.15">
      <c r="A6" s="9" t="s">
        <v>135</v>
      </c>
      <c r="B6" s="9"/>
      <c r="C6" s="9"/>
      <c r="D6" s="9"/>
      <c r="E6" s="11"/>
      <c r="F6" s="14"/>
      <c r="G6" s="14"/>
      <c r="H6" s="15"/>
      <c r="I6" s="15"/>
    </row>
    <row r="7" spans="1:9" ht="33" x14ac:dyDescent="0.15">
      <c r="A7" s="9" t="s">
        <v>145</v>
      </c>
      <c r="B7" s="9">
        <f>SUM(H14:H23)</f>
        <v>0</v>
      </c>
      <c r="C7" s="9">
        <f>ROUND(B7*10000/$B$1,0)</f>
        <v>0</v>
      </c>
      <c r="D7" s="9" t="e">
        <f>ROUND(B7*10000/$B$2,0)</f>
        <v>#REF!</v>
      </c>
      <c r="E7" s="11"/>
      <c r="F7" s="14"/>
      <c r="G7" s="14"/>
      <c r="H7" s="15"/>
      <c r="I7" s="15"/>
    </row>
    <row r="8" spans="1:9" ht="16.5" x14ac:dyDescent="0.15">
      <c r="A8" s="9" t="s">
        <v>136</v>
      </c>
      <c r="B8" s="9">
        <f>SUM(I14:I23)</f>
        <v>0</v>
      </c>
      <c r="C8" s="9">
        <f>ROUND(B8*10000/$B$1,0)</f>
        <v>0</v>
      </c>
      <c r="D8" s="9" t="e">
        <f>ROUND(B8*10000/$B$2,0)</f>
        <v>#REF!</v>
      </c>
      <c r="E8" s="11"/>
      <c r="F8" s="14"/>
      <c r="G8" s="14"/>
      <c r="H8" s="15"/>
      <c r="I8" s="15"/>
    </row>
    <row r="9" spans="1:9" ht="16.5" x14ac:dyDescent="0.15">
      <c r="A9" s="9" t="s">
        <v>146</v>
      </c>
      <c r="B9" s="13">
        <f>'主表1（成本）'!B5</f>
        <v>302593</v>
      </c>
      <c r="C9" s="11"/>
      <c r="D9" s="11"/>
      <c r="E9" s="11"/>
      <c r="F9" s="14"/>
      <c r="G9" s="14"/>
      <c r="H9" s="15"/>
      <c r="I9" s="15"/>
    </row>
    <row r="10" spans="1:9" ht="16.5" x14ac:dyDescent="0.15">
      <c r="A10" s="9" t="s">
        <v>147</v>
      </c>
      <c r="B10" s="13"/>
      <c r="C10" s="11"/>
      <c r="D10" s="11"/>
      <c r="E10" s="11"/>
      <c r="F10" s="14"/>
      <c r="G10" s="14"/>
      <c r="H10" s="15"/>
      <c r="I10" s="15"/>
    </row>
    <row r="11" spans="1:9" ht="33" x14ac:dyDescent="0.15">
      <c r="A11" s="9" t="s">
        <v>148</v>
      </c>
      <c r="B11" s="13"/>
      <c r="C11" s="11"/>
      <c r="D11" s="11"/>
      <c r="E11" s="11"/>
      <c r="F11" s="14"/>
      <c r="G11" s="14"/>
      <c r="H11" s="15"/>
      <c r="I11" s="15"/>
    </row>
    <row r="12" spans="1:9" ht="16.5" x14ac:dyDescent="0.15">
      <c r="A12" s="11"/>
      <c r="B12" s="11"/>
      <c r="C12" s="11"/>
      <c r="D12" s="11"/>
      <c r="E12" s="11"/>
      <c r="F12" s="14"/>
      <c r="G12" s="14"/>
      <c r="H12" s="15"/>
      <c r="I12" s="15"/>
    </row>
    <row r="13" spans="1:9" ht="49.5" x14ac:dyDescent="0.15">
      <c r="A13" s="7" t="s">
        <v>149</v>
      </c>
      <c r="B13" s="8" t="s">
        <v>141</v>
      </c>
      <c r="C13" s="8" t="s">
        <v>142</v>
      </c>
      <c r="D13" s="8" t="s">
        <v>150</v>
      </c>
      <c r="E13" s="9" t="s">
        <v>133</v>
      </c>
      <c r="F13" s="9" t="s">
        <v>144</v>
      </c>
      <c r="G13" s="8" t="s">
        <v>151</v>
      </c>
      <c r="H13" s="8" t="s">
        <v>152</v>
      </c>
      <c r="I13" s="8" t="s">
        <v>153</v>
      </c>
    </row>
    <row r="14" spans="1:9" ht="16.5" x14ac:dyDescent="0.15">
      <c r="A14" s="16" t="s">
        <v>154</v>
      </c>
      <c r="B14" s="8">
        <f>基础数据!C7</f>
        <v>196279</v>
      </c>
      <c r="C14" s="18" t="e">
        <f>规划指标!#REF!</f>
        <v>#REF!</v>
      </c>
      <c r="D14" s="8">
        <f>'主表1（成本）'!B5</f>
        <v>302593</v>
      </c>
      <c r="E14" s="8">
        <f>ROUND(D14*10000/B14,0)</f>
        <v>15416</v>
      </c>
      <c r="F14" s="8" t="e">
        <f>ROUND(D14*10000/C14,0)</f>
        <v>#REF!</v>
      </c>
      <c r="G14" s="8" t="e">
        <v>#REF!</v>
      </c>
      <c r="H14" s="8" t="s">
        <v>345</v>
      </c>
      <c r="I14" s="8" t="s">
        <v>345</v>
      </c>
    </row>
    <row r="15" spans="1:9" ht="16.5" x14ac:dyDescent="0.15">
      <c r="A15" s="16" t="s">
        <v>155</v>
      </c>
      <c r="B15" s="17"/>
      <c r="C15" s="17"/>
      <c r="D15" s="17"/>
      <c r="E15" s="8" t="e">
        <f t="shared" ref="E15:E23" si="0">ROUND(D15*10000/B15,0)</f>
        <v>#DIV/0!</v>
      </c>
      <c r="F15" s="8" t="e">
        <f t="shared" ref="F15:F23" si="1">ROUND(D15*10000/C15,0)</f>
        <v>#DIV/0!</v>
      </c>
      <c r="G15" s="10"/>
      <c r="H15" s="10"/>
      <c r="I15" s="17"/>
    </row>
    <row r="16" spans="1:9" ht="16.5" x14ac:dyDescent="0.15">
      <c r="A16" s="16" t="s">
        <v>123</v>
      </c>
      <c r="B16" s="17"/>
      <c r="C16" s="17"/>
      <c r="D16" s="17"/>
      <c r="E16" s="8" t="e">
        <f t="shared" si="0"/>
        <v>#DIV/0!</v>
      </c>
      <c r="F16" s="8" t="e">
        <f t="shared" si="1"/>
        <v>#DIV/0!</v>
      </c>
      <c r="G16" s="10"/>
      <c r="H16" s="10"/>
      <c r="I16" s="17"/>
    </row>
    <row r="17" spans="1:9" ht="16.5" x14ac:dyDescent="0.15">
      <c r="A17" s="16" t="s">
        <v>124</v>
      </c>
      <c r="B17" s="17"/>
      <c r="C17" s="17"/>
      <c r="D17" s="17"/>
      <c r="E17" s="8" t="e">
        <f t="shared" si="0"/>
        <v>#DIV/0!</v>
      </c>
      <c r="F17" s="8" t="e">
        <f t="shared" si="1"/>
        <v>#DIV/0!</v>
      </c>
      <c r="G17" s="10"/>
      <c r="H17" s="10"/>
      <c r="I17" s="17"/>
    </row>
    <row r="18" spans="1:9" ht="16.5" x14ac:dyDescent="0.15">
      <c r="A18" s="16" t="s">
        <v>125</v>
      </c>
      <c r="B18" s="17"/>
      <c r="C18" s="17"/>
      <c r="D18" s="17"/>
      <c r="E18" s="8" t="e">
        <f t="shared" si="0"/>
        <v>#DIV/0!</v>
      </c>
      <c r="F18" s="8" t="e">
        <f t="shared" si="1"/>
        <v>#DIV/0!</v>
      </c>
      <c r="G18" s="17"/>
      <c r="H18" s="17"/>
      <c r="I18" s="17"/>
    </row>
    <row r="19" spans="1:9" ht="16.5" x14ac:dyDescent="0.15">
      <c r="A19" s="16" t="s">
        <v>126</v>
      </c>
      <c r="B19" s="17"/>
      <c r="C19" s="17"/>
      <c r="D19" s="17"/>
      <c r="E19" s="8" t="e">
        <f t="shared" si="0"/>
        <v>#DIV/0!</v>
      </c>
      <c r="F19" s="8" t="e">
        <f t="shared" si="1"/>
        <v>#DIV/0!</v>
      </c>
      <c r="G19" s="17"/>
      <c r="H19" s="17"/>
      <c r="I19" s="17"/>
    </row>
    <row r="20" spans="1:9" ht="16.5" x14ac:dyDescent="0.15">
      <c r="A20" s="16" t="s">
        <v>127</v>
      </c>
      <c r="B20" s="17"/>
      <c r="C20" s="17"/>
      <c r="D20" s="17"/>
      <c r="E20" s="8" t="e">
        <f t="shared" si="0"/>
        <v>#DIV/0!</v>
      </c>
      <c r="F20" s="8" t="e">
        <f t="shared" si="1"/>
        <v>#DIV/0!</v>
      </c>
      <c r="G20" s="17"/>
      <c r="H20" s="17"/>
      <c r="I20" s="17"/>
    </row>
    <row r="21" spans="1:9" ht="16.5" x14ac:dyDescent="0.15">
      <c r="A21" s="16" t="s">
        <v>128</v>
      </c>
      <c r="B21" s="17"/>
      <c r="C21" s="17"/>
      <c r="D21" s="17"/>
      <c r="E21" s="8" t="e">
        <f t="shared" si="0"/>
        <v>#DIV/0!</v>
      </c>
      <c r="F21" s="8" t="e">
        <f t="shared" si="1"/>
        <v>#DIV/0!</v>
      </c>
      <c r="G21" s="17"/>
      <c r="H21" s="17"/>
      <c r="I21" s="17"/>
    </row>
    <row r="22" spans="1:9" ht="16.5" x14ac:dyDescent="0.15">
      <c r="A22" s="16" t="s">
        <v>129</v>
      </c>
      <c r="B22" s="17"/>
      <c r="C22" s="17"/>
      <c r="D22" s="17"/>
      <c r="E22" s="8" t="e">
        <f t="shared" si="0"/>
        <v>#DIV/0!</v>
      </c>
      <c r="F22" s="8" t="e">
        <f t="shared" si="1"/>
        <v>#DIV/0!</v>
      </c>
      <c r="G22" s="17"/>
      <c r="H22" s="17"/>
      <c r="I22" s="17"/>
    </row>
    <row r="23" spans="1:9" ht="16.5" x14ac:dyDescent="0.15">
      <c r="A23" s="16" t="s">
        <v>130</v>
      </c>
      <c r="B23" s="17"/>
      <c r="C23" s="17"/>
      <c r="D23" s="17"/>
      <c r="E23" s="9" t="e">
        <f t="shared" si="0"/>
        <v>#DIV/0!</v>
      </c>
      <c r="F23" s="9" t="e">
        <f t="shared" si="1"/>
        <v>#DIV/0!</v>
      </c>
      <c r="G23" s="17"/>
      <c r="H23" s="17"/>
      <c r="I23" s="17"/>
    </row>
  </sheetData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Z26"/>
  <sheetViews>
    <sheetView view="pageBreakPreview" zoomScaleNormal="100" zoomScaleSheetLayoutView="100" workbookViewId="0">
      <pane xSplit="3" ySplit="4" topLeftCell="D12" activePane="bottomRight" state="frozen"/>
      <selection pane="topRight" activeCell="D1" sqref="D1"/>
      <selection pane="bottomLeft" activeCell="A5" sqref="A5"/>
      <selection pane="bottomRight" activeCell="C19" sqref="C19"/>
    </sheetView>
  </sheetViews>
  <sheetFormatPr defaultColWidth="11" defaultRowHeight="18" customHeight="1" x14ac:dyDescent="0.15"/>
  <cols>
    <col min="1" max="1" width="6.375" style="168" customWidth="1"/>
    <col min="2" max="2" width="21.5" style="168" customWidth="1"/>
    <col min="3" max="43" width="13.625" style="168" customWidth="1"/>
    <col min="44" max="44" width="10.625" style="168" customWidth="1"/>
    <col min="45" max="45" width="13.625" style="168" customWidth="1"/>
    <col min="46" max="48" width="9.125" style="168" customWidth="1"/>
    <col min="49" max="56" width="11" style="168" customWidth="1"/>
    <col min="57" max="16384" width="11" style="168"/>
  </cols>
  <sheetData>
    <row r="1" spans="1:52" ht="18" customHeight="1" x14ac:dyDescent="0.15">
      <c r="A1" s="235" t="s">
        <v>175</v>
      </c>
      <c r="B1" s="235"/>
      <c r="C1" s="236"/>
      <c r="D1" s="236" t="s">
        <v>458</v>
      </c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236"/>
      <c r="Z1" s="236"/>
      <c r="AA1" s="236"/>
      <c r="AB1" s="236"/>
      <c r="AC1" s="236"/>
      <c r="AD1" s="236"/>
      <c r="AE1" s="236"/>
      <c r="AF1" s="236"/>
      <c r="AG1" s="236"/>
      <c r="AH1" s="236"/>
      <c r="AI1" s="236"/>
      <c r="AJ1" s="236"/>
      <c r="AK1" s="236"/>
      <c r="AL1" s="236"/>
      <c r="AM1" s="236"/>
      <c r="AN1" s="236"/>
      <c r="AO1" s="236"/>
      <c r="AP1" s="236"/>
      <c r="AQ1" s="236"/>
      <c r="AR1" s="163"/>
      <c r="AS1" s="163"/>
      <c r="AT1" s="163"/>
      <c r="AU1" s="163"/>
      <c r="AV1" s="163"/>
    </row>
    <row r="2" spans="1:52" ht="18" customHeight="1" x14ac:dyDescent="0.15">
      <c r="A2" s="237"/>
      <c r="B2" s="237" t="s">
        <v>8</v>
      </c>
      <c r="C2" s="236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36"/>
      <c r="S2" s="236"/>
      <c r="T2" s="236"/>
      <c r="U2" s="236"/>
      <c r="V2" s="236"/>
      <c r="W2" s="236"/>
      <c r="X2" s="278"/>
      <c r="Y2" s="278"/>
      <c r="Z2" s="278"/>
      <c r="AA2" s="278"/>
      <c r="AB2" s="278"/>
      <c r="AC2" s="278"/>
      <c r="AD2" s="278"/>
      <c r="AE2" s="278"/>
      <c r="AF2" s="278"/>
      <c r="AG2" s="278"/>
      <c r="AH2" s="236"/>
      <c r="AI2" s="236"/>
      <c r="AJ2" s="236"/>
      <c r="AK2" s="236"/>
      <c r="AL2" s="236"/>
      <c r="AM2" s="236"/>
      <c r="AN2" s="236"/>
      <c r="AO2" s="236"/>
      <c r="AP2" s="236"/>
      <c r="AQ2" s="236"/>
      <c r="AR2" s="163"/>
      <c r="AS2" s="163"/>
      <c r="AT2" s="163"/>
      <c r="AU2" s="163"/>
      <c r="AV2" s="163"/>
    </row>
    <row r="3" spans="1:52" ht="18" customHeight="1" x14ac:dyDescent="0.15">
      <c r="A3" s="819" t="s">
        <v>92</v>
      </c>
      <c r="B3" s="819" t="s">
        <v>496</v>
      </c>
      <c r="C3" s="828" t="s">
        <v>93</v>
      </c>
      <c r="D3" s="821" t="str">
        <f>'主表1（成本）'!C3</f>
        <v>2021年</v>
      </c>
      <c r="E3" s="822"/>
      <c r="F3" s="822"/>
      <c r="G3" s="823"/>
      <c r="H3" s="821" t="str">
        <f>'主表1（成本）'!G3</f>
        <v>2022年</v>
      </c>
      <c r="I3" s="822"/>
      <c r="J3" s="822"/>
      <c r="K3" s="823"/>
      <c r="L3" s="821" t="str">
        <f>'主表1（成本）'!K3</f>
        <v>2023年</v>
      </c>
      <c r="M3" s="822"/>
      <c r="N3" s="822"/>
      <c r="O3" s="823"/>
      <c r="P3" s="821" t="str">
        <f>'主表1（成本）'!O3</f>
        <v>2024年</v>
      </c>
      <c r="Q3" s="822"/>
      <c r="R3" s="822"/>
      <c r="S3" s="823"/>
      <c r="T3" s="821" t="str">
        <f>'主表1（成本）'!S3</f>
        <v>2025年</v>
      </c>
      <c r="U3" s="822"/>
      <c r="V3" s="822"/>
      <c r="W3" s="823"/>
      <c r="X3" s="821" t="str">
        <f>'主表1（成本）'!W3</f>
        <v>2026年</v>
      </c>
      <c r="Y3" s="822"/>
      <c r="Z3" s="822"/>
      <c r="AA3" s="823"/>
      <c r="AB3" s="821" t="str">
        <f>'主表1（成本）'!AA3</f>
        <v>2027年</v>
      </c>
      <c r="AC3" s="822"/>
      <c r="AD3" s="822"/>
      <c r="AE3" s="823"/>
      <c r="AF3" s="821" t="str">
        <f>'主表1（成本）'!AE3</f>
        <v>2028年</v>
      </c>
      <c r="AG3" s="822"/>
      <c r="AH3" s="822"/>
      <c r="AI3" s="823"/>
      <c r="AJ3" s="821" t="str">
        <f>'主表1（成本）'!AI3</f>
        <v>2029年</v>
      </c>
      <c r="AK3" s="822"/>
      <c r="AL3" s="822"/>
      <c r="AM3" s="823"/>
      <c r="AN3" s="821" t="str">
        <f>'主表1（成本）'!AM3</f>
        <v>2030年</v>
      </c>
      <c r="AO3" s="822"/>
      <c r="AP3" s="822"/>
      <c r="AQ3" s="823"/>
      <c r="AR3" s="163"/>
      <c r="AS3" s="163"/>
      <c r="AT3" s="163"/>
      <c r="AU3" s="163"/>
      <c r="AV3" s="163"/>
    </row>
    <row r="4" spans="1:52" ht="18" customHeight="1" x14ac:dyDescent="0.15">
      <c r="A4" s="819"/>
      <c r="B4" s="819"/>
      <c r="C4" s="828"/>
      <c r="D4" s="533" t="str">
        <f>'主表1（成本）'!C4</f>
        <v>Q1</v>
      </c>
      <c r="E4" s="534" t="str">
        <f>'主表1（成本）'!D4</f>
        <v>Q2</v>
      </c>
      <c r="F4" s="534" t="str">
        <f>'主表1（成本）'!E4</f>
        <v>Q3</v>
      </c>
      <c r="G4" s="535" t="str">
        <f>'主表1（成本）'!F4</f>
        <v>Q4</v>
      </c>
      <c r="H4" s="533" t="str">
        <f>'主表1（成本）'!G4</f>
        <v>Q1</v>
      </c>
      <c r="I4" s="534" t="str">
        <f>'主表1（成本）'!H4</f>
        <v>Q2</v>
      </c>
      <c r="J4" s="534" t="str">
        <f>'主表1（成本）'!I4</f>
        <v>Q3</v>
      </c>
      <c r="K4" s="535" t="str">
        <f>'主表1（成本）'!J4</f>
        <v>Q4</v>
      </c>
      <c r="L4" s="533" t="str">
        <f>'主表1（成本）'!K4</f>
        <v>Q1</v>
      </c>
      <c r="M4" s="534" t="str">
        <f>'主表1（成本）'!L4</f>
        <v>Q2</v>
      </c>
      <c r="N4" s="534" t="str">
        <f>'主表1（成本）'!M4</f>
        <v>Q3</v>
      </c>
      <c r="O4" s="535" t="str">
        <f>'主表1（成本）'!N4</f>
        <v>Q4</v>
      </c>
      <c r="P4" s="533" t="str">
        <f>'主表1（成本）'!O4</f>
        <v>Q1</v>
      </c>
      <c r="Q4" s="534" t="str">
        <f>'主表1（成本）'!P4</f>
        <v>Q2</v>
      </c>
      <c r="R4" s="534" t="str">
        <f>'主表1（成本）'!Q4</f>
        <v>Q3</v>
      </c>
      <c r="S4" s="535" t="str">
        <f>'主表1（成本）'!R4</f>
        <v>Q4</v>
      </c>
      <c r="T4" s="533" t="str">
        <f>'主表1（成本）'!S4</f>
        <v>Q1</v>
      </c>
      <c r="U4" s="534" t="str">
        <f>'主表1（成本）'!T4</f>
        <v>Q2</v>
      </c>
      <c r="V4" s="534" t="str">
        <f>'主表1（成本）'!U4</f>
        <v>Q3</v>
      </c>
      <c r="W4" s="535" t="str">
        <f>'主表1（成本）'!V4</f>
        <v>Q4</v>
      </c>
      <c r="X4" s="533" t="str">
        <f>'主表1（成本）'!W4</f>
        <v>Q1</v>
      </c>
      <c r="Y4" s="534" t="str">
        <f>'主表1（成本）'!X4</f>
        <v>Q2</v>
      </c>
      <c r="Z4" s="534" t="str">
        <f>'主表1（成本）'!Y4</f>
        <v>Q3</v>
      </c>
      <c r="AA4" s="535" t="str">
        <f>'主表1（成本）'!Z4</f>
        <v>Q4</v>
      </c>
      <c r="AB4" s="533" t="str">
        <f>'主表1（成本）'!AA4</f>
        <v>Q1</v>
      </c>
      <c r="AC4" s="534" t="str">
        <f>'主表1（成本）'!AB4</f>
        <v>Q2</v>
      </c>
      <c r="AD4" s="534" t="str">
        <f>'主表1（成本）'!AC4</f>
        <v>Q3</v>
      </c>
      <c r="AE4" s="535" t="str">
        <f>'主表1（成本）'!AD4</f>
        <v>Q4</v>
      </c>
      <c r="AF4" s="533" t="str">
        <f>'主表1（成本）'!AE4</f>
        <v>Q1</v>
      </c>
      <c r="AG4" s="534" t="str">
        <f>'主表1（成本）'!AF4</f>
        <v>Q2</v>
      </c>
      <c r="AH4" s="534" t="str">
        <f>'主表1（成本）'!AG4</f>
        <v>Q3</v>
      </c>
      <c r="AI4" s="535" t="str">
        <f>'主表1（成本）'!AH4</f>
        <v>Q4</v>
      </c>
      <c r="AJ4" s="533" t="str">
        <f>'主表1（成本）'!AI4</f>
        <v>Q1</v>
      </c>
      <c r="AK4" s="534" t="str">
        <f>'主表1（成本）'!AJ4</f>
        <v>Q2</v>
      </c>
      <c r="AL4" s="534" t="str">
        <f>'主表1（成本）'!AK4</f>
        <v>Q3</v>
      </c>
      <c r="AM4" s="535" t="str">
        <f>'主表1（成本）'!AL4</f>
        <v>Q4</v>
      </c>
      <c r="AN4" s="533" t="str">
        <f>'主表1（成本）'!AM4</f>
        <v>Q1</v>
      </c>
      <c r="AO4" s="534" t="str">
        <f>'主表1（成本）'!AN4</f>
        <v>Q2</v>
      </c>
      <c r="AP4" s="534" t="str">
        <f>'主表1（成本）'!AO4</f>
        <v>Q3</v>
      </c>
      <c r="AQ4" s="535" t="str">
        <f>'主表1（成本）'!AP4</f>
        <v>Q4</v>
      </c>
      <c r="AR4" s="163"/>
      <c r="AS4" s="163"/>
      <c r="AT4" s="163"/>
      <c r="AU4" s="163"/>
      <c r="AV4" s="163"/>
    </row>
    <row r="5" spans="1:52" ht="18" customHeight="1" x14ac:dyDescent="0.15">
      <c r="A5" s="247">
        <v>1</v>
      </c>
      <c r="B5" s="270" t="s">
        <v>94</v>
      </c>
      <c r="C5" s="250">
        <f>SUM(D5:AQ5)</f>
        <v>354121</v>
      </c>
      <c r="D5" s="250">
        <f>'底表1（销售计划）'!D111</f>
        <v>0</v>
      </c>
      <c r="E5" s="250">
        <f>'底表1（销售计划）'!E111</f>
        <v>0</v>
      </c>
      <c r="F5" s="250">
        <f>'底表1（销售计划）'!F111</f>
        <v>0</v>
      </c>
      <c r="G5" s="250">
        <f>'底表1（销售计划）'!G111</f>
        <v>50164</v>
      </c>
      <c r="H5" s="250">
        <f>'底表1（销售计划）'!H111</f>
        <v>49703</v>
      </c>
      <c r="I5" s="250">
        <f>'底表1（销售计划）'!I111</f>
        <v>59154</v>
      </c>
      <c r="J5" s="250">
        <f>'底表1（销售计划）'!J111</f>
        <v>57349</v>
      </c>
      <c r="K5" s="250">
        <f>'底表1（销售计划）'!K111</f>
        <v>43045</v>
      </c>
      <c r="L5" s="250">
        <f>'底表1（销售计划）'!L111</f>
        <v>37567</v>
      </c>
      <c r="M5" s="250">
        <f>'底表1（销售计划）'!M111</f>
        <v>23767</v>
      </c>
      <c r="N5" s="250">
        <f>'底表1（销售计划）'!N111</f>
        <v>14716</v>
      </c>
      <c r="O5" s="250">
        <f>'底表1（销售计划）'!O111</f>
        <v>13090</v>
      </c>
      <c r="P5" s="250">
        <f>'底表1（销售计划）'!P111</f>
        <v>5068</v>
      </c>
      <c r="Q5" s="250">
        <f>'底表1（销售计划）'!Q111</f>
        <v>498</v>
      </c>
      <c r="R5" s="250">
        <f>'底表1（销售计划）'!R111</f>
        <v>0</v>
      </c>
      <c r="S5" s="250">
        <f>'底表1（销售计划）'!S111</f>
        <v>0</v>
      </c>
      <c r="T5" s="250">
        <f>'底表1（销售计划）'!T111</f>
        <v>0</v>
      </c>
      <c r="U5" s="250">
        <f>'底表1（销售计划）'!U111</f>
        <v>0</v>
      </c>
      <c r="V5" s="250">
        <f>'底表1（销售计划）'!V111</f>
        <v>0</v>
      </c>
      <c r="W5" s="250">
        <f>'底表1（销售计划）'!W111</f>
        <v>0</v>
      </c>
      <c r="X5" s="250">
        <f>'底表1（销售计划）'!X111</f>
        <v>0</v>
      </c>
      <c r="Y5" s="250">
        <f>'底表1（销售计划）'!Y111</f>
        <v>0</v>
      </c>
      <c r="Z5" s="250">
        <f>'底表1（销售计划）'!Z111</f>
        <v>0</v>
      </c>
      <c r="AA5" s="250">
        <f>'底表1（销售计划）'!AA111</f>
        <v>0</v>
      </c>
      <c r="AB5" s="250">
        <f>'底表1（销售计划）'!AB111</f>
        <v>0</v>
      </c>
      <c r="AC5" s="250">
        <f>'底表1（销售计划）'!AC111</f>
        <v>0</v>
      </c>
      <c r="AD5" s="250">
        <f>'底表1（销售计划）'!AD111</f>
        <v>0</v>
      </c>
      <c r="AE5" s="250">
        <f>'底表1（销售计划）'!AE111</f>
        <v>0</v>
      </c>
      <c r="AF5" s="250">
        <f>'底表1（销售计划）'!AF111</f>
        <v>0</v>
      </c>
      <c r="AG5" s="250">
        <f>'底表1（销售计划）'!AG111</f>
        <v>0</v>
      </c>
      <c r="AH5" s="250">
        <f>'底表1（销售计划）'!AH111</f>
        <v>0</v>
      </c>
      <c r="AI5" s="250">
        <f>'底表1（销售计划）'!AI111</f>
        <v>0</v>
      </c>
      <c r="AJ5" s="250">
        <f>'底表1（销售计划）'!AJ111</f>
        <v>0</v>
      </c>
      <c r="AK5" s="250">
        <f>'底表1（销售计划）'!AK111</f>
        <v>0</v>
      </c>
      <c r="AL5" s="250">
        <f>'底表1（销售计划）'!AL111</f>
        <v>0</v>
      </c>
      <c r="AM5" s="250">
        <f>'底表1（销售计划）'!AM111</f>
        <v>0</v>
      </c>
      <c r="AN5" s="250">
        <f>'底表1（销售计划）'!AN111</f>
        <v>0</v>
      </c>
      <c r="AO5" s="250">
        <f>'底表1（销售计划）'!AO111</f>
        <v>0</v>
      </c>
      <c r="AP5" s="250">
        <f>'底表1（销售计划）'!AP111</f>
        <v>0</v>
      </c>
      <c r="AQ5" s="250">
        <f>'底表1（销售计划）'!AQ111</f>
        <v>0</v>
      </c>
      <c r="AR5" s="165"/>
      <c r="AS5" s="163"/>
      <c r="AT5" s="163"/>
      <c r="AU5" s="163"/>
      <c r="AV5" s="163"/>
    </row>
    <row r="6" spans="1:52" ht="18" customHeight="1" x14ac:dyDescent="0.15">
      <c r="A6" s="247">
        <v>2</v>
      </c>
      <c r="B6" s="270" t="str">
        <f>'主表2（现金流量表）'!A8</f>
        <v>转售固定资产收入</v>
      </c>
      <c r="C6" s="250">
        <f t="shared" ref="C6:C13" si="0">SUM(D6:AQ6)</f>
        <v>0</v>
      </c>
      <c r="D6" s="250"/>
      <c r="E6" s="250"/>
      <c r="F6" s="250"/>
      <c r="G6" s="250"/>
      <c r="H6" s="250"/>
      <c r="I6" s="250"/>
      <c r="J6" s="250"/>
      <c r="K6" s="250"/>
      <c r="L6" s="250"/>
      <c r="M6" s="250"/>
      <c r="N6" s="250"/>
      <c r="O6" s="250"/>
      <c r="P6" s="250"/>
      <c r="Q6" s="250"/>
      <c r="R6" s="250"/>
      <c r="S6" s="250"/>
      <c r="T6" s="250"/>
      <c r="U6" s="250"/>
      <c r="V6" s="250"/>
      <c r="W6" s="250"/>
      <c r="X6" s="250"/>
      <c r="Y6" s="250"/>
      <c r="Z6" s="250"/>
      <c r="AA6" s="250"/>
      <c r="AB6" s="250"/>
      <c r="AC6" s="250"/>
      <c r="AD6" s="250"/>
      <c r="AE6" s="250"/>
      <c r="AF6" s="250"/>
      <c r="AG6" s="250"/>
      <c r="AH6" s="250"/>
      <c r="AI6" s="250"/>
      <c r="AJ6" s="250"/>
      <c r="AK6" s="250"/>
      <c r="AL6" s="250"/>
      <c r="AM6" s="250"/>
      <c r="AN6" s="250"/>
      <c r="AO6" s="250"/>
      <c r="AP6" s="250"/>
      <c r="AQ6" s="250"/>
      <c r="AR6" s="165"/>
      <c r="AS6" s="163"/>
      <c r="AT6" s="163"/>
      <c r="AU6" s="163"/>
      <c r="AV6" s="163"/>
    </row>
    <row r="7" spans="1:52" ht="18" customHeight="1" x14ac:dyDescent="0.15">
      <c r="A7" s="247">
        <v>3</v>
      </c>
      <c r="B7" s="270" t="s">
        <v>95</v>
      </c>
      <c r="C7" s="250">
        <f>SUM(D7:AQ7)</f>
        <v>277553</v>
      </c>
      <c r="D7" s="250">
        <f>D5/$C$5*'主表1（成本）'!$B$37*'主表2（现金流量表）'!$B$24</f>
        <v>0</v>
      </c>
      <c r="E7" s="250">
        <f>E5/$C$5*'主表1（成本）'!$B$37*'主表2（现金流量表）'!$B$24</f>
        <v>0</v>
      </c>
      <c r="F7" s="250">
        <f>F5/$C$5*'主表1（成本）'!$B$37*'主表2（现金流量表）'!$B$24</f>
        <v>0</v>
      </c>
      <c r="G7" s="250">
        <f>G5/$C$5*'主表1（成本）'!$B$37*'主表2（现金流量表）'!$B$24</f>
        <v>39318</v>
      </c>
      <c r="H7" s="250">
        <f>H5/$C$5*'主表1（成本）'!$B$37*'主表2（现金流量表）'!$B$24</f>
        <v>38956</v>
      </c>
      <c r="I7" s="250">
        <f>I5/$C$5*'主表1（成本）'!$B$37*'主表2（现金流量表）'!$B$24</f>
        <v>46364</v>
      </c>
      <c r="J7" s="250">
        <f>J5/$C$5*'主表1（成本）'!$B$37*'主表2（现金流量表）'!$B$24</f>
        <v>44949</v>
      </c>
      <c r="K7" s="250">
        <f>K5/$C$5*'主表1（成本）'!$B$37*'主表2（现金流量表）'!$B$24</f>
        <v>33738</v>
      </c>
      <c r="L7" s="250">
        <f>L5/$C$5*'主表1（成本）'!$B$37*'主表2（现金流量表）'!$B$24</f>
        <v>29444</v>
      </c>
      <c r="M7" s="250">
        <f>M5/$C$5*'主表1（成本）'!$B$37*'主表2（现金流量表）'!$B$24</f>
        <v>18628</v>
      </c>
      <c r="N7" s="250">
        <f>N5/$C$5*'主表1（成本）'!$B$37*'主表2（现金流量表）'!$B$24</f>
        <v>11534</v>
      </c>
      <c r="O7" s="250">
        <f>O5/$C$5*'主表1（成本）'!$B$37*'主表2（现金流量表）'!$B$24</f>
        <v>10260</v>
      </c>
      <c r="P7" s="250">
        <f>P5/$C$5*'主表1（成本）'!$B$37*'主表2（现金流量表）'!$B$24</f>
        <v>3972</v>
      </c>
      <c r="Q7" s="250">
        <f>Q5/$C$5*'主表1（成本）'!$B$37*'主表2（现金流量表）'!$B$24</f>
        <v>390</v>
      </c>
      <c r="R7" s="250">
        <f>R5/$C$5*'主表1（成本）'!$B$37*'主表2（现金流量表）'!$B$24</f>
        <v>0</v>
      </c>
      <c r="S7" s="250">
        <f>S5/$C$5*'主表1（成本）'!$B$37*'主表2（现金流量表）'!$B$24</f>
        <v>0</v>
      </c>
      <c r="T7" s="250">
        <f>T5/$C$5*'主表1（成本）'!$B$37*'主表2（现金流量表）'!$B$24</f>
        <v>0</v>
      </c>
      <c r="U7" s="250">
        <f>U5/$C$5*'主表1（成本）'!$B$37*'主表2（现金流量表）'!$B$24</f>
        <v>0</v>
      </c>
      <c r="V7" s="250">
        <f>V5/$C$5*'主表1（成本）'!$B$37*'主表2（现金流量表）'!$B$24</f>
        <v>0</v>
      </c>
      <c r="W7" s="250">
        <f>W5/$C$5*'主表1（成本）'!$B$37*'主表2（现金流量表）'!$B$24</f>
        <v>0</v>
      </c>
      <c r="X7" s="250">
        <f>X5/$C$5*'主表1（成本）'!$B$37*'主表2（现金流量表）'!$B$24</f>
        <v>0</v>
      </c>
      <c r="Y7" s="250">
        <f>Y5/$C$5*'主表1（成本）'!$B$37*'主表2（现金流量表）'!$B$24</f>
        <v>0</v>
      </c>
      <c r="Z7" s="250">
        <f>Z5/$C$5*'主表1（成本）'!$B$37*'主表2（现金流量表）'!$B$24</f>
        <v>0</v>
      </c>
      <c r="AA7" s="250">
        <f>AA5/$C$5*'主表1（成本）'!$B$37*'主表2（现金流量表）'!$B$24</f>
        <v>0</v>
      </c>
      <c r="AB7" s="250">
        <f>AB5/$C$5*'主表1（成本）'!$B$37*'主表2（现金流量表）'!$B$24</f>
        <v>0</v>
      </c>
      <c r="AC7" s="250">
        <f>AC5/$C$5*'主表1（成本）'!$B$37*'主表2（现金流量表）'!$B$24</f>
        <v>0</v>
      </c>
      <c r="AD7" s="250">
        <f>AD5/$C$5*'主表1（成本）'!$B$37*'主表2（现金流量表）'!$B$24</f>
        <v>0</v>
      </c>
      <c r="AE7" s="250">
        <f>AE5/$C$5*'主表1（成本）'!$B$37*'主表2（现金流量表）'!$B$24</f>
        <v>0</v>
      </c>
      <c r="AF7" s="250">
        <f>AF5/$C$5*'主表1（成本）'!$B$37*'主表2（现金流量表）'!$B$24</f>
        <v>0</v>
      </c>
      <c r="AG7" s="250">
        <f>AG5/$C$5*'主表1（成本）'!$B$37*'主表2（现金流量表）'!$B$24</f>
        <v>0</v>
      </c>
      <c r="AH7" s="250">
        <f>AH5/$C$5*'主表1（成本）'!$B$37*'主表2（现金流量表）'!$B$24</f>
        <v>0</v>
      </c>
      <c r="AI7" s="250">
        <f>AI5/$C$5*'主表1（成本）'!$B$37*'主表2（现金流量表）'!$B$24</f>
        <v>0</v>
      </c>
      <c r="AJ7" s="250">
        <f>AJ5/$C$5*'主表1（成本）'!$B$37*'主表2（现金流量表）'!$B$24</f>
        <v>0</v>
      </c>
      <c r="AK7" s="250">
        <f>AK5/$C$5*'主表1（成本）'!$B$37*'主表2（现金流量表）'!$B$24</f>
        <v>0</v>
      </c>
      <c r="AL7" s="250">
        <f>AL5/$C$5*'主表1（成本）'!$B$37*'主表2（现金流量表）'!$B$24</f>
        <v>0</v>
      </c>
      <c r="AM7" s="250">
        <f>AM5/$C$5*'主表1（成本）'!$B$37*'主表2（现金流量表）'!$B$24</f>
        <v>0</v>
      </c>
      <c r="AN7" s="250">
        <f>AN5/$C$5*'主表1（成本）'!$B$37*'主表2（现金流量表）'!$B$24</f>
        <v>0</v>
      </c>
      <c r="AO7" s="250">
        <f>AO5/$C$5*'主表1（成本）'!$B$37*'主表2（现金流量表）'!$B$24</f>
        <v>0</v>
      </c>
      <c r="AP7" s="250">
        <f>AP5/$C$5*'主表1（成本）'!$B$37*'主表2（现金流量表）'!$B$24</f>
        <v>0</v>
      </c>
      <c r="AQ7" s="250">
        <f>AQ5/$C$5*'主表1（成本）'!$B$37*'主表2（现金流量表）'!$B$24</f>
        <v>0</v>
      </c>
      <c r="AR7" s="163"/>
      <c r="AS7" s="163"/>
      <c r="AT7" s="163"/>
      <c r="AU7" s="163"/>
      <c r="AV7" s="163"/>
    </row>
    <row r="8" spans="1:52" ht="18" customHeight="1" x14ac:dyDescent="0.15">
      <c r="A8" s="247">
        <v>4</v>
      </c>
      <c r="B8" s="270" t="s">
        <v>139</v>
      </c>
      <c r="C8" s="250">
        <f t="shared" si="0"/>
        <v>10916</v>
      </c>
      <c r="D8" s="250">
        <f>'底表1（销售计划）'!D128</f>
        <v>0</v>
      </c>
      <c r="E8" s="250">
        <f>'底表1（销售计划）'!E128</f>
        <v>0</v>
      </c>
      <c r="F8" s="250">
        <f>'底表1（销售计划）'!F128</f>
        <v>0</v>
      </c>
      <c r="G8" s="250">
        <f>'底表1（销售计划）'!G128</f>
        <v>1547</v>
      </c>
      <c r="H8" s="250">
        <f>'底表1（销售计划）'!H128</f>
        <v>1532</v>
      </c>
      <c r="I8" s="250">
        <f>'底表1（销售计划）'!I128</f>
        <v>1824</v>
      </c>
      <c r="J8" s="250">
        <f>'底表1（销售计划）'!J128</f>
        <v>1767</v>
      </c>
      <c r="K8" s="250">
        <f>'底表1（销售计划）'!K128</f>
        <v>1328</v>
      </c>
      <c r="L8" s="250">
        <f>'底表1（销售计划）'!L128</f>
        <v>1158</v>
      </c>
      <c r="M8" s="250">
        <f>'底表1（销售计划）'!M128</f>
        <v>733</v>
      </c>
      <c r="N8" s="250">
        <f>'底表1（销售计划）'!N128</f>
        <v>453</v>
      </c>
      <c r="O8" s="250">
        <f>'底表1（销售计划）'!O128</f>
        <v>403</v>
      </c>
      <c r="P8" s="250">
        <f>'底表1（销售计划）'!P128</f>
        <v>156</v>
      </c>
      <c r="Q8" s="250">
        <f>'底表1（销售计划）'!Q128</f>
        <v>15</v>
      </c>
      <c r="R8" s="250">
        <f>'底表1（销售计划）'!R128</f>
        <v>0</v>
      </c>
      <c r="S8" s="250">
        <f>'底表1（销售计划）'!S128</f>
        <v>0</v>
      </c>
      <c r="T8" s="250">
        <f>'底表1（销售计划）'!T128</f>
        <v>0</v>
      </c>
      <c r="U8" s="250">
        <f>'底表1（销售计划）'!U128</f>
        <v>0</v>
      </c>
      <c r="V8" s="250">
        <f>'底表1（销售计划）'!V128</f>
        <v>0</v>
      </c>
      <c r="W8" s="250">
        <f>'底表1（销售计划）'!W128</f>
        <v>0</v>
      </c>
      <c r="X8" s="250">
        <f>'底表1（销售计划）'!X128</f>
        <v>0</v>
      </c>
      <c r="Y8" s="250">
        <f>'底表1（销售计划）'!Y128</f>
        <v>0</v>
      </c>
      <c r="Z8" s="250">
        <f>'底表1（销售计划）'!Z128</f>
        <v>0</v>
      </c>
      <c r="AA8" s="250">
        <f>'底表1（销售计划）'!AA128</f>
        <v>0</v>
      </c>
      <c r="AB8" s="250">
        <f>'底表1（销售计划）'!AB128</f>
        <v>0</v>
      </c>
      <c r="AC8" s="250">
        <f>'底表1（销售计划）'!AC128</f>
        <v>0</v>
      </c>
      <c r="AD8" s="250">
        <f>'底表1（销售计划）'!AD128</f>
        <v>0</v>
      </c>
      <c r="AE8" s="250">
        <f>'底表1（销售计划）'!AE128</f>
        <v>0</v>
      </c>
      <c r="AF8" s="250">
        <f>'底表1（销售计划）'!AF128</f>
        <v>0</v>
      </c>
      <c r="AG8" s="250">
        <f>'底表1（销售计划）'!AG128</f>
        <v>0</v>
      </c>
      <c r="AH8" s="250">
        <f>'底表1（销售计划）'!AH128</f>
        <v>0</v>
      </c>
      <c r="AI8" s="250">
        <f>'底表1（销售计划）'!AI128</f>
        <v>0</v>
      </c>
      <c r="AJ8" s="250">
        <f>'底表1（销售计划）'!AJ128</f>
        <v>0</v>
      </c>
      <c r="AK8" s="250">
        <f>'底表1（销售计划）'!AK128</f>
        <v>0</v>
      </c>
      <c r="AL8" s="250">
        <f>'底表1（销售计划）'!AL128</f>
        <v>0</v>
      </c>
      <c r="AM8" s="250">
        <f>'底表1（销售计划）'!AM128</f>
        <v>0</v>
      </c>
      <c r="AN8" s="250">
        <f>'底表1（销售计划）'!AN128</f>
        <v>0</v>
      </c>
      <c r="AO8" s="250">
        <f>'底表1（销售计划）'!AO128</f>
        <v>0</v>
      </c>
      <c r="AP8" s="250">
        <f>'底表1（销售计划）'!AP128</f>
        <v>0</v>
      </c>
      <c r="AQ8" s="250">
        <f>'底表1（销售计划）'!AQ128</f>
        <v>0</v>
      </c>
      <c r="AR8" s="165"/>
      <c r="AS8" s="163"/>
      <c r="AT8" s="163"/>
      <c r="AU8" s="163"/>
      <c r="AV8" s="163"/>
    </row>
    <row r="9" spans="1:52" ht="18" customHeight="1" x14ac:dyDescent="0.15">
      <c r="A9" s="247">
        <v>5</v>
      </c>
      <c r="B9" s="270" t="s">
        <v>96</v>
      </c>
      <c r="C9" s="250">
        <f>SUM(D9:AQ9)</f>
        <v>0</v>
      </c>
      <c r="D9" s="250"/>
      <c r="E9" s="250"/>
      <c r="F9" s="250"/>
      <c r="G9" s="250"/>
      <c r="H9" s="250"/>
      <c r="I9" s="250"/>
      <c r="J9" s="250"/>
      <c r="K9" s="250"/>
      <c r="L9" s="250"/>
      <c r="M9" s="250"/>
      <c r="N9" s="250"/>
      <c r="O9" s="250"/>
      <c r="P9" s="250"/>
      <c r="Q9" s="250"/>
      <c r="R9" s="250"/>
      <c r="S9" s="250"/>
      <c r="T9" s="250"/>
      <c r="U9" s="250"/>
      <c r="V9" s="250"/>
      <c r="W9" s="250"/>
      <c r="X9" s="250"/>
      <c r="Y9" s="250"/>
      <c r="Z9" s="250"/>
      <c r="AA9" s="250"/>
      <c r="AB9" s="250"/>
      <c r="AC9" s="250"/>
      <c r="AD9" s="250"/>
      <c r="AE9" s="250"/>
      <c r="AF9" s="250"/>
      <c r="AG9" s="250"/>
      <c r="AH9" s="250"/>
      <c r="AI9" s="250"/>
      <c r="AJ9" s="250"/>
      <c r="AK9" s="250"/>
      <c r="AL9" s="250"/>
      <c r="AM9" s="250"/>
      <c r="AN9" s="250"/>
      <c r="AO9" s="250"/>
      <c r="AP9" s="250"/>
      <c r="AQ9" s="250"/>
      <c r="AR9" s="163"/>
      <c r="AS9" s="163"/>
      <c r="AT9" s="163"/>
      <c r="AU9" s="163"/>
      <c r="AV9" s="163"/>
    </row>
    <row r="10" spans="1:52" ht="18" customHeight="1" x14ac:dyDescent="0.15">
      <c r="A10" s="247">
        <v>6</v>
      </c>
      <c r="B10" s="270" t="s">
        <v>97</v>
      </c>
      <c r="C10" s="250">
        <f>SUM(D10:AQ10)</f>
        <v>0</v>
      </c>
      <c r="D10" s="315">
        <f>SUMPRODUCT(基础数据!$C$27:$C$31,'底表1（销售计划）'!D112:D116)</f>
        <v>0</v>
      </c>
      <c r="E10" s="315">
        <f>SUMPRODUCT(基础数据!$C$27:$C$31,'底表1（销售计划）'!E112:E116)</f>
        <v>0</v>
      </c>
      <c r="F10" s="315">
        <f>SUMPRODUCT(基础数据!$C$27:$C$31,'底表1（销售计划）'!F112:F116)</f>
        <v>0</v>
      </c>
      <c r="G10" s="315">
        <f>SUMPRODUCT(基础数据!$C$27:$C$31,'底表1（销售计划）'!G112:G116)</f>
        <v>1505</v>
      </c>
      <c r="H10" s="315">
        <f>SUMPRODUCT(基础数据!$C$27:$C$31,'底表1（销售计划）'!H112:H116)</f>
        <v>1491</v>
      </c>
      <c r="I10" s="315">
        <f>SUMPRODUCT(基础数据!$C$27:$C$31,'底表1（销售计划）'!I112:I116)</f>
        <v>1775</v>
      </c>
      <c r="J10" s="315">
        <f>SUMPRODUCT(基础数据!$C$27:$C$31,'底表1（销售计划）'!J112:J116)</f>
        <v>1720</v>
      </c>
      <c r="K10" s="315">
        <f>SUMPRODUCT(基础数据!$C$27:$C$31,'底表1（销售计划）'!K112:K116)</f>
        <v>1291</v>
      </c>
      <c r="L10" s="315">
        <f>SUMPRODUCT(基础数据!$C$27:$C$31,'底表1（销售计划）'!L112:L116)</f>
        <v>1127</v>
      </c>
      <c r="M10" s="315">
        <f>SUMPRODUCT(基础数据!$C$27:$C$31,'底表1（销售计划）'!M112:M116)</f>
        <v>713</v>
      </c>
      <c r="N10" s="315">
        <f>SUMPRODUCT(基础数据!$C$27:$C$31,'底表1（销售计划）'!N112:N116)</f>
        <v>441</v>
      </c>
      <c r="O10" s="315">
        <f>SUMPRODUCT(基础数据!$C$27:$C$31,'底表1（销售计划）'!O112:O116)</f>
        <v>393</v>
      </c>
      <c r="P10" s="315">
        <f>SUMPRODUCT(基础数据!$C$27:$C$31,'底表1（销售计划）'!P112:P116)</f>
        <v>152</v>
      </c>
      <c r="Q10" s="315">
        <f>'底表2（增值税、土地增值税）'!M13-SUM(D10:P10)</f>
        <v>-10608</v>
      </c>
      <c r="R10" s="315">
        <f>SUMPRODUCT(基础数据!$C$27:$C$31,'底表1（销售计划）'!R112:R116)</f>
        <v>0</v>
      </c>
      <c r="S10" s="315">
        <f>SUMPRODUCT(基础数据!$C$27:$C$31,'底表1（销售计划）'!S112:S116)</f>
        <v>0</v>
      </c>
      <c r="T10" s="315">
        <f>SUMPRODUCT(基础数据!$C$27:$C$31,'底表1（销售计划）'!T112:T116)</f>
        <v>0</v>
      </c>
      <c r="U10" s="315">
        <f>SUMPRODUCT(基础数据!$C$27:$C$31,'底表1（销售计划）'!U112:U116)</f>
        <v>0</v>
      </c>
      <c r="V10" s="315">
        <f>SUMPRODUCT(基础数据!$C$27:$C$31,'底表1（销售计划）'!V112:V116)</f>
        <v>0</v>
      </c>
      <c r="W10" s="315">
        <f>SUMPRODUCT(基础数据!$C$27:$C$31,'底表1（销售计划）'!W112:W116)</f>
        <v>0</v>
      </c>
      <c r="X10" s="315">
        <f>SUMPRODUCT(基础数据!$C$27:$C$31,'底表1（销售计划）'!X112:X116)</f>
        <v>0</v>
      </c>
      <c r="Y10" s="315">
        <f>SUMPRODUCT(基础数据!$C$27:$C$31,'底表1（销售计划）'!Y112:Y116)</f>
        <v>0</v>
      </c>
      <c r="Z10" s="315">
        <f>SUMPRODUCT(基础数据!$C$27:$C$31,'底表1（销售计划）'!Z112:Z116)</f>
        <v>0</v>
      </c>
      <c r="AA10" s="315">
        <f>SUMPRODUCT(基础数据!$C$27:$C$31,'底表1（销售计划）'!AA112:AA116)</f>
        <v>0</v>
      </c>
      <c r="AB10" s="315">
        <f>SUMPRODUCT(基础数据!$C$27:$C$31,'底表1（销售计划）'!AB112:AB116)</f>
        <v>0</v>
      </c>
      <c r="AC10" s="315">
        <f>SUMPRODUCT(基础数据!$C$27:$C$31,'底表1（销售计划）'!AC112:AC116)</f>
        <v>0</v>
      </c>
      <c r="AD10" s="315">
        <f>SUMPRODUCT(基础数据!$C$27:$C$31,'底表1（销售计划）'!AD112:AD116)</f>
        <v>0</v>
      </c>
      <c r="AE10" s="315">
        <f>SUMPRODUCT(基础数据!$C$27:$C$31,'底表1（销售计划）'!AE112:AE116)</f>
        <v>0</v>
      </c>
      <c r="AF10" s="315">
        <f>SUMPRODUCT(基础数据!$C$27:$C$31,'底表1（销售计划）'!AF112:AF116)</f>
        <v>0</v>
      </c>
      <c r="AG10" s="315">
        <f>SUMPRODUCT(基础数据!$C$27:$C$31,'底表1（销售计划）'!AG112:AG116)</f>
        <v>0</v>
      </c>
      <c r="AH10" s="315">
        <f>SUMPRODUCT(基础数据!$C$27:$C$31,'底表1（销售计划）'!AH112:AH116)</f>
        <v>0</v>
      </c>
      <c r="AI10" s="315">
        <f>SUMPRODUCT(基础数据!$C$27:$C$31,'底表1（销售计划）'!AI112:AI116)</f>
        <v>0</v>
      </c>
      <c r="AJ10" s="315">
        <f>SUMPRODUCT(基础数据!$C$27:$C$31,'底表1（销售计划）'!AJ112:AJ116)</f>
        <v>0</v>
      </c>
      <c r="AK10" s="315">
        <f>SUMPRODUCT(基础数据!$C$27:$C$31,'底表1（销售计划）'!AK112:AK116)</f>
        <v>0</v>
      </c>
      <c r="AL10" s="315">
        <f>SUMPRODUCT(基础数据!$C$27:$C$31,'底表1（销售计划）'!AL112:AL116)</f>
        <v>0</v>
      </c>
      <c r="AM10" s="315">
        <f>SUMPRODUCT(基础数据!$C$27:$C$31,'底表1（销售计划）'!AM112:AM116)</f>
        <v>0</v>
      </c>
      <c r="AN10" s="315">
        <f>SUMPRODUCT(基础数据!$C$27:$C$31,'底表1（销售计划）'!AN112:AN116)</f>
        <v>0</v>
      </c>
      <c r="AO10" s="315">
        <f>SUMPRODUCT(基础数据!$C$27:$C$31,'底表1（销售计划）'!AO112:AO116)</f>
        <v>0</v>
      </c>
      <c r="AP10" s="315">
        <f>SUMPRODUCT(基础数据!$C$27:$C$31,'底表1（销售计划）'!AP112:AP116)</f>
        <v>0</v>
      </c>
      <c r="AQ10" s="315">
        <f>SUMPRODUCT(基础数据!$C$27:$C$31,'底表1（销售计划）'!AQ112:AQ116)</f>
        <v>0</v>
      </c>
      <c r="AR10" s="156"/>
      <c r="AS10" s="166"/>
      <c r="AT10" s="163"/>
      <c r="AU10" s="163"/>
      <c r="AV10" s="163"/>
      <c r="AW10" s="134"/>
      <c r="AX10" s="134"/>
      <c r="AY10" s="134"/>
      <c r="AZ10" s="134"/>
    </row>
    <row r="11" spans="1:52" ht="18" customHeight="1" x14ac:dyDescent="0.15">
      <c r="A11" s="247">
        <v>7</v>
      </c>
      <c r="B11" s="270" t="s">
        <v>98</v>
      </c>
      <c r="C11" s="250">
        <f t="shared" si="0"/>
        <v>7082</v>
      </c>
      <c r="D11" s="250">
        <f>'主表1（成本）'!C32*'主表2（现金流量表）'!$B$24</f>
        <v>0</v>
      </c>
      <c r="E11" s="250">
        <f>'主表1（成本）'!D32*'主表2（现金流量表）'!$B$24</f>
        <v>0</v>
      </c>
      <c r="F11" s="250">
        <f>'主表1（成本）'!E32*'主表2（现金流量表）'!$B$24</f>
        <v>0</v>
      </c>
      <c r="G11" s="250">
        <f>'主表1（成本）'!F32*'主表2（现金流量表）'!$B$24</f>
        <v>1003</v>
      </c>
      <c r="H11" s="250">
        <f>'主表1（成本）'!G32*'主表2（现金流量表）'!$B$24</f>
        <v>994</v>
      </c>
      <c r="I11" s="250">
        <f>'主表1（成本）'!H32*'主表2（现金流量表）'!$B$24</f>
        <v>1183</v>
      </c>
      <c r="J11" s="250">
        <f>'主表1（成本）'!I32*'主表2（现金流量表）'!$B$24</f>
        <v>1147</v>
      </c>
      <c r="K11" s="250">
        <f>'主表1（成本）'!J32*'主表2（现金流量表）'!$B$24</f>
        <v>861</v>
      </c>
      <c r="L11" s="250">
        <f>'主表1（成本）'!K32*'主表2（现金流量表）'!$B$24</f>
        <v>751</v>
      </c>
      <c r="M11" s="250">
        <f>'主表1（成本）'!L32*'主表2（现金流量表）'!$B$24</f>
        <v>475</v>
      </c>
      <c r="N11" s="250">
        <f>'主表1（成本）'!M32*'主表2（现金流量表）'!$B$24</f>
        <v>294</v>
      </c>
      <c r="O11" s="250">
        <f>'主表1（成本）'!N32*'主表2（现金流量表）'!$B$24</f>
        <v>262</v>
      </c>
      <c r="P11" s="250">
        <f>'主表1（成本）'!O32*'主表2（现金流量表）'!$B$24</f>
        <v>101</v>
      </c>
      <c r="Q11" s="250">
        <f>'主表1（成本）'!P32*'主表2（现金流量表）'!$B$24</f>
        <v>11</v>
      </c>
      <c r="R11" s="250">
        <f>'主表1（成本）'!Q32*'主表2（现金流量表）'!$B$24</f>
        <v>0</v>
      </c>
      <c r="S11" s="250">
        <f>'主表1（成本）'!R32*'主表2（现金流量表）'!$B$24</f>
        <v>0</v>
      </c>
      <c r="T11" s="250">
        <f>'主表1（成本）'!S32*'主表2（现金流量表）'!$B$24</f>
        <v>0</v>
      </c>
      <c r="U11" s="250">
        <f>'主表1（成本）'!T32*'主表2（现金流量表）'!$B$24</f>
        <v>0</v>
      </c>
      <c r="V11" s="250">
        <f>'主表1（成本）'!U32*'主表2（现金流量表）'!$B$24</f>
        <v>0</v>
      </c>
      <c r="W11" s="250">
        <f>'主表1（成本）'!V32*'主表2（现金流量表）'!$B$24</f>
        <v>0</v>
      </c>
      <c r="X11" s="250">
        <f>'主表1（成本）'!W32*'主表2（现金流量表）'!$B$24</f>
        <v>0</v>
      </c>
      <c r="Y11" s="250">
        <f>'主表1（成本）'!X32*'主表2（现金流量表）'!$B$24</f>
        <v>0</v>
      </c>
      <c r="Z11" s="250">
        <f>'主表1（成本）'!Y32*'主表2（现金流量表）'!$B$24</f>
        <v>0</v>
      </c>
      <c r="AA11" s="250">
        <f>'主表1（成本）'!Z32*'主表2（现金流量表）'!$B$24</f>
        <v>0</v>
      </c>
      <c r="AB11" s="250">
        <f>'主表1（成本）'!AA32*'主表2（现金流量表）'!$B$24</f>
        <v>0</v>
      </c>
      <c r="AC11" s="250">
        <f>'主表1（成本）'!AB32*'主表2（现金流量表）'!$B$24</f>
        <v>0</v>
      </c>
      <c r="AD11" s="250">
        <f>'主表1（成本）'!AC32*'主表2（现金流量表）'!$B$24</f>
        <v>0</v>
      </c>
      <c r="AE11" s="250">
        <f>'主表1（成本）'!AD32*'主表2（现金流量表）'!$B$24</f>
        <v>0</v>
      </c>
      <c r="AF11" s="250">
        <f>'主表1（成本）'!AE32*'主表2（现金流量表）'!$B$24</f>
        <v>0</v>
      </c>
      <c r="AG11" s="250">
        <f>'主表1（成本）'!AF32*'主表2（现金流量表）'!$B$24</f>
        <v>0</v>
      </c>
      <c r="AH11" s="250">
        <f>'主表1（成本）'!AG32*'主表2（现金流量表）'!$B$24</f>
        <v>0</v>
      </c>
      <c r="AI11" s="250">
        <f>'主表1（成本）'!AH32*'主表2（现金流量表）'!$B$24</f>
        <v>0</v>
      </c>
      <c r="AJ11" s="250">
        <f>'主表1（成本）'!AI32*'主表2（现金流量表）'!$B$24</f>
        <v>0</v>
      </c>
      <c r="AK11" s="250">
        <f>'主表1（成本）'!AJ32*'主表2（现金流量表）'!$B$24</f>
        <v>0</v>
      </c>
      <c r="AL11" s="250">
        <f>'主表1（成本）'!AK32*'主表2（现金流量表）'!$B$24</f>
        <v>0</v>
      </c>
      <c r="AM11" s="250">
        <f>'主表1（成本）'!AL32*'主表2（现金流量表）'!$B$24</f>
        <v>0</v>
      </c>
      <c r="AN11" s="250">
        <f>'主表1（成本）'!AM32*'主表2（现金流量表）'!$B$24</f>
        <v>0</v>
      </c>
      <c r="AO11" s="250">
        <f>'主表1（成本）'!AN32*'主表2（现金流量表）'!$B$24</f>
        <v>0</v>
      </c>
      <c r="AP11" s="250">
        <f>'主表1（成本）'!AO32*'主表2（现金流量表）'!$B$24</f>
        <v>0</v>
      </c>
      <c r="AQ11" s="250">
        <f>'主表1（成本）'!AP32*'主表2（现金流量表）'!$B$24</f>
        <v>0</v>
      </c>
      <c r="AR11" s="163"/>
      <c r="AS11" s="166"/>
      <c r="AT11" s="163"/>
      <c r="AU11" s="163"/>
      <c r="AV11" s="156"/>
      <c r="AW11" s="138"/>
      <c r="AX11" s="139"/>
      <c r="AY11" s="169"/>
      <c r="AZ11" s="169"/>
    </row>
    <row r="12" spans="1:52" ht="18" customHeight="1" x14ac:dyDescent="0.15">
      <c r="A12" s="247">
        <v>8</v>
      </c>
      <c r="B12" s="270" t="s">
        <v>99</v>
      </c>
      <c r="C12" s="250">
        <f t="shared" si="0"/>
        <v>5488</v>
      </c>
      <c r="D12" s="250">
        <f>'主表1（成本）'!C33*'主表2（现金流量表）'!$B$24</f>
        <v>0</v>
      </c>
      <c r="E12" s="250">
        <f>'主表1（成本）'!D33*'主表2（现金流量表）'!$B$24</f>
        <v>3476</v>
      </c>
      <c r="F12" s="250">
        <f>'主表1（成本）'!E33*'主表2（现金流量表）'!$B$24</f>
        <v>474</v>
      </c>
      <c r="G12" s="250">
        <f>'主表1（成本）'!F33*'主表2（现金流量表）'!$B$24</f>
        <v>252</v>
      </c>
      <c r="H12" s="250">
        <f>'主表1（成本）'!G33*'主表2（现金流量表）'!$B$24</f>
        <v>165</v>
      </c>
      <c r="I12" s="250">
        <f>'主表1（成本）'!H33*'主表2（现金流量表）'!$B$24</f>
        <v>165</v>
      </c>
      <c r="J12" s="250">
        <f>'主表1（成本）'!I33*'主表2（现金流量表）'!$B$24</f>
        <v>165</v>
      </c>
      <c r="K12" s="250">
        <f>'主表1（成本）'!J33*'主表2（现金流量表）'!$B$24</f>
        <v>165</v>
      </c>
      <c r="L12" s="250">
        <f>'主表1（成本）'!K33*'主表2（现金流量表）'!$B$24</f>
        <v>132</v>
      </c>
      <c r="M12" s="250">
        <f>'主表1（成本）'!L33*'主表2（现金流量表）'!$B$24</f>
        <v>132</v>
      </c>
      <c r="N12" s="250">
        <f>'主表1（成本）'!M33*'主表2（现金流量表）'!$B$24</f>
        <v>99</v>
      </c>
      <c r="O12" s="250">
        <f>'主表1（成本）'!N33*'主表2（现金流量表）'!$B$24</f>
        <v>99</v>
      </c>
      <c r="P12" s="250">
        <f>'主表1（成本）'!O33*'主表2（现金流量表）'!$B$24</f>
        <v>82</v>
      </c>
      <c r="Q12" s="250">
        <f>'主表1（成本）'!P33*'主表2（现金流量表）'!$B$24</f>
        <v>82</v>
      </c>
      <c r="R12" s="250">
        <f>'主表1（成本）'!Q33*'主表2（现金流量表）'!$B$24</f>
        <v>0</v>
      </c>
      <c r="S12" s="250">
        <f>'主表1（成本）'!R33*'主表2（现金流量表）'!$B$24</f>
        <v>0</v>
      </c>
      <c r="T12" s="250">
        <f>'主表1（成本）'!S33*'主表2（现金流量表）'!$B$24</f>
        <v>0</v>
      </c>
      <c r="U12" s="250">
        <f>'主表1（成本）'!T33*'主表2（现金流量表）'!$B$24</f>
        <v>0</v>
      </c>
      <c r="V12" s="250">
        <f>'主表1（成本）'!U33*'主表2（现金流量表）'!$B$24</f>
        <v>0</v>
      </c>
      <c r="W12" s="250">
        <f>'主表1（成本）'!V33*'主表2（现金流量表）'!$B$24</f>
        <v>0</v>
      </c>
      <c r="X12" s="250">
        <f>'主表1（成本）'!W33*'主表2（现金流量表）'!$B$24</f>
        <v>0</v>
      </c>
      <c r="Y12" s="250">
        <f>'主表1（成本）'!X33*'主表2（现金流量表）'!$B$24</f>
        <v>0</v>
      </c>
      <c r="Z12" s="250">
        <f>'主表1（成本）'!Y33*'主表2（现金流量表）'!$B$24</f>
        <v>0</v>
      </c>
      <c r="AA12" s="250">
        <f>'主表1（成本）'!Z33*'主表2（现金流量表）'!$B$24</f>
        <v>0</v>
      </c>
      <c r="AB12" s="250">
        <f>'主表1（成本）'!AA33*'主表2（现金流量表）'!$B$24</f>
        <v>0</v>
      </c>
      <c r="AC12" s="250">
        <f>'主表1（成本）'!AB33*'主表2（现金流量表）'!$B$24</f>
        <v>0</v>
      </c>
      <c r="AD12" s="250">
        <f>'主表1（成本）'!AC33*'主表2（现金流量表）'!$B$24</f>
        <v>0</v>
      </c>
      <c r="AE12" s="250">
        <f>'主表1（成本）'!AD33*'主表2（现金流量表）'!$B$24</f>
        <v>0</v>
      </c>
      <c r="AF12" s="250">
        <f>'主表1（成本）'!AE33*'主表2（现金流量表）'!$B$24</f>
        <v>0</v>
      </c>
      <c r="AG12" s="250">
        <f>'主表1（成本）'!AF33*'主表2（现金流量表）'!$B$24</f>
        <v>0</v>
      </c>
      <c r="AH12" s="250">
        <f>'主表1（成本）'!AG33*'主表2（现金流量表）'!$B$24</f>
        <v>0</v>
      </c>
      <c r="AI12" s="250">
        <f>'主表1（成本）'!AH33*'主表2（现金流量表）'!$B$24</f>
        <v>0</v>
      </c>
      <c r="AJ12" s="250">
        <f>'主表1（成本）'!AI33*'主表2（现金流量表）'!$B$24</f>
        <v>0</v>
      </c>
      <c r="AK12" s="250">
        <f>'主表1（成本）'!AJ33*'主表2（现金流量表）'!$B$24</f>
        <v>0</v>
      </c>
      <c r="AL12" s="250">
        <f>'主表1（成本）'!AK33*'主表2（现金流量表）'!$B$24</f>
        <v>0</v>
      </c>
      <c r="AM12" s="250">
        <f>'主表1（成本）'!AL33*'主表2（现金流量表）'!$B$24</f>
        <v>0</v>
      </c>
      <c r="AN12" s="250">
        <f>'主表1（成本）'!AM33*'主表2（现金流量表）'!$B$24</f>
        <v>0</v>
      </c>
      <c r="AO12" s="250">
        <f>'主表1（成本）'!AN33*'主表2（现金流量表）'!$B$24</f>
        <v>0</v>
      </c>
      <c r="AP12" s="250">
        <f>'主表1（成本）'!AO33*'主表2（现金流量表）'!$B$24</f>
        <v>0</v>
      </c>
      <c r="AQ12" s="250">
        <f>'主表1（成本）'!AP33*'主表2（现金流量表）'!$B$24</f>
        <v>0</v>
      </c>
      <c r="AR12" s="163"/>
      <c r="AS12" s="166"/>
      <c r="AT12" s="163"/>
      <c r="AU12" s="163"/>
      <c r="AV12" s="163"/>
    </row>
    <row r="13" spans="1:52" ht="18" customHeight="1" x14ac:dyDescent="0.15">
      <c r="A13" s="247">
        <v>9</v>
      </c>
      <c r="B13" s="270" t="s">
        <v>100</v>
      </c>
      <c r="C13" s="250">
        <f t="shared" si="0"/>
        <v>12470</v>
      </c>
      <c r="D13" s="250">
        <f>'主表1（成本）'!C34</f>
        <v>0</v>
      </c>
      <c r="E13" s="250">
        <f>'主表1（成本）'!D34</f>
        <v>1650</v>
      </c>
      <c r="F13" s="250">
        <f>'主表1（成本）'!E34</f>
        <v>3475</v>
      </c>
      <c r="G13" s="250">
        <f>'主表1（成本）'!F34</f>
        <v>3290</v>
      </c>
      <c r="H13" s="250">
        <f>'主表1（成本）'!G34</f>
        <v>2450</v>
      </c>
      <c r="I13" s="250">
        <f>'主表1（成本）'!H34</f>
        <v>1295</v>
      </c>
      <c r="J13" s="250">
        <f>'主表1（成本）'!I34</f>
        <v>310</v>
      </c>
      <c r="K13" s="250">
        <f>'主表1（成本）'!J34</f>
        <v>0</v>
      </c>
      <c r="L13" s="250">
        <f>'主表1（成本）'!K34</f>
        <v>0</v>
      </c>
      <c r="M13" s="250">
        <f>'主表1（成本）'!L34</f>
        <v>0</v>
      </c>
      <c r="N13" s="250">
        <f>'主表1（成本）'!M34</f>
        <v>0</v>
      </c>
      <c r="O13" s="250">
        <f>'主表1（成本）'!N34</f>
        <v>0</v>
      </c>
      <c r="P13" s="250">
        <f>'主表1（成本）'!O34</f>
        <v>0</v>
      </c>
      <c r="Q13" s="250">
        <f>'主表1（成本）'!P34</f>
        <v>0</v>
      </c>
      <c r="R13" s="250">
        <f>'主表1（成本）'!Q34</f>
        <v>0</v>
      </c>
      <c r="S13" s="250">
        <f>'主表1（成本）'!R34</f>
        <v>0</v>
      </c>
      <c r="T13" s="250">
        <f>'主表1（成本）'!S34</f>
        <v>0</v>
      </c>
      <c r="U13" s="250">
        <f>'主表1（成本）'!T34</f>
        <v>0</v>
      </c>
      <c r="V13" s="250">
        <f>'主表1（成本）'!U34</f>
        <v>0</v>
      </c>
      <c r="W13" s="250">
        <f>'主表1（成本）'!V34</f>
        <v>0</v>
      </c>
      <c r="X13" s="250">
        <f>'主表1（成本）'!W34</f>
        <v>0</v>
      </c>
      <c r="Y13" s="250">
        <f>'主表1（成本）'!X34</f>
        <v>0</v>
      </c>
      <c r="Z13" s="250">
        <f>'主表1（成本）'!Y34</f>
        <v>0</v>
      </c>
      <c r="AA13" s="250">
        <f>'主表1（成本）'!Z34</f>
        <v>0</v>
      </c>
      <c r="AB13" s="250">
        <f>'主表1（成本）'!AA34</f>
        <v>0</v>
      </c>
      <c r="AC13" s="250">
        <f>'主表1（成本）'!AB34</f>
        <v>0</v>
      </c>
      <c r="AD13" s="250">
        <f>'主表1（成本）'!AC34</f>
        <v>0</v>
      </c>
      <c r="AE13" s="250">
        <f>'主表1（成本）'!AD34</f>
        <v>0</v>
      </c>
      <c r="AF13" s="250">
        <f>'主表1（成本）'!AE34</f>
        <v>0</v>
      </c>
      <c r="AG13" s="250">
        <f>'主表1（成本）'!AF34</f>
        <v>0</v>
      </c>
      <c r="AH13" s="250">
        <f>'主表1（成本）'!AG34</f>
        <v>0</v>
      </c>
      <c r="AI13" s="250">
        <f>'主表1（成本）'!AH34</f>
        <v>0</v>
      </c>
      <c r="AJ13" s="250">
        <f>'主表1（成本）'!AI34</f>
        <v>0</v>
      </c>
      <c r="AK13" s="250">
        <f>'主表1（成本）'!AJ34</f>
        <v>0</v>
      </c>
      <c r="AL13" s="250">
        <f>'主表1（成本）'!AK34</f>
        <v>0</v>
      </c>
      <c r="AM13" s="250">
        <f>'主表1（成本）'!AL34</f>
        <v>0</v>
      </c>
      <c r="AN13" s="250">
        <f>'主表1（成本）'!AM34</f>
        <v>0</v>
      </c>
      <c r="AO13" s="250">
        <f>'主表1（成本）'!AN34</f>
        <v>0</v>
      </c>
      <c r="AP13" s="250">
        <f>'主表1（成本）'!AO34</f>
        <v>0</v>
      </c>
      <c r="AQ13" s="250">
        <f>'主表1（成本）'!AP34</f>
        <v>0</v>
      </c>
      <c r="AR13" s="163"/>
      <c r="AS13" s="166"/>
      <c r="AT13" s="163"/>
      <c r="AU13" s="163"/>
      <c r="AV13" s="163"/>
    </row>
    <row r="14" spans="1:52" ht="18" customHeight="1" x14ac:dyDescent="0.15">
      <c r="A14" s="247">
        <v>10</v>
      </c>
      <c r="B14" s="270" t="s">
        <v>185</v>
      </c>
      <c r="C14" s="250">
        <f>SUM(D14:AQ14)</f>
        <v>40612</v>
      </c>
      <c r="D14" s="250">
        <f>D5+D6-D7-D8-D9-D10-D11-D12-D13</f>
        <v>0</v>
      </c>
      <c r="E14" s="250">
        <f t="shared" ref="E14:AQ14" si="1">E5+E6-E7-E8-E9-E10-E11-E12-E13</f>
        <v>-5126</v>
      </c>
      <c r="F14" s="250">
        <f t="shared" si="1"/>
        <v>-3949</v>
      </c>
      <c r="G14" s="250">
        <f t="shared" si="1"/>
        <v>3249</v>
      </c>
      <c r="H14" s="250">
        <f t="shared" si="1"/>
        <v>4115</v>
      </c>
      <c r="I14" s="250">
        <f t="shared" si="1"/>
        <v>6548</v>
      </c>
      <c r="J14" s="250">
        <f t="shared" si="1"/>
        <v>7291</v>
      </c>
      <c r="K14" s="250">
        <f t="shared" si="1"/>
        <v>5662</v>
      </c>
      <c r="L14" s="250">
        <f t="shared" si="1"/>
        <v>4955</v>
      </c>
      <c r="M14" s="250">
        <f t="shared" si="1"/>
        <v>3086</v>
      </c>
      <c r="N14" s="250">
        <f t="shared" si="1"/>
        <v>1895</v>
      </c>
      <c r="O14" s="250">
        <f t="shared" si="1"/>
        <v>1673</v>
      </c>
      <c r="P14" s="250">
        <f t="shared" si="1"/>
        <v>605</v>
      </c>
      <c r="Q14" s="250">
        <f t="shared" si="1"/>
        <v>10608</v>
      </c>
      <c r="R14" s="250">
        <f t="shared" si="1"/>
        <v>0</v>
      </c>
      <c r="S14" s="250">
        <f t="shared" si="1"/>
        <v>0</v>
      </c>
      <c r="T14" s="250">
        <f t="shared" si="1"/>
        <v>0</v>
      </c>
      <c r="U14" s="250">
        <f t="shared" si="1"/>
        <v>0</v>
      </c>
      <c r="V14" s="250">
        <f t="shared" si="1"/>
        <v>0</v>
      </c>
      <c r="W14" s="250">
        <f t="shared" si="1"/>
        <v>0</v>
      </c>
      <c r="X14" s="250">
        <f t="shared" ref="X14:AM14" si="2">X5+X6-X7-X8-X9-X10-X11-X12-X13</f>
        <v>0</v>
      </c>
      <c r="Y14" s="250">
        <f t="shared" si="2"/>
        <v>0</v>
      </c>
      <c r="Z14" s="250">
        <f t="shared" si="2"/>
        <v>0</v>
      </c>
      <c r="AA14" s="250">
        <f t="shared" si="2"/>
        <v>0</v>
      </c>
      <c r="AB14" s="250">
        <f t="shared" si="2"/>
        <v>0</v>
      </c>
      <c r="AC14" s="250">
        <f t="shared" si="2"/>
        <v>0</v>
      </c>
      <c r="AD14" s="250">
        <f t="shared" si="2"/>
        <v>0</v>
      </c>
      <c r="AE14" s="250">
        <f t="shared" si="2"/>
        <v>0</v>
      </c>
      <c r="AF14" s="250">
        <f t="shared" si="2"/>
        <v>0</v>
      </c>
      <c r="AG14" s="250">
        <f t="shared" si="2"/>
        <v>0</v>
      </c>
      <c r="AH14" s="250">
        <f t="shared" si="2"/>
        <v>0</v>
      </c>
      <c r="AI14" s="250">
        <f t="shared" si="2"/>
        <v>0</v>
      </c>
      <c r="AJ14" s="250">
        <f t="shared" si="2"/>
        <v>0</v>
      </c>
      <c r="AK14" s="250">
        <f t="shared" si="2"/>
        <v>0</v>
      </c>
      <c r="AL14" s="250">
        <f t="shared" si="2"/>
        <v>0</v>
      </c>
      <c r="AM14" s="250">
        <f t="shared" si="2"/>
        <v>0</v>
      </c>
      <c r="AN14" s="250">
        <f t="shared" si="1"/>
        <v>0</v>
      </c>
      <c r="AO14" s="250">
        <f t="shared" si="1"/>
        <v>0</v>
      </c>
      <c r="AP14" s="250">
        <f t="shared" si="1"/>
        <v>0</v>
      </c>
      <c r="AQ14" s="250">
        <f t="shared" si="1"/>
        <v>0</v>
      </c>
      <c r="AR14" s="163"/>
      <c r="AS14" s="156"/>
      <c r="AT14" s="156"/>
      <c r="AU14" s="156"/>
      <c r="AV14" s="156"/>
      <c r="AW14" s="170"/>
      <c r="AX14" s="170"/>
    </row>
    <row r="15" spans="1:52" s="254" customFormat="1" ht="18" customHeight="1" x14ac:dyDescent="0.15">
      <c r="A15" s="247">
        <v>11</v>
      </c>
      <c r="B15" s="268" t="s">
        <v>101</v>
      </c>
      <c r="C15" s="250">
        <f>SUM(D15:AQ15)</f>
        <v>10153</v>
      </c>
      <c r="D15" s="250"/>
      <c r="E15" s="250"/>
      <c r="F15" s="250"/>
      <c r="G15" s="250">
        <f>IF((SUM($D$14:G14))&lt;0,0,IF(SUM($D$14:G14)&gt;=0,(SUM($D$14:G14)*基础数据!$C$42)))-SUM($D15:F15)</f>
        <v>0</v>
      </c>
      <c r="H15" s="250"/>
      <c r="I15" s="250"/>
      <c r="J15" s="250"/>
      <c r="K15" s="250">
        <f>IF((SUM($D$14:K14))&lt;0,0,IF(SUM($D$14:K14)&gt;=0,(SUM($D$14:K14)*基础数据!$C$42)))-SUM($D15:J15)</f>
        <v>4448</v>
      </c>
      <c r="L15" s="250"/>
      <c r="M15" s="250"/>
      <c r="N15" s="250"/>
      <c r="O15" s="250">
        <f>IF((SUM($D$14:O14))&lt;0,0,IF(SUM($D$14:O14)&gt;=0,(SUM($D$14:O14)*基础数据!$C$42)))-SUM($D15:N15)</f>
        <v>2902</v>
      </c>
      <c r="P15" s="250"/>
      <c r="Q15" s="250">
        <f>IF((SUM($D$14:Q14))&lt;0,0,IF(SUM($D$14:Q14)&gt;=0,(SUM($D$14:Q14)*基础数据!$C$42)))-SUM($D15:P15)</f>
        <v>2803</v>
      </c>
      <c r="R15" s="250"/>
      <c r="S15" s="250"/>
      <c r="T15" s="250"/>
      <c r="U15" s="250"/>
      <c r="V15" s="250"/>
      <c r="W15" s="250"/>
      <c r="X15" s="250"/>
      <c r="Y15" s="250"/>
      <c r="Z15" s="250"/>
      <c r="AA15" s="250"/>
      <c r="AB15" s="250"/>
      <c r="AC15" s="250"/>
      <c r="AD15" s="250"/>
      <c r="AE15" s="250"/>
      <c r="AF15" s="250"/>
      <c r="AG15" s="250"/>
      <c r="AH15" s="250"/>
      <c r="AI15" s="250"/>
      <c r="AJ15" s="250"/>
      <c r="AK15" s="250"/>
      <c r="AL15" s="250"/>
      <c r="AM15" s="250"/>
      <c r="AN15" s="250"/>
      <c r="AO15" s="250"/>
      <c r="AP15" s="250"/>
      <c r="AQ15" s="250">
        <f>IF(SUM(AN14:AQ14)&lt;0,0,IF(SUM(AN14:AQ14)&gt;=0,SUM(AN14:AQ14)*基础数据!$C$42))</f>
        <v>0</v>
      </c>
      <c r="AR15" s="268"/>
      <c r="AS15" s="268"/>
      <c r="AT15" s="268"/>
      <c r="AU15" s="268"/>
      <c r="AV15" s="268"/>
    </row>
    <row r="16" spans="1:52" ht="18" customHeight="1" x14ac:dyDescent="0.15">
      <c r="A16" s="247">
        <v>12</v>
      </c>
      <c r="B16" s="270" t="s">
        <v>102</v>
      </c>
      <c r="C16" s="250">
        <f>SUM(D16:AQ16)</f>
        <v>30459</v>
      </c>
      <c r="D16" s="250">
        <f>D14-D15</f>
        <v>0</v>
      </c>
      <c r="E16" s="250">
        <f>E14-E15</f>
        <v>-5126</v>
      </c>
      <c r="F16" s="250">
        <f t="shared" ref="F16:N16" si="3">F14-F15</f>
        <v>-3949</v>
      </c>
      <c r="G16" s="250">
        <f t="shared" si="3"/>
        <v>3249</v>
      </c>
      <c r="H16" s="250">
        <f t="shared" si="3"/>
        <v>4115</v>
      </c>
      <c r="I16" s="250">
        <f t="shared" si="3"/>
        <v>6548</v>
      </c>
      <c r="J16" s="250">
        <f t="shared" si="3"/>
        <v>7291</v>
      </c>
      <c r="K16" s="250">
        <f t="shared" si="3"/>
        <v>1214</v>
      </c>
      <c r="L16" s="250">
        <f t="shared" si="3"/>
        <v>4955</v>
      </c>
      <c r="M16" s="250">
        <f t="shared" si="3"/>
        <v>3086</v>
      </c>
      <c r="N16" s="250">
        <f t="shared" si="3"/>
        <v>1895</v>
      </c>
      <c r="O16" s="250">
        <f t="shared" ref="O16:T16" si="4">O14-O15</f>
        <v>-1229</v>
      </c>
      <c r="P16" s="250">
        <f t="shared" si="4"/>
        <v>605</v>
      </c>
      <c r="Q16" s="250">
        <f t="shared" si="4"/>
        <v>7805</v>
      </c>
      <c r="R16" s="250">
        <f t="shared" si="4"/>
        <v>0</v>
      </c>
      <c r="S16" s="250">
        <f t="shared" si="4"/>
        <v>0</v>
      </c>
      <c r="T16" s="250">
        <f t="shared" si="4"/>
        <v>0</v>
      </c>
      <c r="U16" s="250">
        <f t="shared" ref="U16:AQ16" si="5">U14-U15</f>
        <v>0</v>
      </c>
      <c r="V16" s="250">
        <f t="shared" si="5"/>
        <v>0</v>
      </c>
      <c r="W16" s="250">
        <f t="shared" si="5"/>
        <v>0</v>
      </c>
      <c r="X16" s="250">
        <f t="shared" si="5"/>
        <v>0</v>
      </c>
      <c r="Y16" s="250">
        <f t="shared" si="5"/>
        <v>0</v>
      </c>
      <c r="Z16" s="250">
        <f t="shared" si="5"/>
        <v>0</v>
      </c>
      <c r="AA16" s="250">
        <f t="shared" si="5"/>
        <v>0</v>
      </c>
      <c r="AB16" s="250">
        <f t="shared" si="5"/>
        <v>0</v>
      </c>
      <c r="AC16" s="250">
        <f t="shared" si="5"/>
        <v>0</v>
      </c>
      <c r="AD16" s="250">
        <f t="shared" si="5"/>
        <v>0</v>
      </c>
      <c r="AE16" s="250">
        <f t="shared" si="5"/>
        <v>0</v>
      </c>
      <c r="AF16" s="250">
        <f t="shared" si="5"/>
        <v>0</v>
      </c>
      <c r="AG16" s="250">
        <f t="shared" si="5"/>
        <v>0</v>
      </c>
      <c r="AH16" s="250">
        <f t="shared" si="5"/>
        <v>0</v>
      </c>
      <c r="AI16" s="250">
        <f t="shared" si="5"/>
        <v>0</v>
      </c>
      <c r="AJ16" s="250">
        <f t="shared" si="5"/>
        <v>0</v>
      </c>
      <c r="AK16" s="250">
        <f>AK14-AK15</f>
        <v>0</v>
      </c>
      <c r="AL16" s="250">
        <f>AL14-AL15</f>
        <v>0</v>
      </c>
      <c r="AM16" s="250">
        <f>AM14-AM15</f>
        <v>0</v>
      </c>
      <c r="AN16" s="250">
        <f t="shared" si="5"/>
        <v>0</v>
      </c>
      <c r="AO16" s="250">
        <f t="shared" si="5"/>
        <v>0</v>
      </c>
      <c r="AP16" s="250">
        <f t="shared" si="5"/>
        <v>0</v>
      </c>
      <c r="AQ16" s="250">
        <f t="shared" si="5"/>
        <v>0</v>
      </c>
      <c r="AR16" s="163"/>
      <c r="AS16" s="163"/>
      <c r="AT16" s="163"/>
      <c r="AU16" s="163"/>
      <c r="AV16" s="163"/>
    </row>
    <row r="17" spans="1:48" ht="18" customHeight="1" x14ac:dyDescent="0.15">
      <c r="A17" s="247">
        <v>13</v>
      </c>
      <c r="B17" s="268" t="s">
        <v>459</v>
      </c>
      <c r="C17" s="250"/>
      <c r="D17" s="250"/>
      <c r="E17" s="250">
        <f t="shared" ref="E17:L17" si="6">D22</f>
        <v>0</v>
      </c>
      <c r="F17" s="250">
        <f t="shared" si="6"/>
        <v>-5126</v>
      </c>
      <c r="G17" s="250">
        <f t="shared" si="6"/>
        <v>-9075</v>
      </c>
      <c r="H17" s="250">
        <f t="shared" si="6"/>
        <v>-5826</v>
      </c>
      <c r="I17" s="250">
        <f t="shared" si="6"/>
        <v>-1711</v>
      </c>
      <c r="J17" s="250">
        <f t="shared" si="6"/>
        <v>4837</v>
      </c>
      <c r="K17" s="250">
        <f t="shared" si="6"/>
        <v>12128</v>
      </c>
      <c r="L17" s="250">
        <f t="shared" si="6"/>
        <v>11425</v>
      </c>
      <c r="M17" s="250">
        <f t="shared" ref="M17:AQ17" si="7">L22</f>
        <v>16380</v>
      </c>
      <c r="N17" s="250">
        <f t="shared" si="7"/>
        <v>19466</v>
      </c>
      <c r="O17" s="250">
        <f t="shared" si="7"/>
        <v>21361</v>
      </c>
      <c r="P17" s="250">
        <f t="shared" si="7"/>
        <v>19261</v>
      </c>
      <c r="Q17" s="250">
        <f t="shared" si="7"/>
        <v>19866</v>
      </c>
      <c r="R17" s="250">
        <f t="shared" si="7"/>
        <v>27671</v>
      </c>
      <c r="S17" s="250">
        <f t="shared" si="7"/>
        <v>27671</v>
      </c>
      <c r="T17" s="250">
        <f t="shared" si="7"/>
        <v>26830</v>
      </c>
      <c r="U17" s="250">
        <f t="shared" si="7"/>
        <v>26830</v>
      </c>
      <c r="V17" s="250">
        <f t="shared" si="7"/>
        <v>26830</v>
      </c>
      <c r="W17" s="250">
        <f t="shared" si="7"/>
        <v>26830</v>
      </c>
      <c r="X17" s="250">
        <f t="shared" si="7"/>
        <v>26830</v>
      </c>
      <c r="Y17" s="250">
        <f t="shared" si="7"/>
        <v>26830</v>
      </c>
      <c r="Z17" s="250">
        <f t="shared" si="7"/>
        <v>26830</v>
      </c>
      <c r="AA17" s="250">
        <f t="shared" si="7"/>
        <v>26830</v>
      </c>
      <c r="AB17" s="250">
        <f t="shared" si="7"/>
        <v>26830</v>
      </c>
      <c r="AC17" s="250">
        <f t="shared" si="7"/>
        <v>26830</v>
      </c>
      <c r="AD17" s="250">
        <f t="shared" si="7"/>
        <v>26830</v>
      </c>
      <c r="AE17" s="250">
        <f t="shared" si="7"/>
        <v>26830</v>
      </c>
      <c r="AF17" s="250">
        <f t="shared" si="7"/>
        <v>26830</v>
      </c>
      <c r="AG17" s="250">
        <f t="shared" si="7"/>
        <v>26830</v>
      </c>
      <c r="AH17" s="250">
        <f t="shared" si="7"/>
        <v>26830</v>
      </c>
      <c r="AI17" s="250">
        <f t="shared" si="7"/>
        <v>26830</v>
      </c>
      <c r="AJ17" s="250">
        <f t="shared" si="7"/>
        <v>26830</v>
      </c>
      <c r="AK17" s="250">
        <f t="shared" si="7"/>
        <v>26830</v>
      </c>
      <c r="AL17" s="250">
        <f t="shared" si="7"/>
        <v>26830</v>
      </c>
      <c r="AM17" s="250">
        <f t="shared" si="7"/>
        <v>26830</v>
      </c>
      <c r="AN17" s="250">
        <f t="shared" si="7"/>
        <v>26830</v>
      </c>
      <c r="AO17" s="250">
        <f t="shared" si="7"/>
        <v>26830</v>
      </c>
      <c r="AP17" s="250">
        <f t="shared" si="7"/>
        <v>26830</v>
      </c>
      <c r="AQ17" s="250">
        <f t="shared" si="7"/>
        <v>26830</v>
      </c>
      <c r="AR17" s="163"/>
      <c r="AS17" s="163"/>
      <c r="AT17" s="163"/>
      <c r="AU17" s="163"/>
      <c r="AV17" s="163"/>
    </row>
    <row r="18" spans="1:48" ht="18" customHeight="1" x14ac:dyDescent="0.15">
      <c r="A18" s="247">
        <v>14</v>
      </c>
      <c r="B18" s="270" t="s">
        <v>104</v>
      </c>
      <c r="C18" s="250"/>
      <c r="D18" s="250">
        <f>D17+D16</f>
        <v>0</v>
      </c>
      <c r="E18" s="250">
        <f t="shared" ref="E18:AQ18" si="8">E17+E16</f>
        <v>-5126</v>
      </c>
      <c r="F18" s="250">
        <f t="shared" si="8"/>
        <v>-9075</v>
      </c>
      <c r="G18" s="250">
        <f t="shared" si="8"/>
        <v>-5826</v>
      </c>
      <c r="H18" s="250">
        <f t="shared" si="8"/>
        <v>-1711</v>
      </c>
      <c r="I18" s="250">
        <f t="shared" si="8"/>
        <v>4837</v>
      </c>
      <c r="J18" s="250">
        <f t="shared" si="8"/>
        <v>12128</v>
      </c>
      <c r="K18" s="250">
        <f t="shared" si="8"/>
        <v>13342</v>
      </c>
      <c r="L18" s="250">
        <f t="shared" si="8"/>
        <v>16380</v>
      </c>
      <c r="M18" s="250">
        <f t="shared" si="8"/>
        <v>19466</v>
      </c>
      <c r="N18" s="250">
        <f t="shared" si="8"/>
        <v>21361</v>
      </c>
      <c r="O18" s="250">
        <f t="shared" si="8"/>
        <v>20132</v>
      </c>
      <c r="P18" s="250">
        <f t="shared" si="8"/>
        <v>19866</v>
      </c>
      <c r="Q18" s="250">
        <f t="shared" si="8"/>
        <v>27671</v>
      </c>
      <c r="R18" s="250">
        <f t="shared" si="8"/>
        <v>27671</v>
      </c>
      <c r="S18" s="250">
        <f t="shared" si="8"/>
        <v>27671</v>
      </c>
      <c r="T18" s="250">
        <f t="shared" si="8"/>
        <v>26830</v>
      </c>
      <c r="U18" s="250">
        <f t="shared" si="8"/>
        <v>26830</v>
      </c>
      <c r="V18" s="250">
        <f t="shared" si="8"/>
        <v>26830</v>
      </c>
      <c r="W18" s="250">
        <f t="shared" si="8"/>
        <v>26830</v>
      </c>
      <c r="X18" s="250">
        <f t="shared" ref="X18:AM18" si="9">X17+X16</f>
        <v>26830</v>
      </c>
      <c r="Y18" s="250">
        <f t="shared" si="9"/>
        <v>26830</v>
      </c>
      <c r="Z18" s="250">
        <f t="shared" si="9"/>
        <v>26830</v>
      </c>
      <c r="AA18" s="250">
        <f t="shared" si="9"/>
        <v>26830</v>
      </c>
      <c r="AB18" s="250">
        <f t="shared" si="9"/>
        <v>26830</v>
      </c>
      <c r="AC18" s="250">
        <f t="shared" si="9"/>
        <v>26830</v>
      </c>
      <c r="AD18" s="250">
        <f t="shared" si="9"/>
        <v>26830</v>
      </c>
      <c r="AE18" s="250">
        <f t="shared" si="9"/>
        <v>26830</v>
      </c>
      <c r="AF18" s="250">
        <f t="shared" si="9"/>
        <v>26830</v>
      </c>
      <c r="AG18" s="250">
        <f t="shared" si="9"/>
        <v>26830</v>
      </c>
      <c r="AH18" s="250">
        <f t="shared" si="9"/>
        <v>26830</v>
      </c>
      <c r="AI18" s="250">
        <f t="shared" si="9"/>
        <v>26830</v>
      </c>
      <c r="AJ18" s="250">
        <f t="shared" si="9"/>
        <v>26830</v>
      </c>
      <c r="AK18" s="250">
        <f t="shared" si="9"/>
        <v>26830</v>
      </c>
      <c r="AL18" s="250">
        <f t="shared" si="9"/>
        <v>26830</v>
      </c>
      <c r="AM18" s="250">
        <f t="shared" si="9"/>
        <v>26830</v>
      </c>
      <c r="AN18" s="250">
        <f t="shared" si="8"/>
        <v>26830</v>
      </c>
      <c r="AO18" s="250">
        <f t="shared" si="8"/>
        <v>26830</v>
      </c>
      <c r="AP18" s="250">
        <f t="shared" si="8"/>
        <v>26830</v>
      </c>
      <c r="AQ18" s="250">
        <f t="shared" si="8"/>
        <v>26830</v>
      </c>
      <c r="AR18" s="163"/>
      <c r="AS18" s="163"/>
      <c r="AT18" s="163"/>
      <c r="AU18" s="163"/>
      <c r="AV18" s="163"/>
    </row>
    <row r="19" spans="1:48" ht="18" customHeight="1" x14ac:dyDescent="0.15">
      <c r="A19" s="247">
        <v>15</v>
      </c>
      <c r="B19" s="268" t="s">
        <v>460</v>
      </c>
      <c r="C19" s="250">
        <f>SUM(D19:AQ19)</f>
        <v>3629</v>
      </c>
      <c r="D19" s="250"/>
      <c r="E19" s="250"/>
      <c r="F19" s="250"/>
      <c r="G19" s="250">
        <f>IF(SUM(D16:G16)&lt;0,0,IF(SUM(D16:G16)&gt;=0,SUM(D16:G16)*基础数据!$C$46))</f>
        <v>0</v>
      </c>
      <c r="H19" s="250"/>
      <c r="I19" s="250"/>
      <c r="J19" s="250"/>
      <c r="K19" s="249">
        <f>IF(SUM(H16:K16)&lt;0,0,IF(SUM(H16:K16)&gt;=0,SUM(H16:K16)*基础数据!$C$46))</f>
        <v>1917</v>
      </c>
      <c r="L19" s="250"/>
      <c r="M19" s="250"/>
      <c r="N19" s="250"/>
      <c r="O19" s="250">
        <f>IF(SUM(L16:O16)&lt;0,0,IF(SUM(L16:O16)&gt;=0,SUM(L16:O16)*基础数据!$C$46))</f>
        <v>871</v>
      </c>
      <c r="P19" s="250"/>
      <c r="Q19" s="250"/>
      <c r="R19" s="250"/>
      <c r="S19" s="250">
        <f>IF(SUM(P16:S16)&lt;0,0,IF(SUM(P16:S16)&gt;=0,SUM(P16:S16)*基础数据!$C$46))</f>
        <v>841</v>
      </c>
      <c r="T19" s="250"/>
      <c r="U19" s="279"/>
      <c r="V19" s="250"/>
      <c r="W19" s="250">
        <f>IF(SUM(T16:W16)&lt;0,0,IF(SUM(T16:W16)&gt;=0,SUM(T16:W16)*基础数据!$C$46))</f>
        <v>0</v>
      </c>
      <c r="X19" s="250"/>
      <c r="Y19" s="250"/>
      <c r="Z19" s="250"/>
      <c r="AA19" s="249">
        <f>IF(SUM(X16:AA16)&lt;0,0,IF(SUM(X16:AA16)&gt;=0,SUM(X16:AA16)*基础数据!$C$46))</f>
        <v>0</v>
      </c>
      <c r="AB19" s="250"/>
      <c r="AC19" s="250"/>
      <c r="AD19" s="250"/>
      <c r="AE19" s="250">
        <f>IF(SUM(AB16:AE16)&lt;0,0,IF(SUM(AB16:AE16)&gt;=0,SUM(AB16:AE16)*基础数据!$C$46))</f>
        <v>0</v>
      </c>
      <c r="AF19" s="250"/>
      <c r="AG19" s="250"/>
      <c r="AH19" s="250"/>
      <c r="AI19" s="250">
        <f>IF(SUM(AF16:AI16)&lt;0,0,IF(SUM(AF16:AI16)&gt;=0,SUM(AF16:AI16)*基础数据!$C$46))</f>
        <v>0</v>
      </c>
      <c r="AJ19" s="250"/>
      <c r="AK19" s="279"/>
      <c r="AL19" s="250"/>
      <c r="AM19" s="250">
        <f>IF(SUM(AJ16:AM16)&lt;0,0,IF(SUM(AJ16:AM16)&gt;=0,SUM(AJ16:AM16)*基础数据!$C$46))</f>
        <v>0</v>
      </c>
      <c r="AN19" s="250"/>
      <c r="AO19" s="250"/>
      <c r="AP19" s="250"/>
      <c r="AQ19" s="250">
        <f>IF(SUM(AN16:AQ16)&lt;0,0,IF(SUM(AN16:AQ16)&gt;=0,SUM(AN16:AQ16)*基础数据!$C$46))</f>
        <v>0</v>
      </c>
      <c r="AR19" s="163"/>
      <c r="AS19" s="163"/>
      <c r="AT19" s="163"/>
      <c r="AU19" s="163"/>
      <c r="AV19" s="163"/>
    </row>
    <row r="20" spans="1:48" ht="18" customHeight="1" x14ac:dyDescent="0.15">
      <c r="A20" s="247">
        <v>16</v>
      </c>
      <c r="B20" s="270"/>
      <c r="C20" s="250">
        <f>SUM(D20:S20)</f>
        <v>0</v>
      </c>
      <c r="D20" s="250">
        <f>IF(D16&lt;0,0,IF(D16&gt;=0,D16*基础数据!$C$47))</f>
        <v>0</v>
      </c>
      <c r="E20" s="250"/>
      <c r="F20" s="250"/>
      <c r="G20" s="250"/>
      <c r="H20" s="250"/>
      <c r="I20" s="250"/>
      <c r="J20" s="250"/>
      <c r="K20" s="250"/>
      <c r="L20" s="250"/>
      <c r="M20" s="250"/>
      <c r="N20" s="250">
        <f>IF(N16&lt;0,0,IF(N16&gt;=0,N16*基础数据!$C$47))</f>
        <v>0</v>
      </c>
      <c r="O20" s="250">
        <f>IF(O16&lt;0,0,IF(O16&gt;=0,O16*基础数据!$C$47))</f>
        <v>0</v>
      </c>
      <c r="P20" s="250"/>
      <c r="Q20" s="250"/>
      <c r="R20" s="250"/>
      <c r="S20" s="250"/>
      <c r="T20" s="250"/>
      <c r="U20" s="250"/>
      <c r="V20" s="250"/>
      <c r="W20" s="250"/>
      <c r="X20" s="250"/>
      <c r="Y20" s="250"/>
      <c r="Z20" s="250"/>
      <c r="AA20" s="250"/>
      <c r="AB20" s="250"/>
      <c r="AC20" s="250"/>
      <c r="AD20" s="250">
        <f>IF(AD16&lt;0,0,IF(AD16&gt;=0,AD16*基础数据!$C$47))</f>
        <v>0</v>
      </c>
      <c r="AE20" s="250">
        <f>IF(AE16&lt;0,0,IF(AE16&gt;=0,AE16*基础数据!$C$47))</f>
        <v>0</v>
      </c>
      <c r="AF20" s="250"/>
      <c r="AG20" s="250"/>
      <c r="AH20" s="250"/>
      <c r="AI20" s="250"/>
      <c r="AJ20" s="250"/>
      <c r="AK20" s="250"/>
      <c r="AL20" s="250"/>
      <c r="AM20" s="250"/>
      <c r="AN20" s="250"/>
      <c r="AO20" s="250"/>
      <c r="AP20" s="250"/>
      <c r="AQ20" s="250"/>
      <c r="AR20" s="163"/>
      <c r="AS20" s="163"/>
      <c r="AT20" s="163"/>
      <c r="AU20" s="163"/>
      <c r="AV20" s="163"/>
    </row>
    <row r="21" spans="1:48" ht="18" customHeight="1" x14ac:dyDescent="0.15">
      <c r="A21" s="247">
        <v>17</v>
      </c>
      <c r="B21" s="268" t="s">
        <v>461</v>
      </c>
      <c r="C21" s="250">
        <f>SUM(D21:R21)</f>
        <v>0</v>
      </c>
      <c r="D21" s="250"/>
      <c r="E21" s="250"/>
      <c r="F21" s="250"/>
      <c r="G21" s="250"/>
      <c r="H21" s="250"/>
      <c r="I21" s="250"/>
      <c r="J21" s="250"/>
      <c r="K21" s="250"/>
      <c r="L21" s="250"/>
      <c r="M21" s="250"/>
      <c r="N21" s="250"/>
      <c r="O21" s="250"/>
      <c r="P21" s="250"/>
      <c r="Q21" s="250"/>
      <c r="R21" s="250"/>
      <c r="S21" s="250"/>
      <c r="T21" s="250"/>
      <c r="U21" s="250"/>
      <c r="V21" s="250"/>
      <c r="W21" s="250"/>
      <c r="X21" s="250"/>
      <c r="Y21" s="250"/>
      <c r="Z21" s="250"/>
      <c r="AA21" s="250"/>
      <c r="AB21" s="250"/>
      <c r="AC21" s="250"/>
      <c r="AD21" s="250"/>
      <c r="AE21" s="250"/>
      <c r="AF21" s="250"/>
      <c r="AG21" s="250"/>
      <c r="AH21" s="250"/>
      <c r="AI21" s="250"/>
      <c r="AJ21" s="250"/>
      <c r="AK21" s="250"/>
      <c r="AL21" s="250"/>
      <c r="AM21" s="250"/>
      <c r="AN21" s="250"/>
      <c r="AO21" s="250"/>
      <c r="AP21" s="250"/>
      <c r="AQ21" s="250"/>
      <c r="AR21" s="163"/>
      <c r="AS21" s="163"/>
      <c r="AT21" s="163"/>
      <c r="AU21" s="167"/>
      <c r="AV21" s="163"/>
    </row>
    <row r="22" spans="1:48" ht="18" customHeight="1" x14ac:dyDescent="0.15">
      <c r="A22" s="247">
        <v>18</v>
      </c>
      <c r="B22" s="270" t="s">
        <v>106</v>
      </c>
      <c r="C22" s="250"/>
      <c r="D22" s="250">
        <f t="shared" ref="D22:AQ22" si="10">D18-D19-D21</f>
        <v>0</v>
      </c>
      <c r="E22" s="250">
        <f t="shared" si="10"/>
        <v>-5126</v>
      </c>
      <c r="F22" s="250">
        <f t="shared" si="10"/>
        <v>-9075</v>
      </c>
      <c r="G22" s="250">
        <f t="shared" si="10"/>
        <v>-5826</v>
      </c>
      <c r="H22" s="250">
        <f t="shared" si="10"/>
        <v>-1711</v>
      </c>
      <c r="I22" s="250">
        <f t="shared" si="10"/>
        <v>4837</v>
      </c>
      <c r="J22" s="250">
        <f t="shared" si="10"/>
        <v>12128</v>
      </c>
      <c r="K22" s="250">
        <f t="shared" si="10"/>
        <v>11425</v>
      </c>
      <c r="L22" s="250">
        <f t="shared" si="10"/>
        <v>16380</v>
      </c>
      <c r="M22" s="250">
        <f t="shared" si="10"/>
        <v>19466</v>
      </c>
      <c r="N22" s="250">
        <f t="shared" si="10"/>
        <v>21361</v>
      </c>
      <c r="O22" s="250">
        <f t="shared" si="10"/>
        <v>19261</v>
      </c>
      <c r="P22" s="250">
        <f t="shared" si="10"/>
        <v>19866</v>
      </c>
      <c r="Q22" s="250">
        <f t="shared" si="10"/>
        <v>27671</v>
      </c>
      <c r="R22" s="250">
        <f t="shared" si="10"/>
        <v>27671</v>
      </c>
      <c r="S22" s="250">
        <f t="shared" si="10"/>
        <v>26830</v>
      </c>
      <c r="T22" s="250">
        <f t="shared" si="10"/>
        <v>26830</v>
      </c>
      <c r="U22" s="250">
        <f t="shared" si="10"/>
        <v>26830</v>
      </c>
      <c r="V22" s="250">
        <f t="shared" si="10"/>
        <v>26830</v>
      </c>
      <c r="W22" s="250">
        <f t="shared" si="10"/>
        <v>26830</v>
      </c>
      <c r="X22" s="250">
        <f t="shared" ref="X22:AM22" si="11">X18-X19-X21</f>
        <v>26830</v>
      </c>
      <c r="Y22" s="250">
        <f t="shared" si="11"/>
        <v>26830</v>
      </c>
      <c r="Z22" s="250">
        <f t="shared" si="11"/>
        <v>26830</v>
      </c>
      <c r="AA22" s="250">
        <f t="shared" si="11"/>
        <v>26830</v>
      </c>
      <c r="AB22" s="250">
        <f t="shared" si="11"/>
        <v>26830</v>
      </c>
      <c r="AC22" s="250">
        <f t="shared" si="11"/>
        <v>26830</v>
      </c>
      <c r="AD22" s="250">
        <f t="shared" si="11"/>
        <v>26830</v>
      </c>
      <c r="AE22" s="250">
        <f t="shared" si="11"/>
        <v>26830</v>
      </c>
      <c r="AF22" s="250">
        <f t="shared" si="11"/>
        <v>26830</v>
      </c>
      <c r="AG22" s="250">
        <f t="shared" si="11"/>
        <v>26830</v>
      </c>
      <c r="AH22" s="250">
        <f t="shared" si="11"/>
        <v>26830</v>
      </c>
      <c r="AI22" s="250">
        <f t="shared" si="11"/>
        <v>26830</v>
      </c>
      <c r="AJ22" s="250">
        <f t="shared" si="11"/>
        <v>26830</v>
      </c>
      <c r="AK22" s="250">
        <f t="shared" si="11"/>
        <v>26830</v>
      </c>
      <c r="AL22" s="250">
        <f t="shared" si="11"/>
        <v>26830</v>
      </c>
      <c r="AM22" s="250">
        <f t="shared" si="11"/>
        <v>26830</v>
      </c>
      <c r="AN22" s="250">
        <f t="shared" si="10"/>
        <v>26830</v>
      </c>
      <c r="AO22" s="250">
        <f t="shared" si="10"/>
        <v>26830</v>
      </c>
      <c r="AP22" s="250">
        <f>AP18-AP19-AP21</f>
        <v>26830</v>
      </c>
      <c r="AQ22" s="250">
        <f t="shared" si="10"/>
        <v>26830</v>
      </c>
      <c r="AR22" s="163"/>
      <c r="AS22" s="163"/>
      <c r="AT22" s="163"/>
      <c r="AU22" s="167"/>
      <c r="AV22" s="163"/>
    </row>
    <row r="23" spans="1:48" ht="18" customHeight="1" x14ac:dyDescent="0.15">
      <c r="C23" s="171"/>
    </row>
    <row r="24" spans="1:48" ht="18" customHeight="1" x14ac:dyDescent="0.15">
      <c r="C24" s="171"/>
    </row>
    <row r="25" spans="1:48" ht="18" customHeight="1" x14ac:dyDescent="0.15">
      <c r="C25" s="171"/>
    </row>
    <row r="26" spans="1:48" ht="18" customHeight="1" x14ac:dyDescent="0.15">
      <c r="C26" s="171"/>
    </row>
  </sheetData>
  <customSheetViews>
    <customSheetView guid="{62777320-11E7-11D4-8B3D-00E098726125}" scale="75" showRuler="0">
      <selection activeCell="L9" sqref="L9"/>
      <pageMargins left="0.74803149606299213" right="0.74803149606299213" top="0.98425196850393704" bottom="0.98425196850393704" header="0.51181102362204722" footer="0.51181102362204722"/>
      <printOptions horizontalCentered="1" verticalCentered="1"/>
      <pageSetup paperSize="9" orientation="landscape"/>
      <headerFooter alignWithMargins="0"/>
    </customSheetView>
    <customSheetView guid="{33FE80C0-0EDF-11D4-8B3D-001060002050}" scale="75" showPageBreaks="1" showRuler="0">
      <selection activeCell="L9" sqref="L9"/>
      <pageMargins left="0.74803149606299213" right="0.74803149606299213" top="0.98425196850393704" bottom="0.98425196850393704" header="0.51181102362204722" footer="0.51181102362204722"/>
      <printOptions horizontalCentered="1" verticalCentered="1"/>
      <pageSetup paperSize="9" orientation="landscape"/>
      <headerFooter alignWithMargins="0"/>
    </customSheetView>
  </customSheetViews>
  <mergeCells count="13">
    <mergeCell ref="AN3:AQ3"/>
    <mergeCell ref="A3:A4"/>
    <mergeCell ref="B3:B4"/>
    <mergeCell ref="D3:G3"/>
    <mergeCell ref="H3:K3"/>
    <mergeCell ref="L3:O3"/>
    <mergeCell ref="P3:S3"/>
    <mergeCell ref="X3:AA3"/>
    <mergeCell ref="AB3:AE3"/>
    <mergeCell ref="AF3:AI3"/>
    <mergeCell ref="AJ3:AM3"/>
    <mergeCell ref="C3:C4"/>
    <mergeCell ref="T3:W3"/>
  </mergeCells>
  <phoneticPr fontId="2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  <colBreaks count="2" manualBreakCount="2">
    <brk id="11" max="20" man="1"/>
    <brk id="19" max="20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G15"/>
  <sheetViews>
    <sheetView view="pageBreakPreview" zoomScaleNormal="100" zoomScaleSheetLayoutView="100" workbookViewId="0">
      <selection activeCell="D24" sqref="D24"/>
    </sheetView>
  </sheetViews>
  <sheetFormatPr defaultColWidth="11" defaultRowHeight="13.5" x14ac:dyDescent="0.15"/>
  <cols>
    <col min="1" max="5" width="15.75" style="325" customWidth="1"/>
    <col min="6" max="16384" width="11" style="325"/>
  </cols>
  <sheetData>
    <row r="1" spans="1:7" ht="18" customHeight="1" x14ac:dyDescent="0.15">
      <c r="A1" s="316" t="s">
        <v>489</v>
      </c>
      <c r="B1" s="324"/>
      <c r="C1" s="316" t="s">
        <v>488</v>
      </c>
      <c r="D1" s="316"/>
      <c r="E1" s="316"/>
    </row>
    <row r="2" spans="1:7" ht="18" customHeight="1" x14ac:dyDescent="0.15">
      <c r="A2" s="316" t="s">
        <v>8</v>
      </c>
      <c r="B2" s="829"/>
      <c r="C2" s="829"/>
      <c r="D2" s="829"/>
      <c r="E2" s="316"/>
    </row>
    <row r="3" spans="1:7" ht="18" customHeight="1" x14ac:dyDescent="0.15">
      <c r="A3" s="331" t="s">
        <v>35</v>
      </c>
      <c r="B3" s="332"/>
      <c r="C3" s="331" t="s">
        <v>83</v>
      </c>
      <c r="D3" s="334"/>
      <c r="E3" s="332"/>
    </row>
    <row r="4" spans="1:7" ht="18" customHeight="1" x14ac:dyDescent="0.15">
      <c r="A4" s="327" t="s">
        <v>36</v>
      </c>
      <c r="B4" s="328" t="s">
        <v>37</v>
      </c>
      <c r="C4" s="327" t="s">
        <v>38</v>
      </c>
      <c r="D4" s="331" t="s">
        <v>39</v>
      </c>
      <c r="E4" s="327" t="s">
        <v>189</v>
      </c>
    </row>
    <row r="5" spans="1:7" ht="18" customHeight="1" x14ac:dyDescent="0.15">
      <c r="A5" s="327" t="s">
        <v>40</v>
      </c>
      <c r="B5" s="337"/>
      <c r="C5" s="338">
        <f>'主表2（现金流量表）'!K20</f>
        <v>15924</v>
      </c>
      <c r="D5" s="339">
        <f>'主表2（现金流量表）'!E21</f>
        <v>0.17480000000000001</v>
      </c>
      <c r="E5" s="340">
        <f>'主表3（损益表）'!C16</f>
        <v>30459</v>
      </c>
    </row>
    <row r="6" spans="1:7" ht="18" customHeight="1" x14ac:dyDescent="0.15">
      <c r="A6" s="349" t="s">
        <v>354</v>
      </c>
      <c r="B6" s="341"/>
      <c r="C6" s="338"/>
      <c r="D6" s="339"/>
      <c r="E6" s="340"/>
      <c r="G6" s="326"/>
    </row>
    <row r="7" spans="1:7" ht="18" customHeight="1" x14ac:dyDescent="0.15">
      <c r="A7" s="348"/>
      <c r="B7" s="337"/>
      <c r="C7" s="338"/>
      <c r="D7" s="339"/>
      <c r="E7" s="340"/>
      <c r="G7" s="294"/>
    </row>
    <row r="8" spans="1:7" ht="18" customHeight="1" x14ac:dyDescent="0.15">
      <c r="A8" s="348"/>
      <c r="B8" s="337"/>
      <c r="C8" s="338"/>
      <c r="D8" s="339"/>
      <c r="E8" s="340"/>
      <c r="G8" s="294"/>
    </row>
    <row r="9" spans="1:7" ht="18" customHeight="1" x14ac:dyDescent="0.15">
      <c r="A9" s="347"/>
      <c r="B9" s="337"/>
      <c r="C9" s="338"/>
      <c r="D9" s="339"/>
      <c r="E9" s="340"/>
      <c r="G9" s="294"/>
    </row>
    <row r="10" spans="1:7" ht="18" customHeight="1" x14ac:dyDescent="0.15">
      <c r="A10" s="346" t="s">
        <v>353</v>
      </c>
      <c r="B10" s="341"/>
      <c r="C10" s="338"/>
      <c r="D10" s="339"/>
      <c r="E10" s="340"/>
      <c r="G10" s="326"/>
    </row>
    <row r="11" spans="1:7" ht="18" customHeight="1" x14ac:dyDescent="0.15">
      <c r="A11" s="348"/>
      <c r="B11" s="337"/>
      <c r="C11" s="338"/>
      <c r="D11" s="339"/>
      <c r="E11" s="340"/>
      <c r="G11" s="294"/>
    </row>
    <row r="12" spans="1:7" ht="18" customHeight="1" x14ac:dyDescent="0.15">
      <c r="A12" s="348"/>
      <c r="B12" s="337"/>
      <c r="C12" s="338"/>
      <c r="D12" s="339"/>
      <c r="E12" s="340"/>
      <c r="G12" s="294"/>
    </row>
    <row r="13" spans="1:7" ht="18" customHeight="1" x14ac:dyDescent="0.15">
      <c r="A13" s="347"/>
      <c r="B13" s="337"/>
      <c r="C13" s="342"/>
      <c r="D13" s="339"/>
      <c r="E13" s="340"/>
      <c r="G13" s="294"/>
    </row>
    <row r="14" spans="1:7" ht="18" customHeight="1" x14ac:dyDescent="0.15">
      <c r="A14" s="327" t="s">
        <v>41</v>
      </c>
      <c r="B14" s="343" t="s">
        <v>109</v>
      </c>
      <c r="C14" s="345">
        <f>'主表1（成本）'!B14/('主表3（损益表）'!C5+'主表3（损益表）'!C6-'主表3（损益表）'!C8-'主表3（损益表）'!C9)</f>
        <v>0.88170000000000004</v>
      </c>
      <c r="D14" s="333"/>
      <c r="E14" s="332"/>
    </row>
    <row r="15" spans="1:7" ht="18" customHeight="1" x14ac:dyDescent="0.15">
      <c r="C15" s="344"/>
    </row>
  </sheetData>
  <customSheetViews>
    <customSheetView guid="{62777320-11E7-11D4-8B3D-00E098726125}" showRuler="0" topLeftCell="A11">
      <selection activeCell="E24" sqref="E23:E24"/>
      <pageMargins left="0.75" right="0.75" top="1" bottom="1" header="0.5" footer="0.5"/>
      <pageSetup paperSize="9" orientation="portrait" horizontalDpi="360" verticalDpi="360" copies="0"/>
      <headerFooter alignWithMargins="0"/>
    </customSheetView>
    <customSheetView guid="{33FE80C0-0EDF-11D4-8B3D-001060002050}" showPageBreaks="1" showRuler="0" topLeftCell="A11">
      <selection activeCell="E24" sqref="E23:E24"/>
      <pageMargins left="0.75" right="0.75" top="1" bottom="1" header="0.5" footer="0.5"/>
      <pageSetup paperSize="9" orientation="portrait" horizontalDpi="360" verticalDpi="360" copies="0"/>
      <headerFooter alignWithMargins="0"/>
    </customSheetView>
  </customSheetViews>
  <mergeCells count="1">
    <mergeCell ref="B2:D2"/>
  </mergeCells>
  <phoneticPr fontId="2" type="noConversion"/>
  <pageMargins left="0.75" right="0.75" top="1" bottom="1" header="0.5" footer="0.5"/>
  <pageSetup paperSize="9" scale="85" orientation="portrait" horizontalDpi="360" verticalDpi="36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outlinePr summaryBelow="0" summaryRight="0"/>
  </sheetPr>
  <dimension ref="A1:AT38"/>
  <sheetViews>
    <sheetView view="pageBreakPreview" zoomScaleNormal="100" zoomScaleSheetLayoutView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H17" sqref="H17"/>
    </sheetView>
  </sheetViews>
  <sheetFormatPr defaultColWidth="11" defaultRowHeight="18" customHeight="1" outlineLevelRow="1" x14ac:dyDescent="0.15"/>
  <cols>
    <col min="1" max="1" width="6.875" style="163" customWidth="1"/>
    <col min="2" max="2" width="27.125" style="163" customWidth="1"/>
    <col min="3" max="43" width="13.625" style="163" customWidth="1"/>
    <col min="44" max="44" width="11" style="163" customWidth="1"/>
    <col min="45" max="16384" width="11" style="163"/>
  </cols>
  <sheetData>
    <row r="1" spans="1:44" ht="18" customHeight="1" x14ac:dyDescent="0.15">
      <c r="A1" s="280" t="s">
        <v>108</v>
      </c>
      <c r="B1" s="236"/>
      <c r="C1" s="236" t="s">
        <v>107</v>
      </c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236"/>
      <c r="Z1" s="236"/>
      <c r="AA1" s="236"/>
      <c r="AB1" s="236"/>
      <c r="AC1" s="236"/>
      <c r="AD1" s="236"/>
      <c r="AE1" s="236"/>
      <c r="AF1" s="236"/>
      <c r="AG1" s="236"/>
      <c r="AH1" s="236"/>
      <c r="AI1" s="236"/>
      <c r="AJ1" s="236"/>
      <c r="AK1" s="236"/>
      <c r="AL1" s="236"/>
      <c r="AM1" s="236"/>
      <c r="AN1" s="236"/>
      <c r="AO1" s="236"/>
      <c r="AP1" s="236"/>
      <c r="AQ1" s="236"/>
    </row>
    <row r="2" spans="1:44" ht="18" customHeight="1" x14ac:dyDescent="0.15">
      <c r="A2" s="280"/>
      <c r="B2" s="237" t="s">
        <v>8</v>
      </c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80"/>
      <c r="P2" s="280"/>
      <c r="Q2" s="236"/>
      <c r="R2" s="236"/>
      <c r="S2" s="280"/>
      <c r="T2" s="280"/>
      <c r="U2" s="280"/>
      <c r="V2" s="280"/>
      <c r="W2" s="278"/>
      <c r="X2" s="278"/>
      <c r="Y2" s="278"/>
      <c r="Z2" s="278"/>
      <c r="AA2" s="278"/>
      <c r="AB2" s="278"/>
      <c r="AC2" s="278"/>
      <c r="AD2" s="278"/>
      <c r="AE2" s="280"/>
      <c r="AF2" s="280"/>
      <c r="AG2" s="236"/>
      <c r="AH2" s="236"/>
      <c r="AI2" s="280"/>
      <c r="AJ2" s="280"/>
      <c r="AK2" s="280"/>
      <c r="AL2" s="280"/>
      <c r="AM2" s="280"/>
      <c r="AN2" s="280"/>
      <c r="AO2" s="280"/>
      <c r="AP2" s="280"/>
      <c r="AQ2" s="280"/>
    </row>
    <row r="3" spans="1:44" s="135" customFormat="1" ht="18" customHeight="1" x14ac:dyDescent="0.15">
      <c r="A3" s="819" t="s">
        <v>9</v>
      </c>
      <c r="B3" s="819" t="s">
        <v>81</v>
      </c>
      <c r="C3" s="821" t="str">
        <f>'主表1（成本）'!C3</f>
        <v>2021年</v>
      </c>
      <c r="D3" s="822"/>
      <c r="E3" s="822"/>
      <c r="F3" s="823"/>
      <c r="G3" s="821" t="str">
        <f>'主表1（成本）'!G3</f>
        <v>2022年</v>
      </c>
      <c r="H3" s="822"/>
      <c r="I3" s="822"/>
      <c r="J3" s="823"/>
      <c r="K3" s="821" t="str">
        <f>'主表1（成本）'!K3</f>
        <v>2023年</v>
      </c>
      <c r="L3" s="822"/>
      <c r="M3" s="822"/>
      <c r="N3" s="823"/>
      <c r="O3" s="821" t="str">
        <f>'主表1（成本）'!O3</f>
        <v>2024年</v>
      </c>
      <c r="P3" s="822"/>
      <c r="Q3" s="822"/>
      <c r="R3" s="823"/>
      <c r="S3" s="821" t="str">
        <f>'主表1（成本）'!S3</f>
        <v>2025年</v>
      </c>
      <c r="T3" s="822"/>
      <c r="U3" s="822"/>
      <c r="V3" s="823"/>
      <c r="W3" s="821" t="str">
        <f>'主表1（成本）'!W3</f>
        <v>2026年</v>
      </c>
      <c r="X3" s="822"/>
      <c r="Y3" s="822"/>
      <c r="Z3" s="823"/>
      <c r="AA3" s="821" t="str">
        <f>'主表1（成本）'!AA3</f>
        <v>2027年</v>
      </c>
      <c r="AB3" s="822"/>
      <c r="AC3" s="822"/>
      <c r="AD3" s="823"/>
      <c r="AE3" s="821" t="str">
        <f>'主表1（成本）'!AE3</f>
        <v>2028年</v>
      </c>
      <c r="AF3" s="822"/>
      <c r="AG3" s="822"/>
      <c r="AH3" s="823"/>
      <c r="AI3" s="821" t="str">
        <f>'主表1（成本）'!AI3</f>
        <v>2029年</v>
      </c>
      <c r="AJ3" s="822"/>
      <c r="AK3" s="822"/>
      <c r="AL3" s="823"/>
      <c r="AM3" s="821" t="str">
        <f>'主表1（成本）'!AM3</f>
        <v>2030年</v>
      </c>
      <c r="AN3" s="822"/>
      <c r="AO3" s="822"/>
      <c r="AP3" s="823"/>
      <c r="AQ3" s="635" t="s">
        <v>34</v>
      </c>
    </row>
    <row r="4" spans="1:44" s="135" customFormat="1" ht="18" customHeight="1" x14ac:dyDescent="0.15">
      <c r="A4" s="819"/>
      <c r="B4" s="819"/>
      <c r="C4" s="533" t="str">
        <f>'主表1（成本）'!C4</f>
        <v>Q1</v>
      </c>
      <c r="D4" s="534" t="str">
        <f>'主表1（成本）'!D4</f>
        <v>Q2</v>
      </c>
      <c r="E4" s="534" t="str">
        <f>'主表1（成本）'!E4</f>
        <v>Q3</v>
      </c>
      <c r="F4" s="535" t="str">
        <f>'主表1（成本）'!F4</f>
        <v>Q4</v>
      </c>
      <c r="G4" s="533" t="str">
        <f>'主表1（成本）'!G4</f>
        <v>Q1</v>
      </c>
      <c r="H4" s="534" t="str">
        <f>'主表1（成本）'!H4</f>
        <v>Q2</v>
      </c>
      <c r="I4" s="534" t="str">
        <f>'主表1（成本）'!I4</f>
        <v>Q3</v>
      </c>
      <c r="J4" s="535" t="str">
        <f>'主表1（成本）'!J4</f>
        <v>Q4</v>
      </c>
      <c r="K4" s="533" t="str">
        <f>'主表1（成本）'!K4</f>
        <v>Q1</v>
      </c>
      <c r="L4" s="534" t="str">
        <f>'主表1（成本）'!L4</f>
        <v>Q2</v>
      </c>
      <c r="M4" s="534" t="str">
        <f>'主表1（成本）'!M4</f>
        <v>Q3</v>
      </c>
      <c r="N4" s="535" t="str">
        <f>'主表1（成本）'!N4</f>
        <v>Q4</v>
      </c>
      <c r="O4" s="533" t="str">
        <f>'主表1（成本）'!O4</f>
        <v>Q1</v>
      </c>
      <c r="P4" s="534" t="str">
        <f>'主表1（成本）'!P4</f>
        <v>Q2</v>
      </c>
      <c r="Q4" s="534" t="str">
        <f>'主表1（成本）'!Q4</f>
        <v>Q3</v>
      </c>
      <c r="R4" s="535" t="str">
        <f>'主表1（成本）'!R4</f>
        <v>Q4</v>
      </c>
      <c r="S4" s="533" t="str">
        <f>'主表1（成本）'!S4</f>
        <v>Q1</v>
      </c>
      <c r="T4" s="534" t="str">
        <f>'主表1（成本）'!T4</f>
        <v>Q2</v>
      </c>
      <c r="U4" s="534" t="str">
        <f>'主表1（成本）'!U4</f>
        <v>Q3</v>
      </c>
      <c r="V4" s="535" t="str">
        <f>'主表1（成本）'!V4</f>
        <v>Q4</v>
      </c>
      <c r="W4" s="533" t="str">
        <f>'主表1（成本）'!W4</f>
        <v>Q1</v>
      </c>
      <c r="X4" s="534" t="str">
        <f>'主表1（成本）'!X4</f>
        <v>Q2</v>
      </c>
      <c r="Y4" s="534" t="str">
        <f>'主表1（成本）'!Y4</f>
        <v>Q3</v>
      </c>
      <c r="Z4" s="535" t="str">
        <f>'主表1（成本）'!Z4</f>
        <v>Q4</v>
      </c>
      <c r="AA4" s="533" t="str">
        <f>'主表1（成本）'!AA4</f>
        <v>Q1</v>
      </c>
      <c r="AB4" s="534" t="str">
        <f>'主表1（成本）'!AB4</f>
        <v>Q2</v>
      </c>
      <c r="AC4" s="534" t="str">
        <f>'主表1（成本）'!AC4</f>
        <v>Q3</v>
      </c>
      <c r="AD4" s="535" t="str">
        <f>'主表1（成本）'!AD4</f>
        <v>Q4</v>
      </c>
      <c r="AE4" s="533" t="str">
        <f>'主表1（成本）'!AE4</f>
        <v>Q1</v>
      </c>
      <c r="AF4" s="534" t="str">
        <f>'主表1（成本）'!AF4</f>
        <v>Q2</v>
      </c>
      <c r="AG4" s="534" t="str">
        <f>'主表1（成本）'!AG4</f>
        <v>Q3</v>
      </c>
      <c r="AH4" s="535" t="str">
        <f>'主表1（成本）'!AH4</f>
        <v>Q4</v>
      </c>
      <c r="AI4" s="533" t="str">
        <f>'主表1（成本）'!AI4</f>
        <v>Q1</v>
      </c>
      <c r="AJ4" s="534" t="str">
        <f>'主表1（成本）'!AJ4</f>
        <v>Q2</v>
      </c>
      <c r="AK4" s="534" t="str">
        <f>'主表1（成本）'!AK4</f>
        <v>Q3</v>
      </c>
      <c r="AL4" s="535" t="str">
        <f>'主表1（成本）'!AL4</f>
        <v>Q4</v>
      </c>
      <c r="AM4" s="533" t="str">
        <f>'主表1（成本）'!AM4</f>
        <v>Q1</v>
      </c>
      <c r="AN4" s="534" t="str">
        <f>'主表1（成本）'!AN4</f>
        <v>Q2</v>
      </c>
      <c r="AO4" s="534" t="str">
        <f>'主表1（成本）'!AO4</f>
        <v>Q3</v>
      </c>
      <c r="AP4" s="535" t="str">
        <f>'主表1（成本）'!AP4</f>
        <v>Q4</v>
      </c>
      <c r="AQ4" s="635"/>
    </row>
    <row r="5" spans="1:44" ht="18" customHeight="1" x14ac:dyDescent="0.15">
      <c r="A5" s="235">
        <v>1</v>
      </c>
      <c r="B5" s="235" t="s">
        <v>184</v>
      </c>
      <c r="C5" s="267">
        <f>C6+C10</f>
        <v>0</v>
      </c>
      <c r="D5" s="267">
        <f t="shared" ref="D5:AP5" si="0">D6+D10</f>
        <v>180664</v>
      </c>
      <c r="E5" s="267">
        <f t="shared" si="0"/>
        <v>27913</v>
      </c>
      <c r="F5" s="267">
        <f t="shared" si="0"/>
        <v>50164</v>
      </c>
      <c r="G5" s="267">
        <f t="shared" si="0"/>
        <v>49703</v>
      </c>
      <c r="H5" s="267">
        <f t="shared" si="0"/>
        <v>59154</v>
      </c>
      <c r="I5" s="267">
        <f t="shared" si="0"/>
        <v>57349</v>
      </c>
      <c r="J5" s="267">
        <f t="shared" si="0"/>
        <v>43045</v>
      </c>
      <c r="K5" s="267">
        <f t="shared" si="0"/>
        <v>37567</v>
      </c>
      <c r="L5" s="267">
        <f t="shared" si="0"/>
        <v>23767</v>
      </c>
      <c r="M5" s="267">
        <f t="shared" si="0"/>
        <v>14716</v>
      </c>
      <c r="N5" s="267">
        <f t="shared" si="0"/>
        <v>13090</v>
      </c>
      <c r="O5" s="267">
        <f t="shared" si="0"/>
        <v>5068</v>
      </c>
      <c r="P5" s="267">
        <f t="shared" si="0"/>
        <v>498</v>
      </c>
      <c r="Q5" s="267">
        <f t="shared" si="0"/>
        <v>0</v>
      </c>
      <c r="R5" s="267">
        <f t="shared" si="0"/>
        <v>0</v>
      </c>
      <c r="S5" s="267">
        <f t="shared" si="0"/>
        <v>0</v>
      </c>
      <c r="T5" s="267">
        <f t="shared" si="0"/>
        <v>0</v>
      </c>
      <c r="U5" s="267">
        <f t="shared" si="0"/>
        <v>0</v>
      </c>
      <c r="V5" s="267">
        <f t="shared" si="0"/>
        <v>0</v>
      </c>
      <c r="W5" s="267">
        <f t="shared" ref="W5:AL5" si="1">W6+W10</f>
        <v>0</v>
      </c>
      <c r="X5" s="267">
        <f t="shared" si="1"/>
        <v>0</v>
      </c>
      <c r="Y5" s="267">
        <f t="shared" si="1"/>
        <v>0</v>
      </c>
      <c r="Z5" s="267">
        <f t="shared" si="1"/>
        <v>0</v>
      </c>
      <c r="AA5" s="267">
        <f t="shared" si="1"/>
        <v>0</v>
      </c>
      <c r="AB5" s="267">
        <f t="shared" si="1"/>
        <v>0</v>
      </c>
      <c r="AC5" s="267">
        <f t="shared" si="1"/>
        <v>0</v>
      </c>
      <c r="AD5" s="267">
        <f t="shared" si="1"/>
        <v>0</v>
      </c>
      <c r="AE5" s="267">
        <f t="shared" si="1"/>
        <v>0</v>
      </c>
      <c r="AF5" s="267">
        <f t="shared" si="1"/>
        <v>0</v>
      </c>
      <c r="AG5" s="267">
        <f t="shared" si="1"/>
        <v>0</v>
      </c>
      <c r="AH5" s="267">
        <f t="shared" si="1"/>
        <v>0</v>
      </c>
      <c r="AI5" s="267">
        <f t="shared" si="1"/>
        <v>0</v>
      </c>
      <c r="AJ5" s="267">
        <f t="shared" si="1"/>
        <v>0</v>
      </c>
      <c r="AK5" s="267">
        <f t="shared" si="1"/>
        <v>0</v>
      </c>
      <c r="AL5" s="267">
        <f t="shared" si="1"/>
        <v>0</v>
      </c>
      <c r="AM5" s="267">
        <f t="shared" si="0"/>
        <v>0</v>
      </c>
      <c r="AN5" s="267">
        <f t="shared" si="0"/>
        <v>0</v>
      </c>
      <c r="AO5" s="267">
        <f t="shared" si="0"/>
        <v>0</v>
      </c>
      <c r="AP5" s="267">
        <f t="shared" si="0"/>
        <v>0</v>
      </c>
      <c r="AQ5" s="267">
        <f>SUM(C5:AP5)</f>
        <v>562698</v>
      </c>
    </row>
    <row r="6" spans="1:44" s="268" customFormat="1" ht="18" customHeight="1" outlineLevel="1" x14ac:dyDescent="0.15">
      <c r="A6" s="282" t="s">
        <v>674</v>
      </c>
      <c r="B6" s="270" t="s">
        <v>23</v>
      </c>
      <c r="C6" s="250">
        <f>SUM(C7:C9)</f>
        <v>0</v>
      </c>
      <c r="D6" s="250">
        <f t="shared" ref="D6:AP6" si="2">SUM(D7:D9)</f>
        <v>0</v>
      </c>
      <c r="E6" s="250">
        <f t="shared" si="2"/>
        <v>0</v>
      </c>
      <c r="F6" s="250">
        <f t="shared" si="2"/>
        <v>50164</v>
      </c>
      <c r="G6" s="250">
        <f t="shared" si="2"/>
        <v>49703</v>
      </c>
      <c r="H6" s="250">
        <f t="shared" si="2"/>
        <v>59154</v>
      </c>
      <c r="I6" s="250">
        <f t="shared" si="2"/>
        <v>57349</v>
      </c>
      <c r="J6" s="250">
        <f t="shared" si="2"/>
        <v>43045</v>
      </c>
      <c r="K6" s="250">
        <f t="shared" si="2"/>
        <v>37567</v>
      </c>
      <c r="L6" s="250">
        <f t="shared" si="2"/>
        <v>23767</v>
      </c>
      <c r="M6" s="250">
        <f t="shared" si="2"/>
        <v>14716</v>
      </c>
      <c r="N6" s="250">
        <f t="shared" si="2"/>
        <v>13090</v>
      </c>
      <c r="O6" s="250">
        <f t="shared" si="2"/>
        <v>5068</v>
      </c>
      <c r="P6" s="250">
        <f t="shared" si="2"/>
        <v>498</v>
      </c>
      <c r="Q6" s="250">
        <f t="shared" si="2"/>
        <v>0</v>
      </c>
      <c r="R6" s="250">
        <f t="shared" si="2"/>
        <v>0</v>
      </c>
      <c r="S6" s="250">
        <f t="shared" si="2"/>
        <v>0</v>
      </c>
      <c r="T6" s="250">
        <f t="shared" si="2"/>
        <v>0</v>
      </c>
      <c r="U6" s="250">
        <f t="shared" si="2"/>
        <v>0</v>
      </c>
      <c r="V6" s="250">
        <f t="shared" si="2"/>
        <v>0</v>
      </c>
      <c r="W6" s="250">
        <f t="shared" si="2"/>
        <v>0</v>
      </c>
      <c r="X6" s="250">
        <f t="shared" si="2"/>
        <v>0</v>
      </c>
      <c r="Y6" s="250">
        <f t="shared" si="2"/>
        <v>0</v>
      </c>
      <c r="Z6" s="250">
        <f t="shared" si="2"/>
        <v>0</v>
      </c>
      <c r="AA6" s="250">
        <f t="shared" si="2"/>
        <v>0</v>
      </c>
      <c r="AB6" s="250">
        <f t="shared" si="2"/>
        <v>0</v>
      </c>
      <c r="AC6" s="250">
        <f t="shared" si="2"/>
        <v>0</v>
      </c>
      <c r="AD6" s="250">
        <f t="shared" si="2"/>
        <v>0</v>
      </c>
      <c r="AE6" s="250">
        <f t="shared" si="2"/>
        <v>0</v>
      </c>
      <c r="AF6" s="250">
        <f t="shared" si="2"/>
        <v>0</v>
      </c>
      <c r="AG6" s="250">
        <f t="shared" si="2"/>
        <v>0</v>
      </c>
      <c r="AH6" s="250">
        <f t="shared" si="2"/>
        <v>0</v>
      </c>
      <c r="AI6" s="250">
        <f t="shared" si="2"/>
        <v>0</v>
      </c>
      <c r="AJ6" s="250">
        <f t="shared" si="2"/>
        <v>0</v>
      </c>
      <c r="AK6" s="250">
        <f t="shared" si="2"/>
        <v>0</v>
      </c>
      <c r="AL6" s="250">
        <f t="shared" si="2"/>
        <v>0</v>
      </c>
      <c r="AM6" s="250">
        <f t="shared" si="2"/>
        <v>0</v>
      </c>
      <c r="AN6" s="250">
        <f t="shared" si="2"/>
        <v>0</v>
      </c>
      <c r="AO6" s="250">
        <f t="shared" si="2"/>
        <v>0</v>
      </c>
      <c r="AP6" s="250">
        <f t="shared" si="2"/>
        <v>0</v>
      </c>
      <c r="AQ6" s="250">
        <f>SUM(C6:AP6)</f>
        <v>354121</v>
      </c>
    </row>
    <row r="7" spans="1:44" s="268" customFormat="1" ht="18" customHeight="1" outlineLevel="1" x14ac:dyDescent="0.15">
      <c r="A7" s="270"/>
      <c r="B7" s="243" t="s">
        <v>464</v>
      </c>
      <c r="C7" s="249">
        <f>'底表1（销售计划）'!D111</f>
        <v>0</v>
      </c>
      <c r="D7" s="249">
        <f>'底表1（销售计划）'!E111</f>
        <v>0</v>
      </c>
      <c r="E7" s="249">
        <f>'底表1（销售计划）'!F111</f>
        <v>0</v>
      </c>
      <c r="F7" s="249">
        <f>'底表1（销售计划）'!G111</f>
        <v>50164</v>
      </c>
      <c r="G7" s="249">
        <f>'底表1（销售计划）'!H111</f>
        <v>49703</v>
      </c>
      <c r="H7" s="249">
        <f>'底表1（销售计划）'!I111</f>
        <v>59154</v>
      </c>
      <c r="I7" s="249">
        <f>'底表1（销售计划）'!J111</f>
        <v>57349</v>
      </c>
      <c r="J7" s="249">
        <f>'底表1（销售计划）'!K111</f>
        <v>43045</v>
      </c>
      <c r="K7" s="249">
        <f>'底表1（销售计划）'!L111</f>
        <v>37567</v>
      </c>
      <c r="L7" s="249">
        <f>'底表1（销售计划）'!M111</f>
        <v>23767</v>
      </c>
      <c r="M7" s="249">
        <f>'底表1（销售计划）'!N111</f>
        <v>14716</v>
      </c>
      <c r="N7" s="249">
        <f>'底表1（销售计划）'!O111</f>
        <v>13090</v>
      </c>
      <c r="O7" s="249">
        <f>'底表1（销售计划）'!P111</f>
        <v>5068</v>
      </c>
      <c r="P7" s="249">
        <f>'底表1（销售计划）'!Q111</f>
        <v>498</v>
      </c>
      <c r="Q7" s="249">
        <f>'底表1（销售计划）'!R111</f>
        <v>0</v>
      </c>
      <c r="R7" s="249">
        <f>'底表1（销售计划）'!S111</f>
        <v>0</v>
      </c>
      <c r="S7" s="249">
        <f>'底表1（销售计划）'!T111</f>
        <v>0</v>
      </c>
      <c r="T7" s="249">
        <f>'底表1（销售计划）'!U111</f>
        <v>0</v>
      </c>
      <c r="U7" s="249">
        <f>'底表1（销售计划）'!V111</f>
        <v>0</v>
      </c>
      <c r="V7" s="249">
        <f>'底表1（销售计划）'!W111</f>
        <v>0</v>
      </c>
      <c r="W7" s="249">
        <f>'底表1（销售计划）'!X111</f>
        <v>0</v>
      </c>
      <c r="X7" s="249">
        <f>'底表1（销售计划）'!Y111</f>
        <v>0</v>
      </c>
      <c r="Y7" s="249">
        <f>'底表1（销售计划）'!Z111</f>
        <v>0</v>
      </c>
      <c r="Z7" s="249">
        <f>'底表1（销售计划）'!AA111</f>
        <v>0</v>
      </c>
      <c r="AA7" s="249">
        <f>'底表1（销售计划）'!AB111</f>
        <v>0</v>
      </c>
      <c r="AB7" s="249">
        <f>'底表1（销售计划）'!AC111</f>
        <v>0</v>
      </c>
      <c r="AC7" s="249">
        <f>'底表1（销售计划）'!AD111</f>
        <v>0</v>
      </c>
      <c r="AD7" s="249">
        <f>'底表1（销售计划）'!AE111</f>
        <v>0</v>
      </c>
      <c r="AE7" s="249">
        <f>'底表1（销售计划）'!AF111</f>
        <v>0</v>
      </c>
      <c r="AF7" s="249">
        <f>'底表1（销售计划）'!AG111</f>
        <v>0</v>
      </c>
      <c r="AG7" s="249">
        <f>'底表1（销售计划）'!AH111</f>
        <v>0</v>
      </c>
      <c r="AH7" s="249">
        <f>'底表1（销售计划）'!AI111</f>
        <v>0</v>
      </c>
      <c r="AI7" s="249">
        <f>'底表1（销售计划）'!AJ111</f>
        <v>0</v>
      </c>
      <c r="AJ7" s="249">
        <f>'底表1（销售计划）'!AK111</f>
        <v>0</v>
      </c>
      <c r="AK7" s="249">
        <f>'底表1（销售计划）'!AL111</f>
        <v>0</v>
      </c>
      <c r="AL7" s="249">
        <f>'底表1（销售计划）'!AM111</f>
        <v>0</v>
      </c>
      <c r="AM7" s="249">
        <f>'底表1（销售计划）'!AN111</f>
        <v>0</v>
      </c>
      <c r="AN7" s="249">
        <f>'底表1（销售计划）'!AO111</f>
        <v>0</v>
      </c>
      <c r="AO7" s="249">
        <f>'底表1（销售计划）'!AP111</f>
        <v>0</v>
      </c>
      <c r="AP7" s="249">
        <f>'底表1（销售计划）'!AQ111</f>
        <v>0</v>
      </c>
      <c r="AQ7" s="249">
        <f t="shared" ref="AQ7:AQ28" si="3">SUM(C7:AP7)</f>
        <v>354121</v>
      </c>
      <c r="AR7" s="281"/>
    </row>
    <row r="8" spans="1:44" s="268" customFormat="1" ht="18" customHeight="1" outlineLevel="1" x14ac:dyDescent="0.15">
      <c r="A8" s="270"/>
      <c r="B8" s="268" t="s">
        <v>10</v>
      </c>
      <c r="C8" s="250"/>
      <c r="D8" s="250"/>
      <c r="E8" s="250"/>
      <c r="F8" s="250"/>
      <c r="G8" s="250"/>
      <c r="H8" s="250"/>
      <c r="I8" s="250"/>
      <c r="J8" s="250"/>
      <c r="K8" s="250"/>
      <c r="L8" s="250"/>
      <c r="M8" s="250">
        <f>'主表2（现金流量表）'!G7</f>
        <v>0</v>
      </c>
      <c r="N8" s="250">
        <f>'主表2（现金流量表）'!H7</f>
        <v>0</v>
      </c>
      <c r="O8" s="250">
        <f>'主表2（现金流量表）'!I7</f>
        <v>0</v>
      </c>
      <c r="P8" s="250">
        <f>'主表2（现金流量表）'!AN7</f>
        <v>0</v>
      </c>
      <c r="Q8" s="250">
        <f>'主表2（现金流量表）'!AO7</f>
        <v>0</v>
      </c>
      <c r="R8" s="250"/>
      <c r="S8" s="250"/>
      <c r="T8" s="250"/>
      <c r="U8" s="250"/>
      <c r="V8" s="250"/>
      <c r="W8" s="250"/>
      <c r="X8" s="250"/>
      <c r="Y8" s="250"/>
      <c r="Z8" s="250"/>
      <c r="AA8" s="250"/>
      <c r="AB8" s="250"/>
      <c r="AC8" s="250">
        <f>'主表2（现金流量表）'!W7</f>
        <v>0</v>
      </c>
      <c r="AD8" s="250">
        <f>'主表2（现金流量表）'!X7</f>
        <v>0</v>
      </c>
      <c r="AE8" s="250">
        <f>'主表2（现金流量表）'!Y7</f>
        <v>0</v>
      </c>
      <c r="AF8" s="250">
        <f>'主表2（现金流量表）'!BD7</f>
        <v>0</v>
      </c>
      <c r="AG8" s="250">
        <f>'主表2（现金流量表）'!BE7</f>
        <v>0</v>
      </c>
      <c r="AH8" s="250"/>
      <c r="AI8" s="250"/>
      <c r="AJ8" s="250"/>
      <c r="AK8" s="250"/>
      <c r="AL8" s="250"/>
      <c r="AM8" s="250"/>
      <c r="AN8" s="250"/>
      <c r="AO8" s="250"/>
      <c r="AP8" s="250"/>
      <c r="AQ8" s="250">
        <f t="shared" si="3"/>
        <v>0</v>
      </c>
    </row>
    <row r="9" spans="1:44" s="268" customFormat="1" ht="18" customHeight="1" outlineLevel="1" x14ac:dyDescent="0.15">
      <c r="A9" s="270"/>
      <c r="B9" s="268" t="s">
        <v>33</v>
      </c>
      <c r="C9" s="250"/>
      <c r="D9" s="250"/>
      <c r="E9" s="250"/>
      <c r="F9" s="250"/>
      <c r="G9" s="250"/>
      <c r="H9" s="250"/>
      <c r="I9" s="250"/>
      <c r="J9" s="250"/>
      <c r="K9" s="250"/>
      <c r="L9" s="250"/>
      <c r="M9" s="250"/>
      <c r="N9" s="250"/>
      <c r="O9" s="250"/>
      <c r="P9" s="250"/>
      <c r="Q9" s="250"/>
      <c r="R9" s="250"/>
      <c r="S9" s="250"/>
      <c r="T9" s="250"/>
      <c r="U9" s="250"/>
      <c r="V9" s="250"/>
      <c r="W9" s="250"/>
      <c r="X9" s="250"/>
      <c r="Y9" s="250"/>
      <c r="Z9" s="250"/>
      <c r="AA9" s="250"/>
      <c r="AB9" s="250"/>
      <c r="AC9" s="250"/>
      <c r="AD9" s="250"/>
      <c r="AE9" s="250"/>
      <c r="AF9" s="250"/>
      <c r="AG9" s="250"/>
      <c r="AH9" s="250"/>
      <c r="AI9" s="250"/>
      <c r="AJ9" s="250"/>
      <c r="AK9" s="250"/>
      <c r="AL9" s="250"/>
      <c r="AM9" s="250"/>
      <c r="AN9" s="250"/>
      <c r="AO9" s="250"/>
      <c r="AP9" s="250"/>
      <c r="AQ9" s="250">
        <f t="shared" si="3"/>
        <v>0</v>
      </c>
    </row>
    <row r="10" spans="1:44" s="268" customFormat="1" ht="18" customHeight="1" outlineLevel="1" x14ac:dyDescent="0.15">
      <c r="A10" s="282" t="s">
        <v>673</v>
      </c>
      <c r="B10" s="270" t="s">
        <v>24</v>
      </c>
      <c r="C10" s="250">
        <f>SUM(C11:C15)</f>
        <v>0</v>
      </c>
      <c r="D10" s="250">
        <f t="shared" ref="D10:AP10" si="4">SUM(D11:D15)</f>
        <v>180664</v>
      </c>
      <c r="E10" s="250">
        <f t="shared" si="4"/>
        <v>27913</v>
      </c>
      <c r="F10" s="250">
        <f t="shared" si="4"/>
        <v>0</v>
      </c>
      <c r="G10" s="250">
        <f t="shared" si="4"/>
        <v>0</v>
      </c>
      <c r="H10" s="250">
        <f t="shared" si="4"/>
        <v>0</v>
      </c>
      <c r="I10" s="250">
        <f t="shared" si="4"/>
        <v>0</v>
      </c>
      <c r="J10" s="250">
        <f t="shared" si="4"/>
        <v>0</v>
      </c>
      <c r="K10" s="250">
        <f t="shared" si="4"/>
        <v>0</v>
      </c>
      <c r="L10" s="250">
        <f t="shared" si="4"/>
        <v>0</v>
      </c>
      <c r="M10" s="250">
        <f t="shared" si="4"/>
        <v>0</v>
      </c>
      <c r="N10" s="250">
        <f t="shared" si="4"/>
        <v>0</v>
      </c>
      <c r="O10" s="250">
        <f t="shared" si="4"/>
        <v>0</v>
      </c>
      <c r="P10" s="250">
        <f t="shared" si="4"/>
        <v>0</v>
      </c>
      <c r="Q10" s="250">
        <f t="shared" si="4"/>
        <v>0</v>
      </c>
      <c r="R10" s="250">
        <f t="shared" si="4"/>
        <v>0</v>
      </c>
      <c r="S10" s="250">
        <f t="shared" si="4"/>
        <v>0</v>
      </c>
      <c r="T10" s="250">
        <f t="shared" si="4"/>
        <v>0</v>
      </c>
      <c r="U10" s="250">
        <f t="shared" si="4"/>
        <v>0</v>
      </c>
      <c r="V10" s="250">
        <f t="shared" si="4"/>
        <v>0</v>
      </c>
      <c r="W10" s="250">
        <f t="shared" si="4"/>
        <v>0</v>
      </c>
      <c r="X10" s="250">
        <f t="shared" si="4"/>
        <v>0</v>
      </c>
      <c r="Y10" s="250">
        <f t="shared" si="4"/>
        <v>0</v>
      </c>
      <c r="Z10" s="250">
        <f t="shared" si="4"/>
        <v>0</v>
      </c>
      <c r="AA10" s="250">
        <f t="shared" si="4"/>
        <v>0</v>
      </c>
      <c r="AB10" s="250">
        <f t="shared" si="4"/>
        <v>0</v>
      </c>
      <c r="AC10" s="250">
        <f t="shared" si="4"/>
        <v>0</v>
      </c>
      <c r="AD10" s="250">
        <f t="shared" si="4"/>
        <v>0</v>
      </c>
      <c r="AE10" s="250">
        <f t="shared" si="4"/>
        <v>0</v>
      </c>
      <c r="AF10" s="250">
        <f t="shared" si="4"/>
        <v>0</v>
      </c>
      <c r="AG10" s="250">
        <f t="shared" si="4"/>
        <v>0</v>
      </c>
      <c r="AH10" s="250">
        <f t="shared" si="4"/>
        <v>0</v>
      </c>
      <c r="AI10" s="250">
        <f t="shared" si="4"/>
        <v>0</v>
      </c>
      <c r="AJ10" s="250">
        <f t="shared" si="4"/>
        <v>0</v>
      </c>
      <c r="AK10" s="250">
        <f t="shared" si="4"/>
        <v>0</v>
      </c>
      <c r="AL10" s="250">
        <f t="shared" si="4"/>
        <v>0</v>
      </c>
      <c r="AM10" s="250">
        <f t="shared" si="4"/>
        <v>0</v>
      </c>
      <c r="AN10" s="250">
        <f t="shared" si="4"/>
        <v>0</v>
      </c>
      <c r="AO10" s="250">
        <f t="shared" si="4"/>
        <v>0</v>
      </c>
      <c r="AP10" s="250">
        <f t="shared" si="4"/>
        <v>0</v>
      </c>
      <c r="AQ10" s="250">
        <f t="shared" si="3"/>
        <v>208577</v>
      </c>
    </row>
    <row r="11" spans="1:44" s="268" customFormat="1" ht="18" customHeight="1" outlineLevel="1" x14ac:dyDescent="0.15">
      <c r="A11" s="270"/>
      <c r="B11" s="243" t="str">
        <f>'主表1（成本）'!A6</f>
        <v>自有资金</v>
      </c>
      <c r="C11" s="250">
        <f>'主表1（成本）'!C6</f>
        <v>0</v>
      </c>
      <c r="D11" s="250">
        <f>'主表1（成本）'!D6</f>
        <v>57146</v>
      </c>
      <c r="E11" s="250">
        <f>'主表1（成本）'!E6</f>
        <v>16253</v>
      </c>
      <c r="F11" s="250">
        <f>'主表1（成本）'!F6</f>
        <v>0</v>
      </c>
      <c r="G11" s="250">
        <f>'主表1（成本）'!G6</f>
        <v>0</v>
      </c>
      <c r="H11" s="250">
        <f>'主表1（成本）'!H6</f>
        <v>0</v>
      </c>
      <c r="I11" s="250">
        <f>'主表1（成本）'!I6</f>
        <v>0</v>
      </c>
      <c r="J11" s="250">
        <f>'主表1（成本）'!J6</f>
        <v>0</v>
      </c>
      <c r="K11" s="250">
        <f>'主表1（成本）'!K6</f>
        <v>0</v>
      </c>
      <c r="L11" s="250">
        <f>'主表1（成本）'!L6</f>
        <v>0</v>
      </c>
      <c r="M11" s="250">
        <f>'主表1（成本）'!M6</f>
        <v>0</v>
      </c>
      <c r="N11" s="250">
        <f>'主表1（成本）'!N6</f>
        <v>0</v>
      </c>
      <c r="O11" s="250">
        <f>'主表1（成本）'!O6</f>
        <v>0</v>
      </c>
      <c r="P11" s="250">
        <f>'主表1（成本）'!P6</f>
        <v>0</v>
      </c>
      <c r="Q11" s="250">
        <f>'主表1（成本）'!Q6</f>
        <v>0</v>
      </c>
      <c r="R11" s="250">
        <f>'主表1（成本）'!R6</f>
        <v>0</v>
      </c>
      <c r="S11" s="250">
        <f>'主表1（成本）'!S6</f>
        <v>0</v>
      </c>
      <c r="T11" s="250">
        <f>'主表1（成本）'!T6</f>
        <v>0</v>
      </c>
      <c r="U11" s="250">
        <f>'主表1（成本）'!U6</f>
        <v>0</v>
      </c>
      <c r="V11" s="250">
        <f>'主表1（成本）'!V6</f>
        <v>0</v>
      </c>
      <c r="W11" s="250">
        <f>'主表1（成本）'!W6</f>
        <v>0</v>
      </c>
      <c r="X11" s="250">
        <f>'主表1（成本）'!X6</f>
        <v>0</v>
      </c>
      <c r="Y11" s="250">
        <f>'主表1（成本）'!Y6</f>
        <v>0</v>
      </c>
      <c r="Z11" s="250">
        <f>'主表1（成本）'!Z6</f>
        <v>0</v>
      </c>
      <c r="AA11" s="250">
        <f>'主表1（成本）'!AA6</f>
        <v>0</v>
      </c>
      <c r="AB11" s="250">
        <f>'主表1（成本）'!AB6</f>
        <v>0</v>
      </c>
      <c r="AC11" s="250">
        <f>'主表1（成本）'!AC6</f>
        <v>0</v>
      </c>
      <c r="AD11" s="250">
        <f>'主表1（成本）'!AD6</f>
        <v>0</v>
      </c>
      <c r="AE11" s="250">
        <f>'主表1（成本）'!AE6</f>
        <v>0</v>
      </c>
      <c r="AF11" s="250">
        <f>'主表1（成本）'!AF6</f>
        <v>0</v>
      </c>
      <c r="AG11" s="250">
        <f>'主表1（成本）'!AG6</f>
        <v>0</v>
      </c>
      <c r="AH11" s="250">
        <f>'主表1（成本）'!AH6</f>
        <v>0</v>
      </c>
      <c r="AI11" s="250">
        <f>'主表1（成本）'!AI6</f>
        <v>0</v>
      </c>
      <c r="AJ11" s="250">
        <f>'主表1（成本）'!AJ6</f>
        <v>0</v>
      </c>
      <c r="AK11" s="250">
        <f>'主表1（成本）'!AK6</f>
        <v>0</v>
      </c>
      <c r="AL11" s="250">
        <f>'主表1（成本）'!AL6</f>
        <v>0</v>
      </c>
      <c r="AM11" s="250">
        <f>'主表1（成本）'!AM6</f>
        <v>0</v>
      </c>
      <c r="AN11" s="250">
        <f>'主表1（成本）'!AN6</f>
        <v>0</v>
      </c>
      <c r="AO11" s="250">
        <f>'主表1（成本）'!AO6</f>
        <v>0</v>
      </c>
      <c r="AP11" s="250">
        <f>'主表1（成本）'!AP6</f>
        <v>0</v>
      </c>
      <c r="AQ11" s="250">
        <f t="shared" si="3"/>
        <v>73399</v>
      </c>
    </row>
    <row r="12" spans="1:44" s="268" customFormat="1" ht="18" customHeight="1" outlineLevel="1" x14ac:dyDescent="0.15">
      <c r="A12" s="270"/>
      <c r="B12" s="243" t="str">
        <f>'主表1（成本）'!A7</f>
        <v>信托-权益性投资</v>
      </c>
      <c r="C12" s="250">
        <f>'主表1（成本）'!C7</f>
        <v>0</v>
      </c>
      <c r="D12" s="250">
        <f>'主表1（成本）'!D7</f>
        <v>13518</v>
      </c>
      <c r="E12" s="250">
        <f>'主表1（成本）'!E7</f>
        <v>0</v>
      </c>
      <c r="F12" s="250">
        <f>'主表1（成本）'!F7</f>
        <v>0</v>
      </c>
      <c r="G12" s="250">
        <f>'主表1（成本）'!G7</f>
        <v>0</v>
      </c>
      <c r="H12" s="250">
        <f>'主表1（成本）'!H7</f>
        <v>0</v>
      </c>
      <c r="I12" s="250">
        <f>'主表1（成本）'!I7</f>
        <v>0</v>
      </c>
      <c r="J12" s="250">
        <f>'主表1（成本）'!J7</f>
        <v>0</v>
      </c>
      <c r="K12" s="250">
        <f>'主表1（成本）'!K7</f>
        <v>0</v>
      </c>
      <c r="L12" s="250">
        <f>'主表1（成本）'!L7</f>
        <v>0</v>
      </c>
      <c r="M12" s="250">
        <f>'主表1（成本）'!M7</f>
        <v>0</v>
      </c>
      <c r="N12" s="250">
        <f>'主表1（成本）'!N7</f>
        <v>0</v>
      </c>
      <c r="O12" s="250">
        <f>'主表1（成本）'!O7</f>
        <v>0</v>
      </c>
      <c r="P12" s="250">
        <f>'主表1（成本）'!P7</f>
        <v>0</v>
      </c>
      <c r="Q12" s="250">
        <f>'主表1（成本）'!Q7</f>
        <v>0</v>
      </c>
      <c r="R12" s="250">
        <f>'主表1（成本）'!R7</f>
        <v>0</v>
      </c>
      <c r="S12" s="250">
        <f>'主表1（成本）'!S7</f>
        <v>0</v>
      </c>
      <c r="T12" s="250">
        <f>'主表1（成本）'!T7</f>
        <v>0</v>
      </c>
      <c r="U12" s="250">
        <f>'主表1（成本）'!U7</f>
        <v>0</v>
      </c>
      <c r="V12" s="250">
        <f>'主表1（成本）'!V7</f>
        <v>0</v>
      </c>
      <c r="W12" s="250">
        <f>'主表1（成本）'!W7</f>
        <v>0</v>
      </c>
      <c r="X12" s="250">
        <f>'主表1（成本）'!X7</f>
        <v>0</v>
      </c>
      <c r="Y12" s="250">
        <f>'主表1（成本）'!Y7</f>
        <v>0</v>
      </c>
      <c r="Z12" s="250">
        <f>'主表1（成本）'!Z7</f>
        <v>0</v>
      </c>
      <c r="AA12" s="250">
        <f>'主表1（成本）'!AA7</f>
        <v>0</v>
      </c>
      <c r="AB12" s="250">
        <f>'主表1（成本）'!AB7</f>
        <v>0</v>
      </c>
      <c r="AC12" s="250">
        <f>'主表1（成本）'!AC7</f>
        <v>0</v>
      </c>
      <c r="AD12" s="250">
        <f>'主表1（成本）'!AD7</f>
        <v>0</v>
      </c>
      <c r="AE12" s="250">
        <f>'主表1（成本）'!AE7</f>
        <v>0</v>
      </c>
      <c r="AF12" s="250">
        <f>'主表1（成本）'!AF7</f>
        <v>0</v>
      </c>
      <c r="AG12" s="250">
        <f>'主表1（成本）'!AG7</f>
        <v>0</v>
      </c>
      <c r="AH12" s="250">
        <f>'主表1（成本）'!AH7</f>
        <v>0</v>
      </c>
      <c r="AI12" s="250">
        <f>'主表1（成本）'!AI7</f>
        <v>0</v>
      </c>
      <c r="AJ12" s="250">
        <f>'主表1（成本）'!AJ7</f>
        <v>0</v>
      </c>
      <c r="AK12" s="250">
        <f>'主表1（成本）'!AK7</f>
        <v>0</v>
      </c>
      <c r="AL12" s="250">
        <f>'主表1（成本）'!AL7</f>
        <v>0</v>
      </c>
      <c r="AM12" s="250">
        <f>'主表1（成本）'!AM7</f>
        <v>0</v>
      </c>
      <c r="AN12" s="250">
        <f>'主表1（成本）'!AN7</f>
        <v>0</v>
      </c>
      <c r="AO12" s="250">
        <f>'主表1（成本）'!AO7</f>
        <v>0</v>
      </c>
      <c r="AP12" s="250">
        <f>'主表1（成本）'!AP7</f>
        <v>0</v>
      </c>
      <c r="AQ12" s="250">
        <f t="shared" si="3"/>
        <v>13518</v>
      </c>
    </row>
    <row r="13" spans="1:44" s="268" customFormat="1" ht="18" customHeight="1" outlineLevel="1" x14ac:dyDescent="0.15">
      <c r="A13" s="270"/>
      <c r="B13" s="243" t="str">
        <f>'主表1（成本）'!A8</f>
        <v>信托-股东借款</v>
      </c>
      <c r="C13" s="250">
        <f>'主表6（负债偿还预测）'!D15</f>
        <v>0</v>
      </c>
      <c r="D13" s="250">
        <f>'主表6（负债偿还预测）'!E15</f>
        <v>110000</v>
      </c>
      <c r="E13" s="250">
        <f>'主表6（负债偿还预测）'!F15</f>
        <v>11660</v>
      </c>
      <c r="F13" s="250">
        <f>'主表6（负债偿还预测）'!G15</f>
        <v>0</v>
      </c>
      <c r="G13" s="250">
        <f>'主表6（负债偿还预测）'!H15</f>
        <v>0</v>
      </c>
      <c r="H13" s="250">
        <f>'主表6（负债偿还预测）'!I15</f>
        <v>0</v>
      </c>
      <c r="I13" s="250">
        <f>'主表6（负债偿还预测）'!J15</f>
        <v>0</v>
      </c>
      <c r="J13" s="250">
        <f>'主表6（负债偿还预测）'!K15</f>
        <v>0</v>
      </c>
      <c r="K13" s="250">
        <f>'主表6（负债偿还预测）'!L15</f>
        <v>0</v>
      </c>
      <c r="L13" s="250">
        <f>'主表6（负债偿还预测）'!M15</f>
        <v>0</v>
      </c>
      <c r="M13" s="250">
        <f>'主表6（负债偿还预测）'!N15</f>
        <v>0</v>
      </c>
      <c r="N13" s="250">
        <f>'主表6（负债偿还预测）'!O15</f>
        <v>0</v>
      </c>
      <c r="O13" s="250">
        <f>'主表6（负债偿还预测）'!P15</f>
        <v>0</v>
      </c>
      <c r="P13" s="250">
        <f>'主表6（负债偿还预测）'!Q15</f>
        <v>0</v>
      </c>
      <c r="Q13" s="250">
        <f>'主表6（负债偿还预测）'!R15</f>
        <v>0</v>
      </c>
      <c r="R13" s="250">
        <f>'主表6（负债偿还预测）'!S15</f>
        <v>0</v>
      </c>
      <c r="S13" s="250">
        <f>'主表6（负债偿还预测）'!T15</f>
        <v>0</v>
      </c>
      <c r="T13" s="250">
        <f>'主表6（负债偿还预测）'!U15</f>
        <v>0</v>
      </c>
      <c r="U13" s="250">
        <f>'主表6（负债偿还预测）'!V15</f>
        <v>0</v>
      </c>
      <c r="V13" s="250">
        <f>'主表6（负债偿还预测）'!W15</f>
        <v>0</v>
      </c>
      <c r="W13" s="250">
        <f>'主表6（负债偿还预测）'!X15</f>
        <v>0</v>
      </c>
      <c r="X13" s="250">
        <f>'主表6（负债偿还预测）'!Y15</f>
        <v>0</v>
      </c>
      <c r="Y13" s="250">
        <f>'主表6（负债偿还预测）'!Z15</f>
        <v>0</v>
      </c>
      <c r="Z13" s="250">
        <f>'主表6（负债偿还预测）'!AA15</f>
        <v>0</v>
      </c>
      <c r="AA13" s="250">
        <f>'主表6（负债偿还预测）'!AB15</f>
        <v>0</v>
      </c>
      <c r="AB13" s="250">
        <f>'主表6（负债偿还预测）'!AC15</f>
        <v>0</v>
      </c>
      <c r="AC13" s="250">
        <f>'主表6（负债偿还预测）'!AD15</f>
        <v>0</v>
      </c>
      <c r="AD13" s="250">
        <f>'主表6（负债偿还预测）'!AE15</f>
        <v>0</v>
      </c>
      <c r="AE13" s="250">
        <f>'主表6（负债偿还预测）'!AF15</f>
        <v>0</v>
      </c>
      <c r="AF13" s="250">
        <f>'主表6（负债偿还预测）'!AG15</f>
        <v>0</v>
      </c>
      <c r="AG13" s="250">
        <f>'主表6（负债偿还预测）'!AH15</f>
        <v>0</v>
      </c>
      <c r="AH13" s="250">
        <f>'主表6（负债偿还预测）'!AI15</f>
        <v>0</v>
      </c>
      <c r="AI13" s="250">
        <f>'主表6（负债偿还预测）'!AJ15</f>
        <v>0</v>
      </c>
      <c r="AJ13" s="250">
        <f>'主表6（负债偿还预测）'!AK15</f>
        <v>0</v>
      </c>
      <c r="AK13" s="250">
        <f>'主表6（负债偿还预测）'!AL15</f>
        <v>0</v>
      </c>
      <c r="AL13" s="250">
        <f>'主表6（负债偿还预测）'!AM15</f>
        <v>0</v>
      </c>
      <c r="AM13" s="250">
        <f>'主表6（负债偿还预测）'!AN15</f>
        <v>0</v>
      </c>
      <c r="AN13" s="250">
        <f>'主表6（负债偿还预测）'!AO15</f>
        <v>0</v>
      </c>
      <c r="AO13" s="250">
        <f>'主表6（负债偿还预测）'!AP15</f>
        <v>0</v>
      </c>
      <c r="AP13" s="250">
        <f>'主表6（负债偿还预测）'!AQ15</f>
        <v>0</v>
      </c>
      <c r="AQ13" s="250">
        <f t="shared" si="3"/>
        <v>121660</v>
      </c>
    </row>
    <row r="14" spans="1:44" s="268" customFormat="1" ht="18" customHeight="1" outlineLevel="1" x14ac:dyDescent="0.15">
      <c r="A14" s="270"/>
      <c r="B14" s="243" t="str">
        <f>'主表1（成本）'!A9</f>
        <v>集团-股东借款</v>
      </c>
      <c r="C14" s="250">
        <f>'主表6（负债偿还预测）'!D16</f>
        <v>0</v>
      </c>
      <c r="D14" s="250">
        <f>'主表6（负债偿还预测）'!E16</f>
        <v>0</v>
      </c>
      <c r="E14" s="250">
        <f>'主表6（负债偿还预测）'!F16</f>
        <v>0</v>
      </c>
      <c r="F14" s="250">
        <f>'主表6（负债偿还预测）'!G16</f>
        <v>0</v>
      </c>
      <c r="G14" s="250">
        <f>'主表6（负债偿还预测）'!H16</f>
        <v>0</v>
      </c>
      <c r="H14" s="250">
        <f>'主表6（负债偿还预测）'!I16</f>
        <v>0</v>
      </c>
      <c r="I14" s="250">
        <f>'主表6（负债偿还预测）'!J16</f>
        <v>0</v>
      </c>
      <c r="J14" s="250">
        <f>'主表6（负债偿还预测）'!K16</f>
        <v>0</v>
      </c>
      <c r="K14" s="250">
        <f>'主表6（负债偿还预测）'!L16</f>
        <v>0</v>
      </c>
      <c r="L14" s="250">
        <f>'主表6（负债偿还预测）'!M16</f>
        <v>0</v>
      </c>
      <c r="M14" s="250">
        <f>'主表6（负债偿还预测）'!N16</f>
        <v>0</v>
      </c>
      <c r="N14" s="250">
        <f>'主表6（负债偿还预测）'!O16</f>
        <v>0</v>
      </c>
      <c r="O14" s="250">
        <f>'主表6（负债偿还预测）'!P16</f>
        <v>0</v>
      </c>
      <c r="P14" s="250">
        <f>'主表6（负债偿还预测）'!Q16</f>
        <v>0</v>
      </c>
      <c r="Q14" s="250">
        <f>'主表6（负债偿还预测）'!R16</f>
        <v>0</v>
      </c>
      <c r="R14" s="250">
        <f>'主表6（负债偿还预测）'!S16</f>
        <v>0</v>
      </c>
      <c r="S14" s="250">
        <f>'主表6（负债偿还预测）'!T16</f>
        <v>0</v>
      </c>
      <c r="T14" s="250">
        <f>'主表6（负债偿还预测）'!U16</f>
        <v>0</v>
      </c>
      <c r="U14" s="250">
        <f>'主表6（负债偿还预测）'!V16</f>
        <v>0</v>
      </c>
      <c r="V14" s="250">
        <f>'主表6（负债偿还预测）'!W16</f>
        <v>0</v>
      </c>
      <c r="W14" s="250">
        <f>'主表6（负债偿还预测）'!X16</f>
        <v>0</v>
      </c>
      <c r="X14" s="250">
        <f>'主表6（负债偿还预测）'!Y16</f>
        <v>0</v>
      </c>
      <c r="Y14" s="250">
        <f>'主表6（负债偿还预测）'!Z16</f>
        <v>0</v>
      </c>
      <c r="Z14" s="250">
        <f>'主表6（负债偿还预测）'!AA16</f>
        <v>0</v>
      </c>
      <c r="AA14" s="250">
        <f>'主表6（负债偿还预测）'!AB16</f>
        <v>0</v>
      </c>
      <c r="AB14" s="250">
        <f>'主表6（负债偿还预测）'!AC16</f>
        <v>0</v>
      </c>
      <c r="AC14" s="250">
        <f>'主表6（负债偿还预测）'!AD16</f>
        <v>0</v>
      </c>
      <c r="AD14" s="250">
        <f>'主表6（负债偿还预测）'!AE16</f>
        <v>0</v>
      </c>
      <c r="AE14" s="250">
        <f>'主表6（负债偿还预测）'!AF16</f>
        <v>0</v>
      </c>
      <c r="AF14" s="250">
        <f>'主表6（负债偿还预测）'!AG16</f>
        <v>0</v>
      </c>
      <c r="AG14" s="250">
        <f>'主表6（负债偿还预测）'!AH16</f>
        <v>0</v>
      </c>
      <c r="AH14" s="250">
        <f>'主表6（负债偿还预测）'!AI16</f>
        <v>0</v>
      </c>
      <c r="AI14" s="250">
        <f>'主表6（负债偿还预测）'!AJ16</f>
        <v>0</v>
      </c>
      <c r="AJ14" s="250">
        <f>'主表6（负债偿还预测）'!AK16</f>
        <v>0</v>
      </c>
      <c r="AK14" s="250">
        <f>'主表6（负债偿还预测）'!AL16</f>
        <v>0</v>
      </c>
      <c r="AL14" s="250">
        <f>'主表6（负债偿还预测）'!AM16</f>
        <v>0</v>
      </c>
      <c r="AM14" s="250">
        <f>'主表6（负债偿还预测）'!AN16</f>
        <v>0</v>
      </c>
      <c r="AN14" s="250">
        <f>'主表6（负债偿还预测）'!AO16</f>
        <v>0</v>
      </c>
      <c r="AO14" s="250">
        <f>'主表6（负债偿还预测）'!AP16</f>
        <v>0</v>
      </c>
      <c r="AP14" s="250">
        <f>'主表6（负债偿还预测）'!AQ16</f>
        <v>0</v>
      </c>
      <c r="AQ14" s="250">
        <f t="shared" si="3"/>
        <v>0</v>
      </c>
    </row>
    <row r="15" spans="1:44" s="268" customFormat="1" ht="18" customHeight="1" outlineLevel="1" x14ac:dyDescent="0.15">
      <c r="A15" s="270"/>
      <c r="B15" s="243" t="str">
        <f>'主表1（成本）'!A10</f>
        <v>银行-开发贷</v>
      </c>
      <c r="C15" s="250">
        <f>'主表6（负债偿还预测）'!D17</f>
        <v>0</v>
      </c>
      <c r="D15" s="250">
        <f>'主表6（负债偿还预测）'!E17</f>
        <v>0</v>
      </c>
      <c r="E15" s="250">
        <f>'主表6（负债偿还预测）'!F17</f>
        <v>0</v>
      </c>
      <c r="F15" s="250">
        <f>'主表6（负债偿还预测）'!G17</f>
        <v>0</v>
      </c>
      <c r="G15" s="250">
        <f>'主表6（负债偿还预测）'!H17</f>
        <v>0</v>
      </c>
      <c r="H15" s="250">
        <f>'主表6（负债偿还预测）'!I17</f>
        <v>0</v>
      </c>
      <c r="I15" s="250">
        <f>'主表6（负债偿还预测）'!J17</f>
        <v>0</v>
      </c>
      <c r="J15" s="250">
        <f>'主表6（负债偿还预测）'!K17</f>
        <v>0</v>
      </c>
      <c r="K15" s="250">
        <f>'主表6（负债偿还预测）'!L17</f>
        <v>0</v>
      </c>
      <c r="L15" s="250">
        <f>'主表6（负债偿还预测）'!M17</f>
        <v>0</v>
      </c>
      <c r="M15" s="250">
        <f>'主表6（负债偿还预测）'!N17</f>
        <v>0</v>
      </c>
      <c r="N15" s="250">
        <f>'主表6（负债偿还预测）'!O17</f>
        <v>0</v>
      </c>
      <c r="O15" s="250">
        <f>'主表6（负债偿还预测）'!P17</f>
        <v>0</v>
      </c>
      <c r="P15" s="250">
        <f>'主表6（负债偿还预测）'!Q17</f>
        <v>0</v>
      </c>
      <c r="Q15" s="250">
        <f>'主表6（负债偿还预测）'!R17</f>
        <v>0</v>
      </c>
      <c r="R15" s="250">
        <f>'主表6（负债偿还预测）'!S17</f>
        <v>0</v>
      </c>
      <c r="S15" s="250">
        <f>'主表6（负债偿还预测）'!T17</f>
        <v>0</v>
      </c>
      <c r="T15" s="250">
        <f>'主表6（负债偿还预测）'!U17</f>
        <v>0</v>
      </c>
      <c r="U15" s="250">
        <f>'主表6（负债偿还预测）'!V17</f>
        <v>0</v>
      </c>
      <c r="V15" s="250">
        <f>'主表6（负债偿还预测）'!W17</f>
        <v>0</v>
      </c>
      <c r="W15" s="250">
        <f>'主表6（负债偿还预测）'!X17</f>
        <v>0</v>
      </c>
      <c r="X15" s="250">
        <f>'主表6（负债偿还预测）'!Y17</f>
        <v>0</v>
      </c>
      <c r="Y15" s="250">
        <f>'主表6（负债偿还预测）'!Z17</f>
        <v>0</v>
      </c>
      <c r="Z15" s="250">
        <f>'主表6（负债偿还预测）'!AA17</f>
        <v>0</v>
      </c>
      <c r="AA15" s="250">
        <f>'主表6（负债偿还预测）'!AB17</f>
        <v>0</v>
      </c>
      <c r="AB15" s="250">
        <f>'主表6（负债偿还预测）'!AC17</f>
        <v>0</v>
      </c>
      <c r="AC15" s="250">
        <f>'主表6（负债偿还预测）'!AD17</f>
        <v>0</v>
      </c>
      <c r="AD15" s="250">
        <f>'主表6（负债偿还预测）'!AE17</f>
        <v>0</v>
      </c>
      <c r="AE15" s="250">
        <f>'主表6（负债偿还预测）'!AF17</f>
        <v>0</v>
      </c>
      <c r="AF15" s="250">
        <f>'主表6（负债偿还预测）'!AG17</f>
        <v>0</v>
      </c>
      <c r="AG15" s="250">
        <f>'主表6（负债偿还预测）'!AH17</f>
        <v>0</v>
      </c>
      <c r="AH15" s="250">
        <f>'主表6（负债偿还预测）'!AI17</f>
        <v>0</v>
      </c>
      <c r="AI15" s="250">
        <f>'主表6（负债偿还预测）'!AJ17</f>
        <v>0</v>
      </c>
      <c r="AJ15" s="250">
        <f>'主表6（负债偿还预测）'!AK17</f>
        <v>0</v>
      </c>
      <c r="AK15" s="250">
        <f>'主表6（负债偿还预测）'!AL17</f>
        <v>0</v>
      </c>
      <c r="AL15" s="250">
        <f>'主表6（负债偿还预测）'!AM17</f>
        <v>0</v>
      </c>
      <c r="AM15" s="250">
        <f>'主表6（负债偿还预测）'!AN17</f>
        <v>0</v>
      </c>
      <c r="AN15" s="250">
        <f>'主表6（负债偿还预测）'!AO17</f>
        <v>0</v>
      </c>
      <c r="AO15" s="250">
        <f>'主表6（负债偿还预测）'!AP17</f>
        <v>0</v>
      </c>
      <c r="AP15" s="250">
        <f>'主表6（负债偿还预测）'!AQ17</f>
        <v>0</v>
      </c>
      <c r="AQ15" s="250">
        <f t="shared" si="3"/>
        <v>0</v>
      </c>
    </row>
    <row r="16" spans="1:44" s="268" customFormat="1" ht="18" customHeight="1" outlineLevel="1" x14ac:dyDescent="0.15">
      <c r="A16" s="270"/>
      <c r="B16" s="243" t="s">
        <v>469</v>
      </c>
      <c r="C16" s="250">
        <f>'主表6（负债偿还预测）'!D18</f>
        <v>0</v>
      </c>
      <c r="D16" s="250">
        <f>'主表6（负债偿还预测）'!E18</f>
        <v>0</v>
      </c>
      <c r="E16" s="250">
        <f>'主表6（负债偿还预测）'!F18</f>
        <v>0</v>
      </c>
      <c r="F16" s="250">
        <f>'主表6（负债偿还预测）'!G18</f>
        <v>0</v>
      </c>
      <c r="G16" s="250">
        <f>'主表6（负债偿还预测）'!H18</f>
        <v>0</v>
      </c>
      <c r="H16" s="250">
        <f>'主表6（负债偿还预测）'!I18</f>
        <v>0</v>
      </c>
      <c r="I16" s="250">
        <f>'主表6（负债偿还预测）'!J18</f>
        <v>0</v>
      </c>
      <c r="J16" s="250">
        <f>'主表6（负债偿还预测）'!K18</f>
        <v>0</v>
      </c>
      <c r="K16" s="250">
        <f>'主表6（负债偿还预测）'!L18</f>
        <v>0</v>
      </c>
      <c r="L16" s="250">
        <f>'主表6（负债偿还预测）'!M18</f>
        <v>0</v>
      </c>
      <c r="M16" s="250">
        <f>'主表6（负债偿还预测）'!N18</f>
        <v>0</v>
      </c>
      <c r="N16" s="250">
        <f>'主表6（负债偿还预测）'!O18</f>
        <v>0</v>
      </c>
      <c r="O16" s="250">
        <f>'主表6（负债偿还预测）'!P18</f>
        <v>0</v>
      </c>
      <c r="P16" s="250">
        <f>'主表6（负债偿还预测）'!Q18</f>
        <v>0</v>
      </c>
      <c r="Q16" s="250">
        <f>'主表6（负债偿还预测）'!R18</f>
        <v>0</v>
      </c>
      <c r="R16" s="250">
        <f>'主表6（负债偿还预测）'!S18</f>
        <v>0</v>
      </c>
      <c r="S16" s="250">
        <f>'主表6（负债偿还预测）'!T18</f>
        <v>0</v>
      </c>
      <c r="T16" s="250">
        <f>'主表6（负债偿还预测）'!U18</f>
        <v>0</v>
      </c>
      <c r="U16" s="250">
        <f>'主表6（负债偿还预测）'!V18</f>
        <v>0</v>
      </c>
      <c r="V16" s="250">
        <f>'主表6（负债偿还预测）'!W18</f>
        <v>0</v>
      </c>
      <c r="W16" s="250">
        <f>'主表6（负债偿还预测）'!X18</f>
        <v>0</v>
      </c>
      <c r="X16" s="250">
        <f>'主表6（负债偿还预测）'!Y18</f>
        <v>0</v>
      </c>
      <c r="Y16" s="250">
        <f>'主表6（负债偿还预测）'!Z18</f>
        <v>0</v>
      </c>
      <c r="Z16" s="250">
        <f>'主表6（负债偿还预测）'!AA18</f>
        <v>0</v>
      </c>
      <c r="AA16" s="250">
        <f>'主表6（负债偿还预测）'!AB18</f>
        <v>0</v>
      </c>
      <c r="AB16" s="250">
        <f>'主表6（负债偿还预测）'!AC18</f>
        <v>0</v>
      </c>
      <c r="AC16" s="250">
        <f>'主表6（负债偿还预测）'!AD18</f>
        <v>0</v>
      </c>
      <c r="AD16" s="250">
        <f>'主表6（负债偿还预测）'!AE18</f>
        <v>0</v>
      </c>
      <c r="AE16" s="250">
        <f>'主表6（负债偿还预测）'!AF18</f>
        <v>0</v>
      </c>
      <c r="AF16" s="250">
        <f>'主表6（负债偿还预测）'!AG18</f>
        <v>0</v>
      </c>
      <c r="AG16" s="250">
        <f>'主表6（负债偿还预测）'!AH18</f>
        <v>0</v>
      </c>
      <c r="AH16" s="250">
        <f>'主表6（负债偿还预测）'!AI18</f>
        <v>0</v>
      </c>
      <c r="AI16" s="250">
        <f>'主表6（负债偿还预测）'!AJ18</f>
        <v>0</v>
      </c>
      <c r="AJ16" s="250">
        <f>'主表6（负债偿还预测）'!AK18</f>
        <v>0</v>
      </c>
      <c r="AK16" s="250">
        <f>'主表6（负债偿还预测）'!AL18</f>
        <v>0</v>
      </c>
      <c r="AL16" s="250">
        <f>'主表6（负债偿还预测）'!AM18</f>
        <v>0</v>
      </c>
      <c r="AM16" s="250">
        <f>'主表6（负债偿还预测）'!AN18</f>
        <v>0</v>
      </c>
      <c r="AN16" s="250">
        <f>'主表6（负债偿还预测）'!AO18</f>
        <v>0</v>
      </c>
      <c r="AO16" s="250">
        <f>'主表6（负债偿还预测）'!AP18</f>
        <v>0</v>
      </c>
      <c r="AP16" s="250">
        <f>'主表6（负债偿还预测）'!AQ18</f>
        <v>0</v>
      </c>
      <c r="AQ16" s="250">
        <f t="shared" si="3"/>
        <v>0</v>
      </c>
    </row>
    <row r="17" spans="1:46" ht="18" customHeight="1" x14ac:dyDescent="0.15">
      <c r="A17" s="235">
        <v>2</v>
      </c>
      <c r="B17" s="235" t="s">
        <v>186</v>
      </c>
      <c r="C17" s="267">
        <f>SUM(C18:C27)</f>
        <v>0</v>
      </c>
      <c r="D17" s="267">
        <f t="shared" ref="D17:R17" si="5">SUM(D18:D27)</f>
        <v>180664</v>
      </c>
      <c r="E17" s="267">
        <f t="shared" si="5"/>
        <v>27913</v>
      </c>
      <c r="F17" s="267">
        <f t="shared" si="5"/>
        <v>20370</v>
      </c>
      <c r="G17" s="267">
        <f t="shared" si="5"/>
        <v>15000</v>
      </c>
      <c r="H17" s="267">
        <f t="shared" si="5"/>
        <v>14610</v>
      </c>
      <c r="I17" s="267">
        <f t="shared" si="5"/>
        <v>13477</v>
      </c>
      <c r="J17" s="267">
        <f t="shared" si="5"/>
        <v>16461</v>
      </c>
      <c r="K17" s="267">
        <f t="shared" si="5"/>
        <v>9863</v>
      </c>
      <c r="L17" s="267">
        <f t="shared" si="5"/>
        <v>8748</v>
      </c>
      <c r="M17" s="267">
        <f t="shared" si="5"/>
        <v>6307</v>
      </c>
      <c r="N17" s="267">
        <f t="shared" si="5"/>
        <v>9079</v>
      </c>
      <c r="O17" s="267">
        <f t="shared" si="5"/>
        <v>4675</v>
      </c>
      <c r="P17" s="267">
        <f t="shared" si="5"/>
        <v>-3505</v>
      </c>
      <c r="Q17" s="267">
        <f t="shared" si="5"/>
        <v>0</v>
      </c>
      <c r="R17" s="267">
        <f t="shared" si="5"/>
        <v>0</v>
      </c>
      <c r="S17" s="267">
        <f t="shared" ref="S17:AP17" si="6">SUM(S18:S27)</f>
        <v>0</v>
      </c>
      <c r="T17" s="267">
        <f t="shared" si="6"/>
        <v>0</v>
      </c>
      <c r="U17" s="267">
        <f t="shared" si="6"/>
        <v>0</v>
      </c>
      <c r="V17" s="267">
        <f t="shared" si="6"/>
        <v>0</v>
      </c>
      <c r="W17" s="267">
        <f t="shared" si="6"/>
        <v>0</v>
      </c>
      <c r="X17" s="267">
        <f t="shared" si="6"/>
        <v>0</v>
      </c>
      <c r="Y17" s="267">
        <f t="shared" si="6"/>
        <v>0</v>
      </c>
      <c r="Z17" s="267">
        <f t="shared" si="6"/>
        <v>0</v>
      </c>
      <c r="AA17" s="267">
        <f t="shared" si="6"/>
        <v>0</v>
      </c>
      <c r="AB17" s="267">
        <f t="shared" si="6"/>
        <v>0</v>
      </c>
      <c r="AC17" s="267">
        <f t="shared" si="6"/>
        <v>0</v>
      </c>
      <c r="AD17" s="267">
        <f t="shared" si="6"/>
        <v>0</v>
      </c>
      <c r="AE17" s="267">
        <f t="shared" si="6"/>
        <v>0</v>
      </c>
      <c r="AF17" s="267">
        <f t="shared" si="6"/>
        <v>0</v>
      </c>
      <c r="AG17" s="267">
        <f t="shared" si="6"/>
        <v>0</v>
      </c>
      <c r="AH17" s="267">
        <f t="shared" si="6"/>
        <v>0</v>
      </c>
      <c r="AI17" s="267">
        <f>SUM(AI18:AI27)</f>
        <v>0</v>
      </c>
      <c r="AJ17" s="267">
        <f>SUM(AJ18:AJ27)</f>
        <v>0</v>
      </c>
      <c r="AK17" s="267">
        <f>SUM(AK18:AK27)</f>
        <v>0</v>
      </c>
      <c r="AL17" s="267">
        <f>SUM(AL18:AL27)</f>
        <v>0</v>
      </c>
      <c r="AM17" s="267">
        <f t="shared" si="6"/>
        <v>0</v>
      </c>
      <c r="AN17" s="267">
        <f t="shared" si="6"/>
        <v>0</v>
      </c>
      <c r="AO17" s="267">
        <f t="shared" si="6"/>
        <v>0</v>
      </c>
      <c r="AP17" s="267">
        <f t="shared" si="6"/>
        <v>0</v>
      </c>
      <c r="AQ17" s="267">
        <f t="shared" si="3"/>
        <v>323662</v>
      </c>
    </row>
    <row r="18" spans="1:46" s="268" customFormat="1" ht="18" customHeight="1" outlineLevel="1" x14ac:dyDescent="0.15">
      <c r="A18" s="282" t="s">
        <v>664</v>
      </c>
      <c r="B18" s="270" t="s">
        <v>62</v>
      </c>
      <c r="C18" s="250">
        <f>'主表1（成本）'!C39</f>
        <v>0</v>
      </c>
      <c r="D18" s="250">
        <f>'主表1（成本）'!D39</f>
        <v>179014</v>
      </c>
      <c r="E18" s="250">
        <f>'主表1（成本）'!E39</f>
        <v>24438</v>
      </c>
      <c r="F18" s="250">
        <f>'主表1（成本）'!F39</f>
        <v>14028</v>
      </c>
      <c r="G18" s="250">
        <f>'主表1（成本）'!G39</f>
        <v>9527</v>
      </c>
      <c r="H18" s="250">
        <f>'主表1（成本）'!H39</f>
        <v>9716</v>
      </c>
      <c r="I18" s="250">
        <f>'主表1（成本）'!I39</f>
        <v>9680</v>
      </c>
      <c r="J18" s="250">
        <f>'主表1（成本）'!J39</f>
        <v>9394</v>
      </c>
      <c r="K18" s="250">
        <f>'主表1（成本）'!K39</f>
        <v>7578</v>
      </c>
      <c r="L18" s="250">
        <f>'主表1（成本）'!L39</f>
        <v>7302</v>
      </c>
      <c r="M18" s="250">
        <f>'主表1（成本）'!M39</f>
        <v>5413</v>
      </c>
      <c r="N18" s="250">
        <f>'主表1（成本）'!N39</f>
        <v>5381</v>
      </c>
      <c r="O18" s="250">
        <f>'主表1（成本）'!O39</f>
        <v>4367</v>
      </c>
      <c r="P18" s="250">
        <f>'主表1（成本）'!P39</f>
        <v>4285</v>
      </c>
      <c r="Q18" s="250">
        <f>'主表1（成本）'!Q39</f>
        <v>0</v>
      </c>
      <c r="R18" s="250">
        <f>'主表1（成本）'!R39</f>
        <v>0</v>
      </c>
      <c r="S18" s="250">
        <f>'主表1（成本）'!S39</f>
        <v>0</v>
      </c>
      <c r="T18" s="250">
        <f>'主表1（成本）'!T39</f>
        <v>0</v>
      </c>
      <c r="U18" s="250">
        <f>'主表1（成本）'!U39</f>
        <v>0</v>
      </c>
      <c r="V18" s="250">
        <f>'主表1（成本）'!V39</f>
        <v>0</v>
      </c>
      <c r="W18" s="250">
        <f>'主表1（成本）'!W39</f>
        <v>0</v>
      </c>
      <c r="X18" s="250">
        <f>'主表1（成本）'!X39</f>
        <v>0</v>
      </c>
      <c r="Y18" s="250">
        <f>'主表1（成本）'!Y39</f>
        <v>0</v>
      </c>
      <c r="Z18" s="250">
        <f>'主表1（成本）'!Z39</f>
        <v>0</v>
      </c>
      <c r="AA18" s="250">
        <f>'主表1（成本）'!AA39</f>
        <v>0</v>
      </c>
      <c r="AB18" s="250">
        <f>'主表1（成本）'!AB39</f>
        <v>0</v>
      </c>
      <c r="AC18" s="250">
        <f>'主表1（成本）'!AC39</f>
        <v>0</v>
      </c>
      <c r="AD18" s="250">
        <f>'主表1（成本）'!AD39</f>
        <v>0</v>
      </c>
      <c r="AE18" s="250">
        <f>'主表1（成本）'!AE39</f>
        <v>0</v>
      </c>
      <c r="AF18" s="250">
        <f>'主表1（成本）'!AF39</f>
        <v>0</v>
      </c>
      <c r="AG18" s="250">
        <f>'主表1（成本）'!AG39</f>
        <v>0</v>
      </c>
      <c r="AH18" s="250">
        <f>'主表1（成本）'!AH39</f>
        <v>0</v>
      </c>
      <c r="AI18" s="250">
        <f>'主表1（成本）'!AI39</f>
        <v>0</v>
      </c>
      <c r="AJ18" s="250">
        <f>'主表1（成本）'!AJ39</f>
        <v>0</v>
      </c>
      <c r="AK18" s="250">
        <f>'主表1（成本）'!AK39</f>
        <v>0</v>
      </c>
      <c r="AL18" s="250">
        <f>'主表1（成本）'!AL39</f>
        <v>0</v>
      </c>
      <c r="AM18" s="250">
        <f>'主表1（成本）'!AM39</f>
        <v>0</v>
      </c>
      <c r="AN18" s="250">
        <f>'主表1（成本）'!AN39</f>
        <v>0</v>
      </c>
      <c r="AO18" s="250">
        <f>'主表1（成本）'!AO39</f>
        <v>0</v>
      </c>
      <c r="AP18" s="250">
        <f>'主表1（成本）'!AP39</f>
        <v>0</v>
      </c>
      <c r="AQ18" s="250">
        <f t="shared" si="3"/>
        <v>290123</v>
      </c>
      <c r="AT18" s="250"/>
    </row>
    <row r="19" spans="1:46" s="268" customFormat="1" ht="18" customHeight="1" outlineLevel="1" x14ac:dyDescent="0.15">
      <c r="A19" s="282" t="s">
        <v>665</v>
      </c>
      <c r="B19" s="270" t="s">
        <v>82</v>
      </c>
      <c r="C19" s="250"/>
      <c r="D19" s="250"/>
      <c r="E19" s="250"/>
      <c r="F19" s="250"/>
      <c r="G19" s="250"/>
      <c r="H19" s="250"/>
      <c r="I19" s="250"/>
      <c r="J19" s="250"/>
      <c r="K19" s="250"/>
      <c r="L19" s="250"/>
      <c r="M19" s="250"/>
      <c r="N19" s="250"/>
      <c r="O19" s="250"/>
      <c r="P19" s="250"/>
      <c r="Q19" s="250"/>
      <c r="R19" s="250"/>
      <c r="S19" s="250"/>
      <c r="T19" s="250"/>
      <c r="U19" s="250"/>
      <c r="V19" s="250"/>
      <c r="W19" s="250"/>
      <c r="X19" s="250"/>
      <c r="Y19" s="250"/>
      <c r="Z19" s="250"/>
      <c r="AA19" s="250"/>
      <c r="AB19" s="250"/>
      <c r="AC19" s="250"/>
      <c r="AD19" s="250"/>
      <c r="AE19" s="250"/>
      <c r="AF19" s="250"/>
      <c r="AG19" s="250"/>
      <c r="AH19" s="250"/>
      <c r="AI19" s="250"/>
      <c r="AJ19" s="250"/>
      <c r="AK19" s="250"/>
      <c r="AL19" s="250"/>
      <c r="AM19" s="250"/>
      <c r="AN19" s="250"/>
      <c r="AO19" s="250"/>
      <c r="AP19" s="250"/>
      <c r="AQ19" s="250">
        <f t="shared" si="3"/>
        <v>0</v>
      </c>
    </row>
    <row r="20" spans="1:46" s="268" customFormat="1" ht="18" customHeight="1" outlineLevel="1" x14ac:dyDescent="0.15">
      <c r="A20" s="282" t="s">
        <v>666</v>
      </c>
      <c r="B20" s="270" t="s">
        <v>140</v>
      </c>
      <c r="C20" s="250">
        <f>'主表2（现金流量表）'!B12</f>
        <v>0</v>
      </c>
      <c r="D20" s="250">
        <f>'主表2（现金流量表）'!C12</f>
        <v>0</v>
      </c>
      <c r="E20" s="250">
        <f>'主表2（现金流量表）'!D12</f>
        <v>0</v>
      </c>
      <c r="F20" s="250">
        <f>'主表2（现金流量表）'!E12</f>
        <v>1547</v>
      </c>
      <c r="G20" s="250">
        <f>'主表2（现金流量表）'!F12</f>
        <v>1532</v>
      </c>
      <c r="H20" s="250">
        <f>'主表2（现金流量表）'!G12</f>
        <v>1824</v>
      </c>
      <c r="I20" s="250">
        <f>'主表2（现金流量表）'!H12</f>
        <v>1767</v>
      </c>
      <c r="J20" s="250">
        <f>'主表2（现金流量表）'!I12</f>
        <v>1328</v>
      </c>
      <c r="K20" s="250">
        <f>'主表2（现金流量表）'!J12</f>
        <v>1158</v>
      </c>
      <c r="L20" s="250">
        <f>'主表2（现金流量表）'!K12</f>
        <v>733</v>
      </c>
      <c r="M20" s="250">
        <f>'主表2（现金流量表）'!L12</f>
        <v>453</v>
      </c>
      <c r="N20" s="250">
        <f>'主表2（现金流量表）'!M12</f>
        <v>403</v>
      </c>
      <c r="O20" s="250">
        <f>'主表2（现金流量表）'!N12</f>
        <v>156</v>
      </c>
      <c r="P20" s="250">
        <f>'主表2（现金流量表）'!O12</f>
        <v>15</v>
      </c>
      <c r="Q20" s="250">
        <f>'主表2（现金流量表）'!P12</f>
        <v>0</v>
      </c>
      <c r="R20" s="250">
        <f>'主表2（现金流量表）'!Q12</f>
        <v>0</v>
      </c>
      <c r="S20" s="250">
        <f>'主表2（现金流量表）'!R12</f>
        <v>0</v>
      </c>
      <c r="T20" s="250">
        <f>'主表2（现金流量表）'!S12</f>
        <v>0</v>
      </c>
      <c r="U20" s="250">
        <f>'主表2（现金流量表）'!T12</f>
        <v>0</v>
      </c>
      <c r="V20" s="250">
        <f>'主表2（现金流量表）'!U12</f>
        <v>0</v>
      </c>
      <c r="W20" s="250">
        <f>'主表2（现金流量表）'!V12</f>
        <v>0</v>
      </c>
      <c r="X20" s="250">
        <f>'主表2（现金流量表）'!W12</f>
        <v>0</v>
      </c>
      <c r="Y20" s="250">
        <f>'主表2（现金流量表）'!X12</f>
        <v>0</v>
      </c>
      <c r="Z20" s="250">
        <f>'主表2（现金流量表）'!Y12</f>
        <v>0</v>
      </c>
      <c r="AA20" s="250">
        <f>'主表2（现金流量表）'!Z12</f>
        <v>0</v>
      </c>
      <c r="AB20" s="250">
        <f>'主表2（现金流量表）'!AA12</f>
        <v>0</v>
      </c>
      <c r="AC20" s="250">
        <f>'主表2（现金流量表）'!AB12</f>
        <v>0</v>
      </c>
      <c r="AD20" s="250">
        <f>'主表2（现金流量表）'!AC12</f>
        <v>0</v>
      </c>
      <c r="AE20" s="250">
        <f>'主表2（现金流量表）'!AD12</f>
        <v>0</v>
      </c>
      <c r="AF20" s="250">
        <f>'主表2（现金流量表）'!AE12</f>
        <v>0</v>
      </c>
      <c r="AG20" s="250">
        <f>'主表2（现金流量表）'!AF12</f>
        <v>0</v>
      </c>
      <c r="AH20" s="250">
        <f>'主表2（现金流量表）'!AG12</f>
        <v>0</v>
      </c>
      <c r="AI20" s="250">
        <f>'主表2（现金流量表）'!AH12</f>
        <v>0</v>
      </c>
      <c r="AJ20" s="250">
        <f>'主表2（现金流量表）'!AI12</f>
        <v>0</v>
      </c>
      <c r="AK20" s="250">
        <f>'主表2（现金流量表）'!AJ12</f>
        <v>0</v>
      </c>
      <c r="AL20" s="250">
        <f>'主表2（现金流量表）'!AK12</f>
        <v>0</v>
      </c>
      <c r="AM20" s="250">
        <f>'主表2（现金流量表）'!AL12</f>
        <v>0</v>
      </c>
      <c r="AN20" s="250">
        <f>'主表2（现金流量表）'!AM12</f>
        <v>0</v>
      </c>
      <c r="AO20" s="250">
        <f>'主表2（现金流量表）'!AN12</f>
        <v>0</v>
      </c>
      <c r="AP20" s="250">
        <f>'主表2（现金流量表）'!AO12</f>
        <v>0</v>
      </c>
      <c r="AQ20" s="250">
        <f t="shared" si="3"/>
        <v>10916</v>
      </c>
    </row>
    <row r="21" spans="1:46" s="268" customFormat="1" ht="18" customHeight="1" outlineLevel="1" x14ac:dyDescent="0.15">
      <c r="A21" s="282" t="s">
        <v>667</v>
      </c>
      <c r="B21" s="270" t="s">
        <v>29</v>
      </c>
      <c r="C21" s="250">
        <f>'主表1（成本）'!C34</f>
        <v>0</v>
      </c>
      <c r="D21" s="250">
        <f>'主表1（成本）'!D34</f>
        <v>1650</v>
      </c>
      <c r="E21" s="250">
        <f>'主表1（成本）'!E34</f>
        <v>3475</v>
      </c>
      <c r="F21" s="250">
        <f>'主表1（成本）'!F34</f>
        <v>3290</v>
      </c>
      <c r="G21" s="250">
        <f>'主表1（成本）'!G34</f>
        <v>2450</v>
      </c>
      <c r="H21" s="250">
        <f>'主表1（成本）'!H34</f>
        <v>1295</v>
      </c>
      <c r="I21" s="250">
        <f>'主表1（成本）'!I34</f>
        <v>310</v>
      </c>
      <c r="J21" s="250">
        <f>'主表1（成本）'!J34</f>
        <v>0</v>
      </c>
      <c r="K21" s="250">
        <f>'主表1（成本）'!K34</f>
        <v>0</v>
      </c>
      <c r="L21" s="250">
        <f>'主表1（成本）'!L34</f>
        <v>0</v>
      </c>
      <c r="M21" s="250">
        <f>'主表1（成本）'!M34</f>
        <v>0</v>
      </c>
      <c r="N21" s="250">
        <f>'主表1（成本）'!N34</f>
        <v>0</v>
      </c>
      <c r="O21" s="250">
        <f>'主表1（成本）'!O34</f>
        <v>0</v>
      </c>
      <c r="P21" s="250">
        <f>'主表1（成本）'!P34</f>
        <v>0</v>
      </c>
      <c r="Q21" s="250">
        <f>'主表1（成本）'!Q34</f>
        <v>0</v>
      </c>
      <c r="R21" s="250">
        <f>'主表1（成本）'!R34</f>
        <v>0</v>
      </c>
      <c r="S21" s="250">
        <f>'主表1（成本）'!S34</f>
        <v>0</v>
      </c>
      <c r="T21" s="250">
        <f>'主表1（成本）'!T34</f>
        <v>0</v>
      </c>
      <c r="U21" s="250">
        <f>'主表1（成本）'!U34</f>
        <v>0</v>
      </c>
      <c r="V21" s="250">
        <f>'主表1（成本）'!V34</f>
        <v>0</v>
      </c>
      <c r="W21" s="250">
        <f>'主表1（成本）'!W34</f>
        <v>0</v>
      </c>
      <c r="X21" s="250">
        <f>'主表1（成本）'!X34</f>
        <v>0</v>
      </c>
      <c r="Y21" s="250">
        <f>'主表1（成本）'!Y34</f>
        <v>0</v>
      </c>
      <c r="Z21" s="250">
        <f>'主表1（成本）'!Z34</f>
        <v>0</v>
      </c>
      <c r="AA21" s="250">
        <f>'主表1（成本）'!AA34</f>
        <v>0</v>
      </c>
      <c r="AB21" s="250">
        <f>'主表1（成本）'!AB34</f>
        <v>0</v>
      </c>
      <c r="AC21" s="250">
        <f>'主表1（成本）'!AC34</f>
        <v>0</v>
      </c>
      <c r="AD21" s="250">
        <f>'主表1（成本）'!AD34</f>
        <v>0</v>
      </c>
      <c r="AE21" s="250">
        <f>'主表1（成本）'!AE34</f>
        <v>0</v>
      </c>
      <c r="AF21" s="250">
        <f>'主表1（成本）'!AF34</f>
        <v>0</v>
      </c>
      <c r="AG21" s="250">
        <f>'主表1（成本）'!AG34</f>
        <v>0</v>
      </c>
      <c r="AH21" s="250">
        <f>'主表1（成本）'!AH34</f>
        <v>0</v>
      </c>
      <c r="AI21" s="250">
        <f>'主表1（成本）'!AI34</f>
        <v>0</v>
      </c>
      <c r="AJ21" s="250">
        <f>'主表1（成本）'!AJ34</f>
        <v>0</v>
      </c>
      <c r="AK21" s="250">
        <f>'主表1（成本）'!AK34</f>
        <v>0</v>
      </c>
      <c r="AL21" s="250">
        <f>'主表1（成本）'!AL34</f>
        <v>0</v>
      </c>
      <c r="AM21" s="250">
        <f>'主表1（成本）'!AM34</f>
        <v>0</v>
      </c>
      <c r="AN21" s="250">
        <f>'主表1（成本）'!AN34</f>
        <v>0</v>
      </c>
      <c r="AO21" s="250">
        <f>'主表1（成本）'!AO34</f>
        <v>0</v>
      </c>
      <c r="AP21" s="250">
        <f>'主表1（成本）'!AP34</f>
        <v>0</v>
      </c>
      <c r="AQ21" s="250">
        <f t="shared" si="3"/>
        <v>12470</v>
      </c>
    </row>
    <row r="22" spans="1:46" s="268" customFormat="1" ht="18" customHeight="1" outlineLevel="1" x14ac:dyDescent="0.15">
      <c r="A22" s="282" t="s">
        <v>668</v>
      </c>
      <c r="B22" s="270" t="s">
        <v>19</v>
      </c>
      <c r="C22" s="250">
        <f>'主表3（损益表）'!D10</f>
        <v>0</v>
      </c>
      <c r="D22" s="250">
        <f>'主表3（损益表）'!E10</f>
        <v>0</v>
      </c>
      <c r="E22" s="250">
        <f>'主表3（损益表）'!F10</f>
        <v>0</v>
      </c>
      <c r="F22" s="250">
        <f>'主表3（损益表）'!G10</f>
        <v>1505</v>
      </c>
      <c r="G22" s="250">
        <f>'主表3（损益表）'!H10</f>
        <v>1491</v>
      </c>
      <c r="H22" s="250">
        <f>'主表3（损益表）'!I10</f>
        <v>1775</v>
      </c>
      <c r="I22" s="250">
        <f>'主表3（损益表）'!J10</f>
        <v>1720</v>
      </c>
      <c r="J22" s="250">
        <f>'主表3（损益表）'!K10</f>
        <v>1291</v>
      </c>
      <c r="K22" s="250">
        <f>'主表3（损益表）'!L10</f>
        <v>1127</v>
      </c>
      <c r="L22" s="250">
        <f>'主表3（损益表）'!M10</f>
        <v>713</v>
      </c>
      <c r="M22" s="250">
        <f>'主表3（损益表）'!N10</f>
        <v>441</v>
      </c>
      <c r="N22" s="250">
        <f>'主表3（损益表）'!O10</f>
        <v>393</v>
      </c>
      <c r="O22" s="250">
        <f>'主表3（损益表）'!P10</f>
        <v>152</v>
      </c>
      <c r="P22" s="250">
        <f>'主表3（损益表）'!Q10</f>
        <v>-10608</v>
      </c>
      <c r="Q22" s="250">
        <f>'主表3（损益表）'!R10</f>
        <v>0</v>
      </c>
      <c r="R22" s="250">
        <f>'主表3（损益表）'!S10</f>
        <v>0</v>
      </c>
      <c r="S22" s="250">
        <f>'主表3（损益表）'!T10</f>
        <v>0</v>
      </c>
      <c r="T22" s="250">
        <f>'主表3（损益表）'!U10</f>
        <v>0</v>
      </c>
      <c r="U22" s="250">
        <f>'主表3（损益表）'!V10</f>
        <v>0</v>
      </c>
      <c r="V22" s="250">
        <f>'主表3（损益表）'!W10</f>
        <v>0</v>
      </c>
      <c r="W22" s="250">
        <f>'主表3（损益表）'!X10</f>
        <v>0</v>
      </c>
      <c r="X22" s="250">
        <f>'主表3（损益表）'!Y10</f>
        <v>0</v>
      </c>
      <c r="Y22" s="250">
        <f>'主表3（损益表）'!Z10</f>
        <v>0</v>
      </c>
      <c r="Z22" s="250">
        <f>'主表3（损益表）'!AA10</f>
        <v>0</v>
      </c>
      <c r="AA22" s="250">
        <f>'主表3（损益表）'!AB10</f>
        <v>0</v>
      </c>
      <c r="AB22" s="250">
        <f>'主表3（损益表）'!AC10</f>
        <v>0</v>
      </c>
      <c r="AC22" s="250">
        <f>'主表3（损益表）'!AD10</f>
        <v>0</v>
      </c>
      <c r="AD22" s="250">
        <f>'主表3（损益表）'!AE10</f>
        <v>0</v>
      </c>
      <c r="AE22" s="250">
        <f>'主表3（损益表）'!AF10</f>
        <v>0</v>
      </c>
      <c r="AF22" s="250">
        <f>'主表3（损益表）'!AG10</f>
        <v>0</v>
      </c>
      <c r="AG22" s="250">
        <f>'主表3（损益表）'!AH10</f>
        <v>0</v>
      </c>
      <c r="AH22" s="250">
        <f>'主表3（损益表）'!AI10</f>
        <v>0</v>
      </c>
      <c r="AI22" s="250">
        <f>'主表3（损益表）'!AJ10</f>
        <v>0</v>
      </c>
      <c r="AJ22" s="250">
        <f>'主表3（损益表）'!AK10</f>
        <v>0</v>
      </c>
      <c r="AK22" s="250">
        <f>'主表3（损益表）'!AL10</f>
        <v>0</v>
      </c>
      <c r="AL22" s="250">
        <f>'主表3（损益表）'!AM10</f>
        <v>0</v>
      </c>
      <c r="AM22" s="250">
        <f>'主表3（损益表）'!AN10</f>
        <v>0</v>
      </c>
      <c r="AN22" s="250">
        <f>'主表3（损益表）'!AO10</f>
        <v>0</v>
      </c>
      <c r="AO22" s="250">
        <f>'主表3（损益表）'!AP10</f>
        <v>0</v>
      </c>
      <c r="AP22" s="250">
        <f>'主表3（损益表）'!AQ10</f>
        <v>0</v>
      </c>
      <c r="AQ22" s="250">
        <f t="shared" si="3"/>
        <v>0</v>
      </c>
    </row>
    <row r="23" spans="1:46" s="268" customFormat="1" ht="18" customHeight="1" outlineLevel="1" x14ac:dyDescent="0.15">
      <c r="A23" s="282" t="s">
        <v>669</v>
      </c>
      <c r="B23" s="270" t="s">
        <v>18</v>
      </c>
      <c r="C23" s="250"/>
      <c r="D23" s="250"/>
      <c r="E23" s="250"/>
      <c r="F23" s="250"/>
      <c r="G23" s="250"/>
      <c r="H23" s="250"/>
      <c r="I23" s="250"/>
      <c r="J23" s="250"/>
      <c r="K23" s="250"/>
      <c r="L23" s="250"/>
      <c r="M23" s="250"/>
      <c r="N23" s="250"/>
      <c r="O23" s="250"/>
      <c r="P23" s="250"/>
      <c r="Q23" s="250"/>
      <c r="R23" s="250"/>
      <c r="S23" s="250"/>
      <c r="T23" s="250"/>
      <c r="U23" s="250"/>
      <c r="V23" s="250"/>
      <c r="W23" s="250"/>
      <c r="X23" s="250"/>
      <c r="Y23" s="250"/>
      <c r="Z23" s="250"/>
      <c r="AA23" s="250"/>
      <c r="AB23" s="250"/>
      <c r="AC23" s="250"/>
      <c r="AD23" s="250"/>
      <c r="AE23" s="250"/>
      <c r="AF23" s="250"/>
      <c r="AG23" s="250"/>
      <c r="AH23" s="250"/>
      <c r="AI23" s="250"/>
      <c r="AJ23" s="250"/>
      <c r="AK23" s="250"/>
      <c r="AL23" s="250"/>
      <c r="AM23" s="250"/>
      <c r="AN23" s="250"/>
      <c r="AO23" s="250"/>
      <c r="AP23" s="250"/>
      <c r="AQ23" s="250">
        <f t="shared" si="3"/>
        <v>0</v>
      </c>
    </row>
    <row r="24" spans="1:46" s="268" customFormat="1" ht="18" customHeight="1" outlineLevel="1" x14ac:dyDescent="0.15">
      <c r="A24" s="282" t="s">
        <v>670</v>
      </c>
      <c r="B24" s="270" t="s">
        <v>11</v>
      </c>
      <c r="C24" s="250">
        <f>'主表3（损益表）'!D15</f>
        <v>0</v>
      </c>
      <c r="D24" s="250">
        <f>'主表3（损益表）'!E15</f>
        <v>0</v>
      </c>
      <c r="E24" s="250">
        <f>'主表3（损益表）'!F15</f>
        <v>0</v>
      </c>
      <c r="F24" s="250">
        <f>'主表3（损益表）'!G15</f>
        <v>0</v>
      </c>
      <c r="G24" s="250">
        <f>'主表3（损益表）'!H15</f>
        <v>0</v>
      </c>
      <c r="H24" s="250">
        <f>'主表3（损益表）'!I15</f>
        <v>0</v>
      </c>
      <c r="I24" s="250">
        <f>'主表3（损益表）'!J15</f>
        <v>0</v>
      </c>
      <c r="J24" s="250">
        <f>'主表3（损益表）'!K15</f>
        <v>4448</v>
      </c>
      <c r="K24" s="250">
        <f>'主表3（损益表）'!L15</f>
        <v>0</v>
      </c>
      <c r="L24" s="250">
        <f>'主表3（损益表）'!M15</f>
        <v>0</v>
      </c>
      <c r="M24" s="250">
        <f>'主表3（损益表）'!N15</f>
        <v>0</v>
      </c>
      <c r="N24" s="250">
        <f>'主表3（损益表）'!O15</f>
        <v>2902</v>
      </c>
      <c r="O24" s="250">
        <f>'主表3（损益表）'!P15</f>
        <v>0</v>
      </c>
      <c r="P24" s="250">
        <f>'主表3（损益表）'!Q15</f>
        <v>2803</v>
      </c>
      <c r="Q24" s="250">
        <f>'主表3（损益表）'!R15</f>
        <v>0</v>
      </c>
      <c r="R24" s="250">
        <f>'主表3（损益表）'!S15</f>
        <v>0</v>
      </c>
      <c r="S24" s="250">
        <f>'主表3（损益表）'!T15</f>
        <v>0</v>
      </c>
      <c r="T24" s="250">
        <f>'主表3（损益表）'!U15</f>
        <v>0</v>
      </c>
      <c r="U24" s="250">
        <f>'主表3（损益表）'!V15</f>
        <v>0</v>
      </c>
      <c r="V24" s="250">
        <f>'主表3（损益表）'!W15</f>
        <v>0</v>
      </c>
      <c r="W24" s="250">
        <f>'主表3（损益表）'!X15</f>
        <v>0</v>
      </c>
      <c r="X24" s="250">
        <f>'主表3（损益表）'!Y15</f>
        <v>0</v>
      </c>
      <c r="Y24" s="250">
        <f>'主表3（损益表）'!Z15</f>
        <v>0</v>
      </c>
      <c r="Z24" s="250">
        <f>'主表3（损益表）'!AA15</f>
        <v>0</v>
      </c>
      <c r="AA24" s="250">
        <f>'主表3（损益表）'!AB15</f>
        <v>0</v>
      </c>
      <c r="AB24" s="250">
        <f>'主表3（损益表）'!AC15</f>
        <v>0</v>
      </c>
      <c r="AC24" s="250">
        <f>'主表3（损益表）'!AD15</f>
        <v>0</v>
      </c>
      <c r="AD24" s="250">
        <f>'主表3（损益表）'!AE15</f>
        <v>0</v>
      </c>
      <c r="AE24" s="250">
        <f>'主表3（损益表）'!AF15</f>
        <v>0</v>
      </c>
      <c r="AF24" s="250">
        <f>'主表3（损益表）'!AG15</f>
        <v>0</v>
      </c>
      <c r="AG24" s="250">
        <f>'主表3（损益表）'!AH15</f>
        <v>0</v>
      </c>
      <c r="AH24" s="250">
        <f>'主表3（损益表）'!AI15</f>
        <v>0</v>
      </c>
      <c r="AI24" s="250">
        <f>'主表3（损益表）'!AJ15</f>
        <v>0</v>
      </c>
      <c r="AJ24" s="250">
        <f>'主表3（损益表）'!AK15</f>
        <v>0</v>
      </c>
      <c r="AK24" s="250">
        <f>'主表3（损益表）'!AL15</f>
        <v>0</v>
      </c>
      <c r="AL24" s="250">
        <f>'主表3（损益表）'!AM15</f>
        <v>0</v>
      </c>
      <c r="AM24" s="250">
        <f>'主表3（损益表）'!AN15</f>
        <v>0</v>
      </c>
      <c r="AN24" s="250">
        <f>'主表3（损益表）'!AO15</f>
        <v>0</v>
      </c>
      <c r="AO24" s="250">
        <f>'主表3（损益表）'!AP15</f>
        <v>0</v>
      </c>
      <c r="AP24" s="250">
        <f>'主表3（损益表）'!AQ15</f>
        <v>0</v>
      </c>
      <c r="AQ24" s="250">
        <f t="shared" si="3"/>
        <v>10153</v>
      </c>
    </row>
    <row r="25" spans="1:46" s="268" customFormat="1" ht="18" customHeight="1" outlineLevel="1" x14ac:dyDescent="0.15">
      <c r="A25" s="282" t="s">
        <v>671</v>
      </c>
      <c r="B25" s="270"/>
      <c r="C25" s="250">
        <f>'主表3（损益表）'!D20</f>
        <v>0</v>
      </c>
      <c r="D25" s="250">
        <f>'主表3（损益表）'!E20</f>
        <v>0</v>
      </c>
      <c r="E25" s="250">
        <f>'主表3（损益表）'!F20</f>
        <v>0</v>
      </c>
      <c r="F25" s="250">
        <f>'主表3（损益表）'!G20</f>
        <v>0</v>
      </c>
      <c r="G25" s="250">
        <f>'主表3（损益表）'!H20</f>
        <v>0</v>
      </c>
      <c r="H25" s="250">
        <f>'主表3（损益表）'!I20</f>
        <v>0</v>
      </c>
      <c r="I25" s="250">
        <f>'主表3（损益表）'!J20</f>
        <v>0</v>
      </c>
      <c r="J25" s="250">
        <f>'主表3（损益表）'!K20</f>
        <v>0</v>
      </c>
      <c r="K25" s="250">
        <f>'主表3（损益表）'!L20</f>
        <v>0</v>
      </c>
      <c r="L25" s="250">
        <f>'主表3（损益表）'!M20</f>
        <v>0</v>
      </c>
      <c r="M25" s="250">
        <f>'主表3（损益表）'!N20</f>
        <v>0</v>
      </c>
      <c r="N25" s="250">
        <f>'主表3（损益表）'!O20</f>
        <v>0</v>
      </c>
      <c r="O25" s="250">
        <f>'主表3（损益表）'!P20</f>
        <v>0</v>
      </c>
      <c r="P25" s="250">
        <f>'主表3（损益表）'!Q20</f>
        <v>0</v>
      </c>
      <c r="Q25" s="250">
        <f>'主表3（损益表）'!R20</f>
        <v>0</v>
      </c>
      <c r="R25" s="250">
        <f>'主表3（损益表）'!S20</f>
        <v>0</v>
      </c>
      <c r="S25" s="250">
        <f>'主表3（损益表）'!T20</f>
        <v>0</v>
      </c>
      <c r="T25" s="250">
        <f>'主表3（损益表）'!U20</f>
        <v>0</v>
      </c>
      <c r="U25" s="250">
        <f>'主表3（损益表）'!V20</f>
        <v>0</v>
      </c>
      <c r="V25" s="250">
        <f>'主表3（损益表）'!W20</f>
        <v>0</v>
      </c>
      <c r="W25" s="250">
        <f>'主表3（损益表）'!X20</f>
        <v>0</v>
      </c>
      <c r="X25" s="250">
        <f>'主表3（损益表）'!Y20</f>
        <v>0</v>
      </c>
      <c r="Y25" s="250">
        <f>'主表3（损益表）'!Z20</f>
        <v>0</v>
      </c>
      <c r="Z25" s="250">
        <f>'主表3（损益表）'!AA20</f>
        <v>0</v>
      </c>
      <c r="AA25" s="250">
        <f>'主表3（损益表）'!AB20</f>
        <v>0</v>
      </c>
      <c r="AB25" s="250">
        <f>'主表3（损益表）'!AC20</f>
        <v>0</v>
      </c>
      <c r="AC25" s="250">
        <f>'主表3（损益表）'!AD20</f>
        <v>0</v>
      </c>
      <c r="AD25" s="250">
        <f>'主表3（损益表）'!AE20</f>
        <v>0</v>
      </c>
      <c r="AE25" s="250">
        <f>'主表3（损益表）'!AF20</f>
        <v>0</v>
      </c>
      <c r="AF25" s="250">
        <f>'主表3（损益表）'!AG20</f>
        <v>0</v>
      </c>
      <c r="AG25" s="250">
        <f>'主表3（损益表）'!AH20</f>
        <v>0</v>
      </c>
      <c r="AH25" s="250">
        <f>'主表3（损益表）'!AI20</f>
        <v>0</v>
      </c>
      <c r="AI25" s="250">
        <f>'主表3（损益表）'!AJ20</f>
        <v>0</v>
      </c>
      <c r="AJ25" s="250">
        <f>'主表3（损益表）'!AK20</f>
        <v>0</v>
      </c>
      <c r="AK25" s="250">
        <f>'主表3（损益表）'!AL20</f>
        <v>0</v>
      </c>
      <c r="AL25" s="250">
        <f>'主表3（损益表）'!AM20</f>
        <v>0</v>
      </c>
      <c r="AM25" s="250">
        <f>'主表3（损益表）'!AN20</f>
        <v>0</v>
      </c>
      <c r="AN25" s="250">
        <f>'主表3（损益表）'!AO20</f>
        <v>0</v>
      </c>
      <c r="AO25" s="250">
        <f>'主表3（损益表）'!AP20</f>
        <v>0</v>
      </c>
      <c r="AP25" s="250">
        <f>'主表3（损益表）'!AQ20</f>
        <v>0</v>
      </c>
      <c r="AQ25" s="250">
        <f t="shared" si="3"/>
        <v>0</v>
      </c>
    </row>
    <row r="26" spans="1:46" s="268" customFormat="1" ht="18" customHeight="1" outlineLevel="1" x14ac:dyDescent="0.15">
      <c r="A26" s="282" t="s">
        <v>672</v>
      </c>
      <c r="B26" s="270" t="s">
        <v>25</v>
      </c>
      <c r="C26" s="250">
        <f>'主表3（损益表）'!D21</f>
        <v>0</v>
      </c>
      <c r="D26" s="250">
        <f>'主表3（损益表）'!E21</f>
        <v>0</v>
      </c>
      <c r="E26" s="250">
        <f>'主表3（损益表）'!F21</f>
        <v>0</v>
      </c>
      <c r="F26" s="250">
        <f>'主表3（损益表）'!G21</f>
        <v>0</v>
      </c>
      <c r="G26" s="250">
        <f>'主表3（损益表）'!H21</f>
        <v>0</v>
      </c>
      <c r="H26" s="250">
        <f>'主表3（损益表）'!I21</f>
        <v>0</v>
      </c>
      <c r="I26" s="250">
        <f>'主表3（损益表）'!J21</f>
        <v>0</v>
      </c>
      <c r="J26" s="250">
        <f>'主表3（损益表）'!K21</f>
        <v>0</v>
      </c>
      <c r="K26" s="250">
        <f>'主表3（损益表）'!L21</f>
        <v>0</v>
      </c>
      <c r="L26" s="250">
        <f>'主表3（损益表）'!M21</f>
        <v>0</v>
      </c>
      <c r="M26" s="250">
        <f>'主表3（损益表）'!N21</f>
        <v>0</v>
      </c>
      <c r="N26" s="250">
        <f>'主表3（损益表）'!O21</f>
        <v>0</v>
      </c>
      <c r="O26" s="250">
        <f>'主表3（损益表）'!P21</f>
        <v>0</v>
      </c>
      <c r="P26" s="250">
        <f>'主表3（损益表）'!Q21</f>
        <v>0</v>
      </c>
      <c r="Q26" s="250">
        <f>'主表3（损益表）'!R21</f>
        <v>0</v>
      </c>
      <c r="R26" s="250">
        <f>'主表3（损益表）'!S21</f>
        <v>0</v>
      </c>
      <c r="S26" s="250">
        <f>'主表3（损益表）'!T21</f>
        <v>0</v>
      </c>
      <c r="T26" s="250">
        <f>'主表3（损益表）'!U21</f>
        <v>0</v>
      </c>
      <c r="U26" s="250">
        <f>'主表3（损益表）'!V21</f>
        <v>0</v>
      </c>
      <c r="V26" s="250">
        <f>'主表3（损益表）'!W21</f>
        <v>0</v>
      </c>
      <c r="W26" s="250">
        <f>'主表3（损益表）'!X21</f>
        <v>0</v>
      </c>
      <c r="X26" s="250">
        <f>'主表3（损益表）'!Y21</f>
        <v>0</v>
      </c>
      <c r="Y26" s="250">
        <f>'主表3（损益表）'!Z21</f>
        <v>0</v>
      </c>
      <c r="Z26" s="250">
        <f>'主表3（损益表）'!AA21</f>
        <v>0</v>
      </c>
      <c r="AA26" s="250">
        <f>'主表3（损益表）'!AB21</f>
        <v>0</v>
      </c>
      <c r="AB26" s="250">
        <f>'主表3（损益表）'!AC21</f>
        <v>0</v>
      </c>
      <c r="AC26" s="250">
        <f>'主表3（损益表）'!AD21</f>
        <v>0</v>
      </c>
      <c r="AD26" s="250">
        <f>'主表3（损益表）'!AE21</f>
        <v>0</v>
      </c>
      <c r="AE26" s="250">
        <f>'主表3（损益表）'!AF21</f>
        <v>0</v>
      </c>
      <c r="AF26" s="250">
        <f>'主表3（损益表）'!AG21</f>
        <v>0</v>
      </c>
      <c r="AG26" s="250">
        <f>'主表3（损益表）'!AH21</f>
        <v>0</v>
      </c>
      <c r="AH26" s="250">
        <f>'主表3（损益表）'!AI21</f>
        <v>0</v>
      </c>
      <c r="AI26" s="250">
        <f>'主表3（损益表）'!AJ21</f>
        <v>0</v>
      </c>
      <c r="AJ26" s="250">
        <f>'主表3（损益表）'!AK21</f>
        <v>0</v>
      </c>
      <c r="AK26" s="250">
        <f>'主表3（损益表）'!AL21</f>
        <v>0</v>
      </c>
      <c r="AL26" s="250">
        <f>'主表3（损益表）'!AM21</f>
        <v>0</v>
      </c>
      <c r="AM26" s="250">
        <f>'主表3（损益表）'!AN21</f>
        <v>0</v>
      </c>
      <c r="AN26" s="250">
        <f>'主表3（损益表）'!AO21</f>
        <v>0</v>
      </c>
      <c r="AO26" s="250">
        <f>'主表3（损益表）'!AP21</f>
        <v>0</v>
      </c>
      <c r="AP26" s="250">
        <f>'主表3（损益表）'!AQ21</f>
        <v>0</v>
      </c>
      <c r="AQ26" s="250">
        <f t="shared" si="3"/>
        <v>0</v>
      </c>
    </row>
    <row r="27" spans="1:46" s="268" customFormat="1" ht="18" customHeight="1" outlineLevel="1" x14ac:dyDescent="0.15">
      <c r="A27" s="282" t="s">
        <v>292</v>
      </c>
      <c r="B27" s="270" t="s">
        <v>33</v>
      </c>
      <c r="C27" s="250"/>
      <c r="D27" s="250"/>
      <c r="E27" s="250"/>
      <c r="F27" s="250"/>
      <c r="G27" s="250"/>
      <c r="H27" s="250"/>
      <c r="I27" s="250"/>
      <c r="J27" s="250"/>
      <c r="K27" s="250"/>
      <c r="L27" s="250"/>
      <c r="M27" s="250"/>
      <c r="N27" s="250"/>
      <c r="O27" s="250"/>
      <c r="P27" s="250"/>
      <c r="Q27" s="250"/>
      <c r="R27" s="250"/>
      <c r="S27" s="250"/>
      <c r="T27" s="250"/>
      <c r="U27" s="250"/>
      <c r="V27" s="250"/>
      <c r="W27" s="250"/>
      <c r="X27" s="250"/>
      <c r="Y27" s="250"/>
      <c r="Z27" s="250"/>
      <c r="AA27" s="250"/>
      <c r="AB27" s="250"/>
      <c r="AC27" s="250"/>
      <c r="AD27" s="250"/>
      <c r="AE27" s="250"/>
      <c r="AF27" s="250"/>
      <c r="AG27" s="250"/>
      <c r="AH27" s="250"/>
      <c r="AI27" s="250"/>
      <c r="AJ27" s="250"/>
      <c r="AK27" s="250"/>
      <c r="AL27" s="250"/>
      <c r="AM27" s="250"/>
      <c r="AN27" s="250"/>
      <c r="AO27" s="250"/>
      <c r="AP27" s="250"/>
      <c r="AQ27" s="250">
        <f t="shared" si="3"/>
        <v>0</v>
      </c>
    </row>
    <row r="28" spans="1:46" ht="18" customHeight="1" x14ac:dyDescent="0.15">
      <c r="A28" s="235">
        <v>3</v>
      </c>
      <c r="B28" s="235" t="s">
        <v>463</v>
      </c>
      <c r="C28" s="267">
        <f>C5-C17</f>
        <v>0</v>
      </c>
      <c r="D28" s="267">
        <f t="shared" ref="D28:AP28" si="7">D5-D17</f>
        <v>0</v>
      </c>
      <c r="E28" s="267">
        <f t="shared" si="7"/>
        <v>0</v>
      </c>
      <c r="F28" s="267">
        <f t="shared" si="7"/>
        <v>29794</v>
      </c>
      <c r="G28" s="267">
        <f t="shared" si="7"/>
        <v>34703</v>
      </c>
      <c r="H28" s="267">
        <f t="shared" si="7"/>
        <v>44544</v>
      </c>
      <c r="I28" s="267">
        <f t="shared" si="7"/>
        <v>43872</v>
      </c>
      <c r="J28" s="267">
        <f t="shared" si="7"/>
        <v>26584</v>
      </c>
      <c r="K28" s="267">
        <f t="shared" si="7"/>
        <v>27704</v>
      </c>
      <c r="L28" s="267">
        <f t="shared" si="7"/>
        <v>15019</v>
      </c>
      <c r="M28" s="267">
        <f t="shared" si="7"/>
        <v>8409</v>
      </c>
      <c r="N28" s="267">
        <f t="shared" si="7"/>
        <v>4011</v>
      </c>
      <c r="O28" s="267">
        <f t="shared" si="7"/>
        <v>393</v>
      </c>
      <c r="P28" s="267">
        <f t="shared" si="7"/>
        <v>4003</v>
      </c>
      <c r="Q28" s="267">
        <f t="shared" si="7"/>
        <v>0</v>
      </c>
      <c r="R28" s="267">
        <f t="shared" si="7"/>
        <v>0</v>
      </c>
      <c r="S28" s="267">
        <f t="shared" si="7"/>
        <v>0</v>
      </c>
      <c r="T28" s="267">
        <f t="shared" si="7"/>
        <v>0</v>
      </c>
      <c r="U28" s="267">
        <f t="shared" si="7"/>
        <v>0</v>
      </c>
      <c r="V28" s="267">
        <f t="shared" si="7"/>
        <v>0</v>
      </c>
      <c r="W28" s="267">
        <f t="shared" si="7"/>
        <v>0</v>
      </c>
      <c r="X28" s="267">
        <f t="shared" si="7"/>
        <v>0</v>
      </c>
      <c r="Y28" s="267">
        <f t="shared" si="7"/>
        <v>0</v>
      </c>
      <c r="Z28" s="267">
        <f t="shared" si="7"/>
        <v>0</v>
      </c>
      <c r="AA28" s="267">
        <f t="shared" si="7"/>
        <v>0</v>
      </c>
      <c r="AB28" s="267">
        <f t="shared" si="7"/>
        <v>0</v>
      </c>
      <c r="AC28" s="267">
        <f t="shared" si="7"/>
        <v>0</v>
      </c>
      <c r="AD28" s="267">
        <f t="shared" si="7"/>
        <v>0</v>
      </c>
      <c r="AE28" s="267">
        <f t="shared" si="7"/>
        <v>0</v>
      </c>
      <c r="AF28" s="267">
        <f t="shared" si="7"/>
        <v>0</v>
      </c>
      <c r="AG28" s="267">
        <f t="shared" si="7"/>
        <v>0</v>
      </c>
      <c r="AH28" s="267">
        <f t="shared" si="7"/>
        <v>0</v>
      </c>
      <c r="AI28" s="267">
        <f t="shared" si="7"/>
        <v>0</v>
      </c>
      <c r="AJ28" s="267">
        <f t="shared" si="7"/>
        <v>0</v>
      </c>
      <c r="AK28" s="267">
        <f t="shared" si="7"/>
        <v>0</v>
      </c>
      <c r="AL28" s="267">
        <f t="shared" si="7"/>
        <v>0</v>
      </c>
      <c r="AM28" s="267">
        <f t="shared" si="7"/>
        <v>0</v>
      </c>
      <c r="AN28" s="267">
        <f t="shared" si="7"/>
        <v>0</v>
      </c>
      <c r="AO28" s="267">
        <f t="shared" si="7"/>
        <v>0</v>
      </c>
      <c r="AP28" s="267">
        <f t="shared" si="7"/>
        <v>0</v>
      </c>
      <c r="AQ28" s="267">
        <f t="shared" si="3"/>
        <v>239036</v>
      </c>
    </row>
    <row r="29" spans="1:46" s="268" customFormat="1" ht="18" customHeight="1" outlineLevel="1" x14ac:dyDescent="0.15">
      <c r="B29" s="270" t="s">
        <v>291</v>
      </c>
      <c r="C29" s="250">
        <f>C28</f>
        <v>0</v>
      </c>
      <c r="D29" s="250">
        <f>D28+C29</f>
        <v>0</v>
      </c>
      <c r="E29" s="250">
        <f t="shared" ref="E29:AP29" si="8">E28+D29</f>
        <v>0</v>
      </c>
      <c r="F29" s="250">
        <f t="shared" si="8"/>
        <v>29794</v>
      </c>
      <c r="G29" s="250">
        <f t="shared" si="8"/>
        <v>64497</v>
      </c>
      <c r="H29" s="250">
        <f t="shared" si="8"/>
        <v>109041</v>
      </c>
      <c r="I29" s="250">
        <f t="shared" si="8"/>
        <v>152913</v>
      </c>
      <c r="J29" s="250">
        <f t="shared" si="8"/>
        <v>179497</v>
      </c>
      <c r="K29" s="250">
        <f t="shared" si="8"/>
        <v>207201</v>
      </c>
      <c r="L29" s="250">
        <f t="shared" si="8"/>
        <v>222220</v>
      </c>
      <c r="M29" s="250">
        <f t="shared" si="8"/>
        <v>230629</v>
      </c>
      <c r="N29" s="250">
        <f t="shared" si="8"/>
        <v>234640</v>
      </c>
      <c r="O29" s="250">
        <f t="shared" si="8"/>
        <v>235033</v>
      </c>
      <c r="P29" s="250">
        <f t="shared" si="8"/>
        <v>239036</v>
      </c>
      <c r="Q29" s="250">
        <f t="shared" si="8"/>
        <v>239036</v>
      </c>
      <c r="R29" s="250">
        <f t="shared" si="8"/>
        <v>239036</v>
      </c>
      <c r="S29" s="250">
        <f t="shared" si="8"/>
        <v>239036</v>
      </c>
      <c r="T29" s="250">
        <f t="shared" si="8"/>
        <v>239036</v>
      </c>
      <c r="U29" s="250">
        <f t="shared" si="8"/>
        <v>239036</v>
      </c>
      <c r="V29" s="250">
        <f t="shared" si="8"/>
        <v>239036</v>
      </c>
      <c r="W29" s="250">
        <f t="shared" si="8"/>
        <v>239036</v>
      </c>
      <c r="X29" s="250">
        <f t="shared" si="8"/>
        <v>239036</v>
      </c>
      <c r="Y29" s="250">
        <f t="shared" si="8"/>
        <v>239036</v>
      </c>
      <c r="Z29" s="250">
        <f t="shared" si="8"/>
        <v>239036</v>
      </c>
      <c r="AA29" s="250">
        <f t="shared" si="8"/>
        <v>239036</v>
      </c>
      <c r="AB29" s="250">
        <f t="shared" si="8"/>
        <v>239036</v>
      </c>
      <c r="AC29" s="250">
        <f t="shared" si="8"/>
        <v>239036</v>
      </c>
      <c r="AD29" s="250">
        <f t="shared" si="8"/>
        <v>239036</v>
      </c>
      <c r="AE29" s="250">
        <f t="shared" si="8"/>
        <v>239036</v>
      </c>
      <c r="AF29" s="250">
        <f t="shared" si="8"/>
        <v>239036</v>
      </c>
      <c r="AG29" s="250">
        <f t="shared" si="8"/>
        <v>239036</v>
      </c>
      <c r="AH29" s="250">
        <f t="shared" si="8"/>
        <v>239036</v>
      </c>
      <c r="AI29" s="250">
        <f t="shared" si="8"/>
        <v>239036</v>
      </c>
      <c r="AJ29" s="250">
        <f t="shared" si="8"/>
        <v>239036</v>
      </c>
      <c r="AK29" s="250">
        <f t="shared" si="8"/>
        <v>239036</v>
      </c>
      <c r="AL29" s="250">
        <f t="shared" si="8"/>
        <v>239036</v>
      </c>
      <c r="AM29" s="250">
        <f t="shared" si="8"/>
        <v>239036</v>
      </c>
      <c r="AN29" s="250">
        <f t="shared" si="8"/>
        <v>239036</v>
      </c>
      <c r="AO29" s="250">
        <f t="shared" si="8"/>
        <v>239036</v>
      </c>
      <c r="AP29" s="250">
        <f t="shared" si="8"/>
        <v>239036</v>
      </c>
    </row>
    <row r="30" spans="1:46" s="268" customFormat="1" ht="18" customHeight="1" x14ac:dyDescent="0.15"/>
    <row r="31" spans="1:46" s="268" customFormat="1" ht="18" customHeight="1" x14ac:dyDescent="0.15"/>
    <row r="32" spans="1:46" s="268" customFormat="1" ht="18" customHeight="1" x14ac:dyDescent="0.15"/>
    <row r="33" s="268" customFormat="1" ht="18" customHeight="1" x14ac:dyDescent="0.15"/>
    <row r="34" s="268" customFormat="1" ht="18" customHeight="1" x14ac:dyDescent="0.15"/>
    <row r="35" s="268" customFormat="1" ht="18" customHeight="1" x14ac:dyDescent="0.15"/>
    <row r="36" s="268" customFormat="1" ht="18" customHeight="1" x14ac:dyDescent="0.15"/>
    <row r="37" s="268" customFormat="1" ht="18" customHeight="1" x14ac:dyDescent="0.15"/>
    <row r="38" s="268" customFormat="1" ht="18" customHeight="1" x14ac:dyDescent="0.15"/>
  </sheetData>
  <customSheetViews>
    <customSheetView guid="{62777320-11E7-11D4-8B3D-00E098726125}" scale="75" showRuler="0" topLeftCell="A18">
      <selection activeCell="I28" sqref="A1:I28"/>
      <pageMargins left="0.74803149606299213" right="0.74803149606299213" top="0.98425196850393704" bottom="0.98425196850393704" header="0.51181102362204722" footer="0.51181102362204722"/>
      <printOptions horizontalCentered="1" verticalCentered="1"/>
      <pageSetup paperSize="9" scale="80" orientation="portrait"/>
      <headerFooter alignWithMargins="0"/>
    </customSheetView>
    <customSheetView guid="{33FE80C0-0EDF-11D4-8B3D-001060002050}" scale="75" showPageBreaks="1" showRuler="0" topLeftCell="A18">
      <selection activeCell="I28" sqref="A1:I28"/>
      <pageMargins left="0.74803149606299213" right="0.74803149606299213" top="0.98425196850393704" bottom="0.98425196850393704" header="0.51181102362204722" footer="0.51181102362204722"/>
      <printOptions horizontalCentered="1" verticalCentered="1"/>
      <pageSetup paperSize="9" scale="80" orientation="portrait"/>
      <headerFooter alignWithMargins="0"/>
    </customSheetView>
  </customSheetViews>
  <mergeCells count="12">
    <mergeCell ref="O3:R3"/>
    <mergeCell ref="S3:V3"/>
    <mergeCell ref="B3:B4"/>
    <mergeCell ref="A3:A4"/>
    <mergeCell ref="C3:F3"/>
    <mergeCell ref="G3:J3"/>
    <mergeCell ref="K3:N3"/>
    <mergeCell ref="W3:Z3"/>
    <mergeCell ref="AA3:AD3"/>
    <mergeCell ref="AE3:AH3"/>
    <mergeCell ref="AI3:AL3"/>
    <mergeCell ref="AM3:AP3"/>
  </mergeCells>
  <phoneticPr fontId="2" type="noConversion"/>
  <printOptions horizontalCentered="1" verticalCentered="1"/>
  <pageMargins left="0.74803149606299213" right="0.62" top="0.98425196850393704" bottom="0.98425196850393704" header="0.51181102362204722" footer="0.51181102362204722"/>
  <pageSetup paperSize="9" scale="2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3" tint="0.59999389629810485"/>
  </sheetPr>
  <dimension ref="A1:T29"/>
  <sheetViews>
    <sheetView view="pageBreakPreview" zoomScale="115" zoomScaleNormal="100" zoomScaleSheetLayoutView="115" workbookViewId="0">
      <selection activeCell="F18" sqref="F18"/>
    </sheetView>
  </sheetViews>
  <sheetFormatPr defaultColWidth="11" defaultRowHeight="18" x14ac:dyDescent="0.3"/>
  <cols>
    <col min="1" max="1" width="4.625" style="26" customWidth="1"/>
    <col min="2" max="2" width="22.125" style="26" customWidth="1"/>
    <col min="3" max="17" width="9.625" style="26" customWidth="1"/>
    <col min="18" max="18" width="11" style="26" customWidth="1"/>
    <col min="19" max="19" width="8.875" style="26" customWidth="1"/>
    <col min="20" max="16384" width="11" style="26"/>
  </cols>
  <sheetData>
    <row r="1" spans="1:20" ht="24" customHeight="1" x14ac:dyDescent="0.3">
      <c r="A1" s="831" t="s">
        <v>12</v>
      </c>
      <c r="B1" s="831"/>
      <c r="C1" s="831"/>
      <c r="D1" s="831"/>
      <c r="E1" s="831"/>
      <c r="F1" s="831"/>
      <c r="G1" s="831"/>
      <c r="H1" s="831"/>
      <c r="I1" s="831"/>
      <c r="J1" s="831"/>
      <c r="K1" s="831"/>
      <c r="L1" s="831"/>
      <c r="M1" s="831"/>
      <c r="N1" s="831"/>
      <c r="O1" s="831"/>
      <c r="P1" s="831"/>
      <c r="Q1" s="831"/>
      <c r="R1" s="831"/>
      <c r="S1" s="46"/>
    </row>
    <row r="2" spans="1:20" ht="49.5" customHeight="1" x14ac:dyDescent="0.3">
      <c r="A2" s="27" t="s">
        <v>175</v>
      </c>
      <c r="B2" s="27"/>
      <c r="C2" s="832" t="str">
        <f>基础数据!C5</f>
        <v>北京市密云区檀营乡6005地块R2二类居住用地（编号：京土整储挂（密）[2021]026号）居住项目</v>
      </c>
      <c r="D2" s="832"/>
      <c r="E2" s="832"/>
      <c r="F2" s="832"/>
      <c r="G2" s="832"/>
      <c r="H2" s="832"/>
      <c r="I2" s="832"/>
      <c r="J2" s="832"/>
      <c r="K2" s="832"/>
      <c r="L2" s="832"/>
      <c r="M2" s="832"/>
      <c r="N2" s="832"/>
      <c r="O2" s="832"/>
      <c r="P2" s="832"/>
      <c r="Q2" s="832"/>
      <c r="R2" s="832"/>
      <c r="S2" s="46"/>
    </row>
    <row r="3" spans="1:20" ht="24" customHeight="1" x14ac:dyDescent="0.3">
      <c r="A3" s="28" t="s">
        <v>9</v>
      </c>
      <c r="B3" s="28" t="s">
        <v>81</v>
      </c>
      <c r="C3" s="833" t="str">
        <f>'主表1（成本）'!C3</f>
        <v>2021年</v>
      </c>
      <c r="D3" s="834"/>
      <c r="E3" s="834"/>
      <c r="F3" s="835"/>
      <c r="G3" s="833" t="str">
        <f>'主表1（成本）'!G3</f>
        <v>2022年</v>
      </c>
      <c r="H3" s="834"/>
      <c r="I3" s="834"/>
      <c r="J3" s="835"/>
      <c r="K3" s="833" t="str">
        <f>'主表1（成本）'!K3</f>
        <v>2023年</v>
      </c>
      <c r="L3" s="834"/>
      <c r="M3" s="834"/>
      <c r="N3" s="835"/>
      <c r="O3" s="833" t="str">
        <f>'主表1（成本）'!O3</f>
        <v>2024年</v>
      </c>
      <c r="P3" s="834"/>
      <c r="Q3" s="834"/>
      <c r="R3" s="835"/>
      <c r="S3" s="28" t="s">
        <v>34</v>
      </c>
    </row>
    <row r="4" spans="1:20" ht="24" customHeight="1" x14ac:dyDescent="0.3">
      <c r="A4" s="28"/>
      <c r="B4" s="28"/>
      <c r="C4" s="28" t="str">
        <f>'主表1（成本）'!C4</f>
        <v>Q1</v>
      </c>
      <c r="D4" s="28" t="str">
        <f>'主表1（成本）'!D4</f>
        <v>Q2</v>
      </c>
      <c r="E4" s="28" t="str">
        <f>'主表1（成本）'!E4</f>
        <v>Q3</v>
      </c>
      <c r="F4" s="28" t="str">
        <f>'主表1（成本）'!F4</f>
        <v>Q4</v>
      </c>
      <c r="G4" s="28" t="str">
        <f>'主表1（成本）'!G4</f>
        <v>Q1</v>
      </c>
      <c r="H4" s="28" t="str">
        <f>'主表1（成本）'!H4</f>
        <v>Q2</v>
      </c>
      <c r="I4" s="28" t="str">
        <f>'主表1（成本）'!I4</f>
        <v>Q3</v>
      </c>
      <c r="J4" s="28" t="str">
        <f>'主表1（成本）'!J4</f>
        <v>Q4</v>
      </c>
      <c r="K4" s="28" t="str">
        <f>'主表1（成本）'!K4</f>
        <v>Q1</v>
      </c>
      <c r="L4" s="28" t="str">
        <f>'主表1（成本）'!L4</f>
        <v>Q2</v>
      </c>
      <c r="M4" s="28" t="str">
        <f>'主表1（成本）'!M4</f>
        <v>Q3</v>
      </c>
      <c r="N4" s="28" t="str">
        <f>'主表1（成本）'!N4</f>
        <v>Q4</v>
      </c>
      <c r="O4" s="28" t="str">
        <f>'主表1（成本）'!O4</f>
        <v>Q1</v>
      </c>
      <c r="P4" s="28" t="str">
        <f>'主表1（成本）'!P4</f>
        <v>Q2</v>
      </c>
      <c r="Q4" s="28" t="str">
        <f>'主表1（成本）'!Q4</f>
        <v>Q3</v>
      </c>
      <c r="R4" s="28" t="str">
        <f>'主表1（成本）'!R4</f>
        <v>Q4</v>
      </c>
      <c r="S4" s="28"/>
    </row>
    <row r="5" spans="1:20" ht="24" customHeight="1" x14ac:dyDescent="0.3">
      <c r="A5" s="28">
        <v>1</v>
      </c>
      <c r="B5" s="28" t="s">
        <v>13</v>
      </c>
      <c r="C5" s="29" t="e">
        <f t="shared" ref="C5:R5" si="0">SUM(C6:C9)</f>
        <v>#REF!</v>
      </c>
      <c r="D5" s="29" t="e">
        <f t="shared" si="0"/>
        <v>#REF!</v>
      </c>
      <c r="E5" s="29" t="e">
        <f t="shared" si="0"/>
        <v>#REF!</v>
      </c>
      <c r="F5" s="29" t="e">
        <f t="shared" si="0"/>
        <v>#REF!</v>
      </c>
      <c r="G5" s="29" t="e">
        <f t="shared" si="0"/>
        <v>#REF!</v>
      </c>
      <c r="H5" s="29" t="e">
        <f t="shared" si="0"/>
        <v>#REF!</v>
      </c>
      <c r="I5" s="29" t="e">
        <f t="shared" si="0"/>
        <v>#REF!</v>
      </c>
      <c r="J5" s="29" t="e">
        <f t="shared" si="0"/>
        <v>#REF!</v>
      </c>
      <c r="K5" s="29" t="e">
        <f t="shared" si="0"/>
        <v>#REF!</v>
      </c>
      <c r="L5" s="29" t="e">
        <f t="shared" si="0"/>
        <v>#REF!</v>
      </c>
      <c r="M5" s="29" t="e">
        <f t="shared" si="0"/>
        <v>#REF!</v>
      </c>
      <c r="N5" s="29" t="e">
        <f t="shared" si="0"/>
        <v>#REF!</v>
      </c>
      <c r="O5" s="29" t="e">
        <f t="shared" si="0"/>
        <v>#REF!</v>
      </c>
      <c r="P5" s="29" t="e">
        <f t="shared" si="0"/>
        <v>#REF!</v>
      </c>
      <c r="Q5" s="29" t="e">
        <f t="shared" si="0"/>
        <v>#REF!</v>
      </c>
      <c r="R5" s="29" t="e">
        <f t="shared" si="0"/>
        <v>#REF!</v>
      </c>
      <c r="S5" s="29" t="e">
        <f t="shared" ref="S5:S17" si="1">SUM(C5:R5)</f>
        <v>#REF!</v>
      </c>
    </row>
    <row r="6" spans="1:20" ht="24" customHeight="1" x14ac:dyDescent="0.3">
      <c r="A6" s="28">
        <v>2</v>
      </c>
      <c r="B6" s="28" t="s">
        <v>2</v>
      </c>
      <c r="C6" s="47" t="e">
        <f>ROUND('底表1（销售）'!F27,0)*(1+$C$29)</f>
        <v>#REF!</v>
      </c>
      <c r="D6" s="47" t="e">
        <f>ROUND('底表1（销售）'!G27,0)*(1+$C$29)</f>
        <v>#REF!</v>
      </c>
      <c r="E6" s="47" t="e">
        <f>ROUND('底表1（销售）'!H27,0)*(1+$C$29)</f>
        <v>#REF!</v>
      </c>
      <c r="F6" s="47" t="e">
        <f>ROUND('底表1（销售）'!I27,0)*(1+$C$29)</f>
        <v>#REF!</v>
      </c>
      <c r="G6" s="47" t="e">
        <f>ROUND('底表1（销售）'!J27,0)*(1+$C$29)</f>
        <v>#REF!</v>
      </c>
      <c r="H6" s="47" t="e">
        <f>ROUND('底表1（销售）'!K27,0)*(1+$C$29)</f>
        <v>#REF!</v>
      </c>
      <c r="I6" s="47" t="e">
        <f>ROUND('底表1（销售）'!L27,0)*(1+$C$29)</f>
        <v>#REF!</v>
      </c>
      <c r="J6" s="47" t="e">
        <f>ROUND('底表1（销售）'!M27,0)*(1+$C$29)</f>
        <v>#REF!</v>
      </c>
      <c r="K6" s="47" t="e">
        <f>ROUND('底表1（销售）'!N27,0)*(1+$C$29)</f>
        <v>#REF!</v>
      </c>
      <c r="L6" s="47" t="e">
        <f>ROUND('底表1（销售）'!O27,0)*(1+$C$29)</f>
        <v>#REF!</v>
      </c>
      <c r="M6" s="47" t="e">
        <f>ROUND('底表1（销售）'!P27,0)*(1+$C$29)</f>
        <v>#REF!</v>
      </c>
      <c r="N6" s="47" t="e">
        <f>ROUND('底表1（销售）'!Q27,0)*(1+$C$29)</f>
        <v>#REF!</v>
      </c>
      <c r="O6" s="47" t="e">
        <f>ROUND('底表1（销售）'!R27,0)*(1+$C$29)</f>
        <v>#REF!</v>
      </c>
      <c r="P6" s="47" t="e">
        <f>ROUND('底表1（销售）'!S27,0)*(1+$C$29)</f>
        <v>#REF!</v>
      </c>
      <c r="Q6" s="47" t="e">
        <f>ROUND('底表1（销售）'!T27,0)*(1+$C$29)</f>
        <v>#REF!</v>
      </c>
      <c r="R6" s="47" t="e">
        <f>ROUND('底表1（销售）'!U27,0)*(1+$C$29)</f>
        <v>#REF!</v>
      </c>
      <c r="S6" s="29" t="e">
        <f t="shared" si="1"/>
        <v>#REF!</v>
      </c>
      <c r="T6" s="26" t="e">
        <f>'底表1（销售）'!BS6*(1+$C$29)</f>
        <v>#REF!</v>
      </c>
    </row>
    <row r="7" spans="1:20" ht="24" hidden="1" customHeight="1" x14ac:dyDescent="0.3">
      <c r="A7" s="28">
        <v>3</v>
      </c>
      <c r="B7" s="30" t="s">
        <v>10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>
        <f t="shared" si="1"/>
        <v>0</v>
      </c>
    </row>
    <row r="8" spans="1:20" ht="24" hidden="1" customHeight="1" x14ac:dyDescent="0.3">
      <c r="A8" s="28">
        <v>4</v>
      </c>
      <c r="B8" s="28" t="s">
        <v>14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>
        <f t="shared" si="1"/>
        <v>0</v>
      </c>
    </row>
    <row r="9" spans="1:20" ht="24" hidden="1" customHeight="1" x14ac:dyDescent="0.3">
      <c r="A9" s="28">
        <v>5</v>
      </c>
      <c r="B9" s="28" t="s">
        <v>0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>
        <f t="shared" si="1"/>
        <v>0</v>
      </c>
    </row>
    <row r="10" spans="1:20" ht="24" customHeight="1" x14ac:dyDescent="0.3">
      <c r="A10" s="28">
        <v>6</v>
      </c>
      <c r="B10" s="28" t="s">
        <v>15</v>
      </c>
      <c r="C10" s="29" t="e">
        <f t="shared" ref="C10:R10" si="2">SUM(C11:C16)</f>
        <v>#REF!</v>
      </c>
      <c r="D10" s="29" t="e">
        <f t="shared" si="2"/>
        <v>#REF!</v>
      </c>
      <c r="E10" s="29" t="e">
        <f t="shared" si="2"/>
        <v>#REF!</v>
      </c>
      <c r="F10" s="29" t="e">
        <f t="shared" si="2"/>
        <v>#REF!</v>
      </c>
      <c r="G10" s="29" t="e">
        <f t="shared" si="2"/>
        <v>#REF!</v>
      </c>
      <c r="H10" s="29" t="e">
        <f t="shared" si="2"/>
        <v>#REF!</v>
      </c>
      <c r="I10" s="29" t="e">
        <f t="shared" si="2"/>
        <v>#REF!</v>
      </c>
      <c r="J10" s="29" t="e">
        <f t="shared" si="2"/>
        <v>#REF!</v>
      </c>
      <c r="K10" s="29" t="e">
        <f t="shared" si="2"/>
        <v>#REF!</v>
      </c>
      <c r="L10" s="29" t="e">
        <f t="shared" si="2"/>
        <v>#REF!</v>
      </c>
      <c r="M10" s="29" t="e">
        <f t="shared" si="2"/>
        <v>#REF!</v>
      </c>
      <c r="N10" s="29" t="e">
        <f t="shared" si="2"/>
        <v>#REF!</v>
      </c>
      <c r="O10" s="29" t="e">
        <f t="shared" si="2"/>
        <v>#REF!</v>
      </c>
      <c r="P10" s="29" t="e">
        <f t="shared" si="2"/>
        <v>#REF!</v>
      </c>
      <c r="Q10" s="29" t="e">
        <f t="shared" si="2"/>
        <v>#REF!</v>
      </c>
      <c r="R10" s="29" t="e">
        <f t="shared" si="2"/>
        <v>#REF!</v>
      </c>
      <c r="S10" s="29" t="e">
        <f t="shared" si="1"/>
        <v>#REF!</v>
      </c>
    </row>
    <row r="11" spans="1:20" ht="24" customHeight="1" x14ac:dyDescent="0.3">
      <c r="A11" s="28">
        <v>7</v>
      </c>
      <c r="B11" s="28" t="s">
        <v>16</v>
      </c>
      <c r="C11" s="29">
        <f>ROUND('主表1（成本）'!C39*$C$25,0)</f>
        <v>0</v>
      </c>
      <c r="D11" s="29">
        <f>ROUND('主表1（成本）'!D39*$C$25,0)</f>
        <v>179014</v>
      </c>
      <c r="E11" s="29">
        <f>ROUND('主表1（成本）'!E39*$C$25,0)</f>
        <v>24438</v>
      </c>
      <c r="F11" s="29">
        <f>ROUND('主表1（成本）'!F39*$C$25,0)</f>
        <v>14028</v>
      </c>
      <c r="G11" s="29">
        <f>ROUND('主表1（成本）'!G39*$C$25,0)</f>
        <v>9527</v>
      </c>
      <c r="H11" s="29">
        <f>ROUND('主表1（成本）'!H39*$C$25,0)</f>
        <v>9716</v>
      </c>
      <c r="I11" s="29">
        <f>ROUND('主表1（成本）'!I39*$C$25,0)</f>
        <v>9680</v>
      </c>
      <c r="J11" s="29">
        <f>ROUND('主表1（成本）'!J39*$C$25,0)</f>
        <v>9394</v>
      </c>
      <c r="K11" s="29">
        <f>ROUND('主表1（成本）'!K39*$C$25,0)</f>
        <v>7578</v>
      </c>
      <c r="L11" s="29">
        <f>ROUND('主表1（成本）'!L39*$C$25,0)</f>
        <v>7302</v>
      </c>
      <c r="M11" s="29">
        <f>ROUND('主表1（成本）'!M39*$C$25,0)</f>
        <v>5413</v>
      </c>
      <c r="N11" s="29">
        <f>ROUND('主表1（成本）'!N39*$C$25,0)</f>
        <v>5381</v>
      </c>
      <c r="O11" s="29">
        <f>ROUND('主表1（成本）'!O39*$C$25,0)</f>
        <v>4367</v>
      </c>
      <c r="P11" s="29">
        <f>ROUND('主表1（成本）'!P39*$C$25,0)</f>
        <v>4285</v>
      </c>
      <c r="Q11" s="29">
        <f>ROUND('主表1（成本）'!Q39*$C$25,0)</f>
        <v>0</v>
      </c>
      <c r="R11" s="29">
        <f>ROUND('主表1（成本）'!R39*$C$25,0)</f>
        <v>0</v>
      </c>
      <c r="S11" s="29">
        <f t="shared" si="1"/>
        <v>290123</v>
      </c>
      <c r="T11" s="26">
        <f>'主表1（成本）'!B39</f>
        <v>290123</v>
      </c>
    </row>
    <row r="12" spans="1:20" ht="24" hidden="1" customHeight="1" x14ac:dyDescent="0.3">
      <c r="A12" s="28">
        <v>8</v>
      </c>
      <c r="B12" s="28" t="s">
        <v>17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>
        <f t="shared" si="1"/>
        <v>0</v>
      </c>
    </row>
    <row r="13" spans="1:20" ht="24" customHeight="1" x14ac:dyDescent="0.3">
      <c r="A13" s="28">
        <v>9</v>
      </c>
      <c r="B13" s="28" t="s">
        <v>137</v>
      </c>
      <c r="C13" s="29" t="e">
        <f>ROUND('底表1（销售）'!F28,0)*(1+$C$29)</f>
        <v>#REF!</v>
      </c>
      <c r="D13" s="29" t="e">
        <f>ROUND('底表1（销售）'!G28,0)*(1+$C$29)</f>
        <v>#REF!</v>
      </c>
      <c r="E13" s="29" t="e">
        <f>ROUND('底表1（销售）'!H28,0)*(1+$C$29)</f>
        <v>#REF!</v>
      </c>
      <c r="F13" s="29" t="e">
        <f>ROUND('底表1（销售）'!I28,0)*(1+$C$29)</f>
        <v>#REF!</v>
      </c>
      <c r="G13" s="29" t="e">
        <f>ROUND('底表1（销售）'!J28,0)*(1+$C$29)</f>
        <v>#REF!</v>
      </c>
      <c r="H13" s="29" t="e">
        <f>ROUND('底表1（销售）'!K28,0)*(1+$C$29)</f>
        <v>#REF!</v>
      </c>
      <c r="I13" s="29" t="e">
        <f>ROUND('底表1（销售）'!L28,0)*(1+$C$29)</f>
        <v>#REF!</v>
      </c>
      <c r="J13" s="29" t="e">
        <f>ROUND('底表1（销售）'!M28,0)*(1+$C$29)</f>
        <v>#REF!</v>
      </c>
      <c r="K13" s="29" t="e">
        <f>ROUND('底表1（销售）'!N28,0)*(1+$C$29)</f>
        <v>#REF!</v>
      </c>
      <c r="L13" s="29" t="e">
        <f>ROUND('底表1（销售）'!O28,0)*(1+$C$29)</f>
        <v>#REF!</v>
      </c>
      <c r="M13" s="29" t="e">
        <f>ROUND('底表1（销售）'!P28,0)*(1+$C$29)</f>
        <v>#REF!</v>
      </c>
      <c r="N13" s="29" t="e">
        <f>ROUND('底表1（销售）'!Q28,0)*(1+$C$29)</f>
        <v>#REF!</v>
      </c>
      <c r="O13" s="29" t="e">
        <f>ROUND('底表1（销售）'!R28,0)*(1+$C$29)</f>
        <v>#REF!</v>
      </c>
      <c r="P13" s="29" t="e">
        <f>ROUND('底表1（销售）'!S28,0)*(1+$C$29)</f>
        <v>#REF!</v>
      </c>
      <c r="Q13" s="29" t="e">
        <f>ROUND('底表1（销售）'!T28,0)*(1+$C$29)</f>
        <v>#REF!</v>
      </c>
      <c r="R13" s="29" t="e">
        <f>ROUND('底表1（销售）'!U28,0)*(1+$C$29)</f>
        <v>#REF!</v>
      </c>
      <c r="S13" s="29" t="e">
        <f t="shared" si="1"/>
        <v>#REF!</v>
      </c>
      <c r="T13" s="26" t="e">
        <f>'底表1（销售）'!BS13*(1+$C$29)</f>
        <v>#REF!</v>
      </c>
    </row>
    <row r="14" spans="1:20" ht="24" customHeight="1" x14ac:dyDescent="0.3">
      <c r="A14" s="28">
        <v>10</v>
      </c>
      <c r="B14" s="28" t="s">
        <v>19</v>
      </c>
      <c r="C14" s="29">
        <f>'主表4-1（敏感性分析 销售-5%）'!C9</f>
        <v>0</v>
      </c>
      <c r="D14" s="29">
        <f>'主表4-1（敏感性分析 销售-5%）'!D9</f>
        <v>0</v>
      </c>
      <c r="E14" s="29">
        <f>'主表4-1（敏感性分析 销售-5%）'!E9</f>
        <v>0</v>
      </c>
      <c r="F14" s="29">
        <f>'主表4-1（敏感性分析 销售-5%）'!F9</f>
        <v>0</v>
      </c>
      <c r="G14" s="29">
        <f>'主表4-1（敏感性分析 销售-5%）'!G9</f>
        <v>1076</v>
      </c>
      <c r="H14" s="29">
        <f>'主表4-1（敏感性分析 销售-5%）'!H9</f>
        <v>1714</v>
      </c>
      <c r="I14" s="29">
        <f>'主表4-1（敏感性分析 销售-5%）'!I9</f>
        <v>1365</v>
      </c>
      <c r="J14" s="29">
        <f>'主表4-1（敏感性分析 销售-5%）'!J9</f>
        <v>1241</v>
      </c>
      <c r="K14" s="29">
        <f>'主表4-1（敏感性分析 销售-5%）'!K9</f>
        <v>896</v>
      </c>
      <c r="L14" s="29">
        <f>'主表4-1（敏感性分析 销售-5%）'!L9</f>
        <v>0</v>
      </c>
      <c r="M14" s="29">
        <f>'主表4-1（敏感性分析 销售-5%）'!M9</f>
        <v>0</v>
      </c>
      <c r="N14" s="29">
        <f>'主表4-1（敏感性分析 销售-5%）'!N9</f>
        <v>0</v>
      </c>
      <c r="O14" s="29">
        <f>'主表4-1（敏感性分析 销售-5%）'!O9</f>
        <v>0</v>
      </c>
      <c r="P14" s="29">
        <f>'主表4-1（敏感性分析 销售-5%）'!P9</f>
        <v>0</v>
      </c>
      <c r="Q14" s="29">
        <f>'主表4-1（敏感性分析 销售-5%）'!Q9</f>
        <v>0</v>
      </c>
      <c r="R14" s="29">
        <f>'主表4-1（敏感性分析 销售-5%）'!R9</f>
        <v>0</v>
      </c>
      <c r="S14" s="29">
        <f t="shared" si="1"/>
        <v>6292</v>
      </c>
      <c r="T14" s="26">
        <f>'主表4-1（敏感性分析 销售-5%）'!T9</f>
        <v>6292</v>
      </c>
    </row>
    <row r="15" spans="1:20" ht="24" customHeight="1" x14ac:dyDescent="0.3">
      <c r="A15" s="28">
        <v>11</v>
      </c>
      <c r="B15" s="28" t="s">
        <v>11</v>
      </c>
      <c r="C15" s="29">
        <f>'主表4-1（敏感性分析 销售-5%）'!C14</f>
        <v>0</v>
      </c>
      <c r="D15" s="29">
        <f>'主表4-1（敏感性分析 销售-5%）'!D14</f>
        <v>0</v>
      </c>
      <c r="E15" s="29">
        <f>'主表4-1（敏感性分析 销售-5%）'!E14</f>
        <v>0</v>
      </c>
      <c r="F15" s="29" t="e">
        <f>'主表4-1（敏感性分析 销售-5%）'!F14</f>
        <v>#REF!</v>
      </c>
      <c r="G15" s="29">
        <f>'主表4-1（敏感性分析 销售-5%）'!G14</f>
        <v>0</v>
      </c>
      <c r="H15" s="29">
        <f>'主表4-1（敏感性分析 销售-5%）'!H14</f>
        <v>0</v>
      </c>
      <c r="I15" s="29">
        <f>'主表4-1（敏感性分析 销售-5%）'!I14</f>
        <v>0</v>
      </c>
      <c r="J15" s="29" t="e">
        <f>'主表4-1（敏感性分析 销售-5%）'!J14</f>
        <v>#REF!</v>
      </c>
      <c r="K15" s="29">
        <f>'主表4-1（敏感性分析 销售-5%）'!K14</f>
        <v>0</v>
      </c>
      <c r="L15" s="29">
        <f>'主表4-1（敏感性分析 销售-5%）'!L14</f>
        <v>0</v>
      </c>
      <c r="M15" s="29">
        <f>'主表4-1（敏感性分析 销售-5%）'!M14</f>
        <v>0</v>
      </c>
      <c r="N15" s="29" t="e">
        <f>'主表4-1（敏感性分析 销售-5%）'!N14</f>
        <v>#REF!</v>
      </c>
      <c r="O15" s="29">
        <f>'主表4-1（敏感性分析 销售-5%）'!O14</f>
        <v>0</v>
      </c>
      <c r="P15" s="29">
        <f>'主表4-1（敏感性分析 销售-5%）'!P14</f>
        <v>0</v>
      </c>
      <c r="Q15" s="29">
        <f>'主表4-1（敏感性分析 销售-5%）'!Q14</f>
        <v>0</v>
      </c>
      <c r="R15" s="29" t="e">
        <f>'主表4-1（敏感性分析 销售-5%）'!R14</f>
        <v>#REF!</v>
      </c>
      <c r="S15" s="29" t="e">
        <f t="shared" si="1"/>
        <v>#REF!</v>
      </c>
      <c r="T15" s="26" t="e">
        <f>'主表4-1（敏感性分析 销售-5%）'!S14</f>
        <v>#REF!</v>
      </c>
    </row>
    <row r="16" spans="1:20" ht="24" customHeight="1" x14ac:dyDescent="0.3">
      <c r="A16" s="28">
        <v>12</v>
      </c>
      <c r="B16" s="28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>
        <f t="shared" si="1"/>
        <v>0</v>
      </c>
    </row>
    <row r="17" spans="1:19" ht="24" customHeight="1" x14ac:dyDescent="0.3">
      <c r="A17" s="28">
        <v>13</v>
      </c>
      <c r="B17" s="28" t="s">
        <v>20</v>
      </c>
      <c r="C17" s="29" t="e">
        <f t="shared" ref="C17:R17" si="3">C5-C10</f>
        <v>#REF!</v>
      </c>
      <c r="D17" s="29" t="e">
        <f t="shared" si="3"/>
        <v>#REF!</v>
      </c>
      <c r="E17" s="29" t="e">
        <f t="shared" si="3"/>
        <v>#REF!</v>
      </c>
      <c r="F17" s="29" t="e">
        <f t="shared" si="3"/>
        <v>#REF!</v>
      </c>
      <c r="G17" s="29" t="e">
        <f t="shared" si="3"/>
        <v>#REF!</v>
      </c>
      <c r="H17" s="29" t="e">
        <f t="shared" si="3"/>
        <v>#REF!</v>
      </c>
      <c r="I17" s="29" t="e">
        <f t="shared" si="3"/>
        <v>#REF!</v>
      </c>
      <c r="J17" s="29" t="e">
        <f t="shared" si="3"/>
        <v>#REF!</v>
      </c>
      <c r="K17" s="29" t="e">
        <f t="shared" si="3"/>
        <v>#REF!</v>
      </c>
      <c r="L17" s="29" t="e">
        <f t="shared" si="3"/>
        <v>#REF!</v>
      </c>
      <c r="M17" s="29" t="e">
        <f t="shared" si="3"/>
        <v>#REF!</v>
      </c>
      <c r="N17" s="29" t="e">
        <f t="shared" si="3"/>
        <v>#REF!</v>
      </c>
      <c r="O17" s="29" t="e">
        <f t="shared" si="3"/>
        <v>#REF!</v>
      </c>
      <c r="P17" s="29" t="e">
        <f t="shared" si="3"/>
        <v>#REF!</v>
      </c>
      <c r="Q17" s="29" t="e">
        <f t="shared" si="3"/>
        <v>#REF!</v>
      </c>
      <c r="R17" s="29" t="e">
        <f t="shared" si="3"/>
        <v>#REF!</v>
      </c>
      <c r="S17" s="29" t="e">
        <f t="shared" si="1"/>
        <v>#REF!</v>
      </c>
    </row>
    <row r="18" spans="1:19" ht="24" customHeight="1" x14ac:dyDescent="0.3">
      <c r="A18" s="28">
        <v>14</v>
      </c>
      <c r="B18" s="28" t="s">
        <v>21</v>
      </c>
      <c r="C18" s="29" t="e">
        <f>C17</f>
        <v>#REF!</v>
      </c>
      <c r="D18" s="29" t="e">
        <f>D17+C18</f>
        <v>#REF!</v>
      </c>
      <c r="E18" s="29" t="e">
        <f t="shared" ref="E18:R18" si="4">E17+D18</f>
        <v>#REF!</v>
      </c>
      <c r="F18" s="29" t="e">
        <f t="shared" si="4"/>
        <v>#REF!</v>
      </c>
      <c r="G18" s="29" t="e">
        <f t="shared" si="4"/>
        <v>#REF!</v>
      </c>
      <c r="H18" s="29" t="e">
        <f t="shared" si="4"/>
        <v>#REF!</v>
      </c>
      <c r="I18" s="29" t="e">
        <f t="shared" si="4"/>
        <v>#REF!</v>
      </c>
      <c r="J18" s="29" t="e">
        <f t="shared" si="4"/>
        <v>#REF!</v>
      </c>
      <c r="K18" s="29" t="e">
        <f t="shared" si="4"/>
        <v>#REF!</v>
      </c>
      <c r="L18" s="29" t="e">
        <f t="shared" si="4"/>
        <v>#REF!</v>
      </c>
      <c r="M18" s="29" t="e">
        <f t="shared" si="4"/>
        <v>#REF!</v>
      </c>
      <c r="N18" s="29" t="e">
        <f t="shared" si="4"/>
        <v>#REF!</v>
      </c>
      <c r="O18" s="29" t="e">
        <f t="shared" si="4"/>
        <v>#REF!</v>
      </c>
      <c r="P18" s="29" t="e">
        <f t="shared" si="4"/>
        <v>#REF!</v>
      </c>
      <c r="Q18" s="29" t="e">
        <f t="shared" si="4"/>
        <v>#REF!</v>
      </c>
      <c r="R18" s="29" t="e">
        <f t="shared" si="4"/>
        <v>#REF!</v>
      </c>
      <c r="S18" s="29"/>
    </row>
    <row r="19" spans="1:19" ht="24" customHeight="1" x14ac:dyDescent="0.3">
      <c r="A19" s="28">
        <v>15</v>
      </c>
      <c r="B19" s="28" t="s">
        <v>30</v>
      </c>
      <c r="C19" s="29" t="e">
        <f>C17/(1+$C$22)^C27</f>
        <v>#REF!</v>
      </c>
      <c r="D19" s="29" t="e">
        <f t="shared" ref="D19:R19" si="5">D17/(1+$C$22)^D27</f>
        <v>#REF!</v>
      </c>
      <c r="E19" s="29" t="e">
        <f t="shared" si="5"/>
        <v>#REF!</v>
      </c>
      <c r="F19" s="29" t="e">
        <f t="shared" si="5"/>
        <v>#REF!</v>
      </c>
      <c r="G19" s="29" t="e">
        <f t="shared" si="5"/>
        <v>#REF!</v>
      </c>
      <c r="H19" s="29" t="e">
        <f t="shared" si="5"/>
        <v>#REF!</v>
      </c>
      <c r="I19" s="29" t="e">
        <f t="shared" si="5"/>
        <v>#REF!</v>
      </c>
      <c r="J19" s="29" t="e">
        <f t="shared" si="5"/>
        <v>#REF!</v>
      </c>
      <c r="K19" s="29" t="e">
        <f t="shared" si="5"/>
        <v>#REF!</v>
      </c>
      <c r="L19" s="29" t="e">
        <f t="shared" si="5"/>
        <v>#REF!</v>
      </c>
      <c r="M19" s="29" t="e">
        <f t="shared" si="5"/>
        <v>#REF!</v>
      </c>
      <c r="N19" s="29" t="e">
        <f t="shared" si="5"/>
        <v>#REF!</v>
      </c>
      <c r="O19" s="29" t="e">
        <f t="shared" si="5"/>
        <v>#REF!</v>
      </c>
      <c r="P19" s="29" t="e">
        <f t="shared" si="5"/>
        <v>#REF!</v>
      </c>
      <c r="Q19" s="29" t="e">
        <f t="shared" si="5"/>
        <v>#REF!</v>
      </c>
      <c r="R19" s="29" t="e">
        <f t="shared" si="5"/>
        <v>#REF!</v>
      </c>
      <c r="S19" s="29" t="e">
        <f>SUM(C19:R19)</f>
        <v>#REF!</v>
      </c>
    </row>
    <row r="20" spans="1:19" ht="24" customHeight="1" x14ac:dyDescent="0.3">
      <c r="A20" s="28">
        <v>16</v>
      </c>
      <c r="B20" s="28" t="s">
        <v>22</v>
      </c>
      <c r="C20" s="29" t="e">
        <f>C19</f>
        <v>#REF!</v>
      </c>
      <c r="D20" s="29" t="e">
        <f>D19+C20</f>
        <v>#REF!</v>
      </c>
      <c r="E20" s="29" t="e">
        <f t="shared" ref="E20:R20" si="6">E19+D20</f>
        <v>#REF!</v>
      </c>
      <c r="F20" s="29" t="e">
        <f t="shared" si="6"/>
        <v>#REF!</v>
      </c>
      <c r="G20" s="29" t="e">
        <f t="shared" si="6"/>
        <v>#REF!</v>
      </c>
      <c r="H20" s="29" t="e">
        <f t="shared" si="6"/>
        <v>#REF!</v>
      </c>
      <c r="I20" s="29" t="e">
        <f t="shared" si="6"/>
        <v>#REF!</v>
      </c>
      <c r="J20" s="29" t="e">
        <f t="shared" si="6"/>
        <v>#REF!</v>
      </c>
      <c r="K20" s="29" t="e">
        <f t="shared" si="6"/>
        <v>#REF!</v>
      </c>
      <c r="L20" s="29" t="e">
        <f t="shared" si="6"/>
        <v>#REF!</v>
      </c>
      <c r="M20" s="29" t="e">
        <f t="shared" si="6"/>
        <v>#REF!</v>
      </c>
      <c r="N20" s="29" t="e">
        <f t="shared" si="6"/>
        <v>#REF!</v>
      </c>
      <c r="O20" s="29" t="e">
        <f t="shared" si="6"/>
        <v>#REF!</v>
      </c>
      <c r="P20" s="29" t="e">
        <f t="shared" si="6"/>
        <v>#REF!</v>
      </c>
      <c r="Q20" s="29" t="e">
        <f t="shared" si="6"/>
        <v>#REF!</v>
      </c>
      <c r="R20" s="29" t="e">
        <f t="shared" si="6"/>
        <v>#REF!</v>
      </c>
      <c r="S20" s="29" t="s">
        <v>0</v>
      </c>
    </row>
    <row r="21" spans="1:19" x14ac:dyDescent="0.3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</row>
    <row r="22" spans="1:19" x14ac:dyDescent="0.3">
      <c r="A22" s="46" t="s">
        <v>187</v>
      </c>
      <c r="B22" s="46"/>
      <c r="C22" s="49">
        <f>10%/4</f>
        <v>2.5000000000000001E-2</v>
      </c>
      <c r="D22" s="31"/>
      <c r="E22" s="31"/>
      <c r="F22" s="31"/>
      <c r="G22" s="31"/>
      <c r="H22" s="830" t="s">
        <v>87</v>
      </c>
      <c r="I22" s="830"/>
      <c r="J22" s="830"/>
      <c r="K22" s="32" t="e">
        <f>NPV(C22,C17:R17)</f>
        <v>#REF!</v>
      </c>
      <c r="L22" s="46" t="s">
        <v>53</v>
      </c>
      <c r="M22" s="46"/>
      <c r="N22" s="46"/>
      <c r="O22" s="46"/>
      <c r="P22" s="46"/>
      <c r="S22" s="46"/>
    </row>
    <row r="23" spans="1:19" x14ac:dyDescent="0.3">
      <c r="A23" s="46" t="s">
        <v>188</v>
      </c>
      <c r="B23" s="46"/>
      <c r="C23" s="33" t="e">
        <f>IRR(C17:R17)</f>
        <v>#VALUE!</v>
      </c>
      <c r="D23" s="33"/>
      <c r="E23" s="33"/>
      <c r="F23" s="33"/>
      <c r="G23" s="33"/>
      <c r="H23" s="830" t="s">
        <v>176</v>
      </c>
      <c r="I23" s="830"/>
      <c r="J23" s="830"/>
      <c r="K23" s="50">
        <f>(12*3-1)/12</f>
        <v>2.92</v>
      </c>
      <c r="L23" s="46" t="s">
        <v>54</v>
      </c>
      <c r="M23" s="46"/>
      <c r="N23" s="46"/>
      <c r="O23" s="46"/>
      <c r="P23" s="46"/>
      <c r="S23" s="46"/>
    </row>
    <row r="24" spans="1:19" x14ac:dyDescent="0.3">
      <c r="Q24" s="26">
        <v>5</v>
      </c>
      <c r="R24" s="26">
        <v>6</v>
      </c>
    </row>
    <row r="25" spans="1:19" x14ac:dyDescent="0.3">
      <c r="B25" s="26" t="s">
        <v>110</v>
      </c>
      <c r="C25" s="26">
        <v>1</v>
      </c>
    </row>
    <row r="26" spans="1:19" x14ac:dyDescent="0.3">
      <c r="B26" s="26" t="s">
        <v>111</v>
      </c>
      <c r="C26" s="26">
        <v>1</v>
      </c>
    </row>
    <row r="27" spans="1:19" x14ac:dyDescent="0.3">
      <c r="C27" s="26">
        <v>0</v>
      </c>
      <c r="D27" s="26">
        <v>0</v>
      </c>
      <c r="E27" s="26">
        <v>0.25</v>
      </c>
      <c r="F27" s="26">
        <f>E27+0.25</f>
        <v>0.5</v>
      </c>
      <c r="G27" s="26">
        <f t="shared" ref="G27:R27" si="7">F27+0.25</f>
        <v>0.75</v>
      </c>
      <c r="H27" s="26">
        <f t="shared" si="7"/>
        <v>1</v>
      </c>
      <c r="I27" s="26">
        <f t="shared" si="7"/>
        <v>1.25</v>
      </c>
      <c r="J27" s="26">
        <f t="shared" si="7"/>
        <v>1.5</v>
      </c>
      <c r="K27" s="26">
        <f t="shared" si="7"/>
        <v>1.75</v>
      </c>
      <c r="L27" s="26">
        <f t="shared" si="7"/>
        <v>2</v>
      </c>
      <c r="M27" s="26">
        <f t="shared" si="7"/>
        <v>2.25</v>
      </c>
      <c r="N27" s="26">
        <f t="shared" si="7"/>
        <v>2.5</v>
      </c>
      <c r="O27" s="26">
        <f t="shared" si="7"/>
        <v>2.75</v>
      </c>
      <c r="P27" s="26">
        <f t="shared" si="7"/>
        <v>3</v>
      </c>
      <c r="Q27" s="26">
        <f t="shared" si="7"/>
        <v>3.25</v>
      </c>
      <c r="R27" s="26">
        <f t="shared" si="7"/>
        <v>3.5</v>
      </c>
    </row>
    <row r="29" spans="1:19" x14ac:dyDescent="0.3">
      <c r="B29" s="23" t="s">
        <v>178</v>
      </c>
      <c r="C29" s="24">
        <v>-0.05</v>
      </c>
    </row>
  </sheetData>
  <mergeCells count="8">
    <mergeCell ref="H22:J22"/>
    <mergeCell ref="H23:J23"/>
    <mergeCell ref="A1:R1"/>
    <mergeCell ref="C2:R2"/>
    <mergeCell ref="C3:F3"/>
    <mergeCell ref="G3:J3"/>
    <mergeCell ref="K3:N3"/>
    <mergeCell ref="O3:R3"/>
  </mergeCells>
  <phoneticPr fontId="19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8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3" tint="0.59999389629810485"/>
  </sheetPr>
  <dimension ref="A1:AB25"/>
  <sheetViews>
    <sheetView view="pageBreakPreview" zoomScale="85" zoomScaleNormal="75" zoomScaleSheetLayoutView="85" workbookViewId="0">
      <pane xSplit="2" ySplit="4" topLeftCell="M5" activePane="bottomRight" state="frozen"/>
      <selection pane="topRight" activeCell="C1" sqref="C1"/>
      <selection pane="bottomLeft" activeCell="A5" sqref="A5"/>
      <selection pane="bottomRight" activeCell="W10" sqref="W10"/>
    </sheetView>
  </sheetViews>
  <sheetFormatPr defaultColWidth="11" defaultRowHeight="15.75" x14ac:dyDescent="0.25"/>
  <cols>
    <col min="1" max="1" width="4.625" style="1" customWidth="1"/>
    <col min="2" max="2" width="27" style="1" customWidth="1"/>
    <col min="3" max="19" width="13.125" style="1" customWidth="1"/>
    <col min="20" max="20" width="9.125" style="1" bestFit="1" customWidth="1"/>
    <col min="21" max="21" width="9.875" style="1" bestFit="1" customWidth="1"/>
    <col min="22" max="24" width="9.125" style="1" bestFit="1" customWidth="1"/>
    <col min="25" max="16384" width="11" style="1"/>
  </cols>
  <sheetData>
    <row r="1" spans="1:28" ht="27.75" customHeight="1" x14ac:dyDescent="0.3">
      <c r="A1" s="836" t="s">
        <v>90</v>
      </c>
      <c r="B1" s="836"/>
      <c r="C1" s="836"/>
      <c r="D1" s="836"/>
      <c r="E1" s="836"/>
      <c r="F1" s="836"/>
      <c r="G1" s="836"/>
      <c r="H1" s="836"/>
      <c r="I1" s="836"/>
      <c r="J1" s="836"/>
      <c r="K1" s="836"/>
      <c r="L1" s="836"/>
      <c r="M1" s="836"/>
      <c r="N1" s="836"/>
      <c r="O1" s="836"/>
      <c r="P1" s="836"/>
      <c r="Q1" s="836"/>
      <c r="R1" s="836"/>
      <c r="S1" s="836"/>
      <c r="T1" s="35"/>
      <c r="U1" s="35"/>
      <c r="V1" s="35"/>
      <c r="W1" s="35"/>
      <c r="X1" s="35"/>
    </row>
    <row r="2" spans="1:28" ht="68.25" customHeight="1" x14ac:dyDescent="0.3">
      <c r="A2" s="36" t="s">
        <v>91</v>
      </c>
      <c r="B2" s="36"/>
      <c r="C2" s="837" t="str">
        <f>基础数据!C5</f>
        <v>北京市密云区檀营乡6005地块R2二类居住用地（编号：京土整储挂（密）[2021]026号）居住项目</v>
      </c>
      <c r="D2" s="837"/>
      <c r="E2" s="837"/>
      <c r="F2" s="837"/>
      <c r="G2" s="837"/>
      <c r="H2" s="837"/>
      <c r="I2" s="837"/>
      <c r="J2" s="837"/>
      <c r="K2" s="837"/>
      <c r="L2" s="837"/>
      <c r="M2" s="837"/>
      <c r="N2" s="837"/>
      <c r="O2" s="837"/>
      <c r="P2" s="837"/>
      <c r="Q2" s="838" t="s">
        <v>8</v>
      </c>
      <c r="R2" s="838"/>
      <c r="S2" s="838"/>
      <c r="T2" s="35"/>
      <c r="U2" s="35"/>
      <c r="V2" s="35"/>
      <c r="W2" s="35"/>
      <c r="X2" s="35"/>
    </row>
    <row r="3" spans="1:28" ht="24.95" customHeight="1" x14ac:dyDescent="0.3">
      <c r="A3" s="48" t="s">
        <v>9</v>
      </c>
      <c r="B3" s="37" t="s">
        <v>81</v>
      </c>
      <c r="C3" s="839" t="str">
        <f>'主表1（成本）'!C3</f>
        <v>2021年</v>
      </c>
      <c r="D3" s="840"/>
      <c r="E3" s="840"/>
      <c r="F3" s="841"/>
      <c r="G3" s="839" t="str">
        <f>'主表1（成本）'!G3</f>
        <v>2022年</v>
      </c>
      <c r="H3" s="840"/>
      <c r="I3" s="840"/>
      <c r="J3" s="841"/>
      <c r="K3" s="839" t="str">
        <f>'主表1（成本）'!K3</f>
        <v>2023年</v>
      </c>
      <c r="L3" s="840"/>
      <c r="M3" s="840"/>
      <c r="N3" s="841"/>
      <c r="O3" s="839" t="str">
        <f>'主表1（成本）'!O3</f>
        <v>2024年</v>
      </c>
      <c r="P3" s="840"/>
      <c r="Q3" s="840"/>
      <c r="R3" s="841"/>
      <c r="S3" s="37" t="s">
        <v>93</v>
      </c>
      <c r="T3" s="35"/>
      <c r="U3" s="35"/>
      <c r="V3" s="35"/>
      <c r="W3" s="35"/>
      <c r="X3" s="35"/>
    </row>
    <row r="4" spans="1:28" ht="24.95" customHeight="1" x14ac:dyDescent="0.3">
      <c r="A4" s="48"/>
      <c r="B4" s="37"/>
      <c r="C4" s="37" t="str">
        <f>'主表1（成本）'!C4</f>
        <v>Q1</v>
      </c>
      <c r="D4" s="37" t="str">
        <f>'主表1（成本）'!D4</f>
        <v>Q2</v>
      </c>
      <c r="E4" s="37" t="str">
        <f>'主表1（成本）'!E4</f>
        <v>Q3</v>
      </c>
      <c r="F4" s="37" t="str">
        <f>'主表1（成本）'!F4</f>
        <v>Q4</v>
      </c>
      <c r="G4" s="37" t="str">
        <f>'主表1（成本）'!G4</f>
        <v>Q1</v>
      </c>
      <c r="H4" s="37" t="str">
        <f>'主表1（成本）'!H4</f>
        <v>Q2</v>
      </c>
      <c r="I4" s="37" t="str">
        <f>'主表1（成本）'!I4</f>
        <v>Q3</v>
      </c>
      <c r="J4" s="37" t="str">
        <f>'主表1（成本）'!J4</f>
        <v>Q4</v>
      </c>
      <c r="K4" s="37" t="str">
        <f>'主表1（成本）'!K4</f>
        <v>Q1</v>
      </c>
      <c r="L4" s="37" t="str">
        <f>'主表1（成本）'!L4</f>
        <v>Q2</v>
      </c>
      <c r="M4" s="37" t="str">
        <f>'主表1（成本）'!M4</f>
        <v>Q3</v>
      </c>
      <c r="N4" s="37" t="str">
        <f>'主表1（成本）'!N4</f>
        <v>Q4</v>
      </c>
      <c r="O4" s="37" t="str">
        <f>'主表1（成本）'!O4</f>
        <v>Q1</v>
      </c>
      <c r="P4" s="37" t="str">
        <f>'主表1（成本）'!P4</f>
        <v>Q2</v>
      </c>
      <c r="Q4" s="37" t="str">
        <f>'主表1（成本）'!Q4</f>
        <v>Q3</v>
      </c>
      <c r="R4" s="37" t="str">
        <f>'主表1（成本）'!R4</f>
        <v>Q4</v>
      </c>
      <c r="S4" s="37"/>
      <c r="T4" s="35"/>
      <c r="U4" s="35"/>
      <c r="V4" s="35"/>
      <c r="W4" s="35"/>
      <c r="X4" s="35"/>
    </row>
    <row r="5" spans="1:28" ht="24.95" customHeight="1" x14ac:dyDescent="0.3">
      <c r="A5" s="37">
        <v>1</v>
      </c>
      <c r="B5" s="48" t="s">
        <v>2</v>
      </c>
      <c r="C5" s="38" t="e">
        <f>ROUND('底表1（销售）'!F27,0)*(1+$C$25)</f>
        <v>#REF!</v>
      </c>
      <c r="D5" s="38" t="e">
        <f>ROUND('底表1（销售）'!G27,0)*(1+$C$25)</f>
        <v>#REF!</v>
      </c>
      <c r="E5" s="38" t="e">
        <f>ROUND('底表1（销售）'!H27,0)*(1+$C$25)</f>
        <v>#REF!</v>
      </c>
      <c r="F5" s="38" t="e">
        <f>ROUND('底表1（销售）'!I27,0)*(1+$C$25)</f>
        <v>#REF!</v>
      </c>
      <c r="G5" s="38" t="e">
        <f>ROUND('底表1（销售）'!J27,0)*(1+$C$25)</f>
        <v>#REF!</v>
      </c>
      <c r="H5" s="38" t="e">
        <f>ROUND('底表1（销售）'!K27,0)*(1+$C$25)</f>
        <v>#REF!</v>
      </c>
      <c r="I5" s="38" t="e">
        <f>ROUND('底表1（销售）'!L27,0)*(1+$C$25)</f>
        <v>#REF!</v>
      </c>
      <c r="J5" s="38" t="e">
        <f>ROUND('底表1（销售）'!M27,0)*(1+$C$25)</f>
        <v>#REF!</v>
      </c>
      <c r="K5" s="38" t="e">
        <f>ROUND('底表1（销售）'!N27,0)*(1+$C$25)</f>
        <v>#REF!</v>
      </c>
      <c r="L5" s="38" t="e">
        <f>ROUND('底表1（销售）'!O27,0)*(1+$C$25)</f>
        <v>#REF!</v>
      </c>
      <c r="M5" s="38" t="e">
        <f>ROUND('底表1（销售）'!P27,0)*(1+$C$25)</f>
        <v>#REF!</v>
      </c>
      <c r="N5" s="38" t="e">
        <f>ROUND('底表1（销售）'!Q27,0)*(1+$C$25)</f>
        <v>#REF!</v>
      </c>
      <c r="O5" s="38" t="e">
        <f>ROUND('底表1（销售）'!R27,0)*(1+$C$25)</f>
        <v>#REF!</v>
      </c>
      <c r="P5" s="38" t="e">
        <f>ROUND('底表1（销售）'!S27,0)*(1+$C$25)</f>
        <v>#REF!</v>
      </c>
      <c r="Q5" s="38" t="e">
        <f>ROUND('底表1（销售）'!T27,0)*(1+$C$25)</f>
        <v>#REF!</v>
      </c>
      <c r="R5" s="38" t="e">
        <f>ROUND('底表1（销售）'!U27,0)*(1+$C$25)</f>
        <v>#REF!</v>
      </c>
      <c r="S5" s="38" t="e">
        <f>SUM(C5:R5)</f>
        <v>#REF!</v>
      </c>
      <c r="T5" s="35" t="e">
        <f>'底表1（销售）'!BS6*(1+$C$25)</f>
        <v>#REF!</v>
      </c>
      <c r="U5" s="35"/>
      <c r="V5" s="35"/>
      <c r="W5" s="35"/>
      <c r="X5" s="35"/>
    </row>
    <row r="6" spans="1:28" ht="24.95" customHeight="1" x14ac:dyDescent="0.3">
      <c r="A6" s="37">
        <v>2</v>
      </c>
      <c r="B6" s="48" t="s">
        <v>69</v>
      </c>
      <c r="C6" s="38" t="e">
        <f>C5/$S$5*'主表1（成本）'!$B$37</f>
        <v>#REF!</v>
      </c>
      <c r="D6" s="38" t="e">
        <f>D5/$S$5*'主表1（成本）'!$B$37</f>
        <v>#REF!</v>
      </c>
      <c r="E6" s="38" t="e">
        <f>E5/$S$5*'主表1（成本）'!$B$37</f>
        <v>#REF!</v>
      </c>
      <c r="F6" s="38" t="e">
        <f>F5/$S$5*'主表1（成本）'!$B$37</f>
        <v>#REF!</v>
      </c>
      <c r="G6" s="38" t="e">
        <f>G5/$S$5*'主表1（成本）'!$B$37</f>
        <v>#REF!</v>
      </c>
      <c r="H6" s="38" t="e">
        <f>H5/$S$5*'主表1（成本）'!$B$37</f>
        <v>#REF!</v>
      </c>
      <c r="I6" s="38" t="e">
        <f>I5/$S$5*'主表1（成本）'!$B$37</f>
        <v>#REF!</v>
      </c>
      <c r="J6" s="38" t="e">
        <f>J5/$S$5*'主表1（成本）'!$B$37</f>
        <v>#REF!</v>
      </c>
      <c r="K6" s="38" t="e">
        <f>K5/$S$5*'主表1（成本）'!$B$37</f>
        <v>#REF!</v>
      </c>
      <c r="L6" s="38" t="e">
        <f>L5/$S$5*'主表1（成本）'!$B$37</f>
        <v>#REF!</v>
      </c>
      <c r="M6" s="38" t="e">
        <f>M5/$S$5*'主表1（成本）'!$B$37</f>
        <v>#REF!</v>
      </c>
      <c r="N6" s="38" t="e">
        <f>N5/$S$5*'主表1（成本）'!$B$37</f>
        <v>#REF!</v>
      </c>
      <c r="O6" s="38" t="e">
        <f>O5/$S$5*'主表1（成本）'!$B$37</f>
        <v>#REF!</v>
      </c>
      <c r="P6" s="38" t="e">
        <f>P5/$S$5*'主表1（成本）'!$B$37</f>
        <v>#REF!</v>
      </c>
      <c r="Q6" s="38" t="e">
        <f>Q5/$S$5*'主表1（成本）'!$B$37</f>
        <v>#REF!</v>
      </c>
      <c r="R6" s="38" t="e">
        <f>R5/$S$5*'主表1（成本）'!$B$37</f>
        <v>#REF!</v>
      </c>
      <c r="S6" s="38" t="e">
        <f>SUM(C6:R6)</f>
        <v>#REF!</v>
      </c>
      <c r="T6" s="35">
        <f>'主表1（成本）'!B37</f>
        <v>277553</v>
      </c>
      <c r="U6" s="35" t="e">
        <f>T6*'底表1（销售）'!BU17/'底表1（销售）'!BU16</f>
        <v>#DIV/0!</v>
      </c>
      <c r="V6" s="35"/>
      <c r="W6" s="35"/>
      <c r="X6" s="35"/>
    </row>
    <row r="7" spans="1:28" ht="24.95" customHeight="1" x14ac:dyDescent="0.3">
      <c r="A7" s="37">
        <v>3</v>
      </c>
      <c r="B7" s="48" t="s">
        <v>137</v>
      </c>
      <c r="C7" s="38" t="e">
        <f>ROUND('底表1（销售）'!F28,0)*(1+$C$25)</f>
        <v>#REF!</v>
      </c>
      <c r="D7" s="38" t="e">
        <f>ROUND('底表1（销售）'!G28,0)*(1+$C$25)</f>
        <v>#REF!</v>
      </c>
      <c r="E7" s="38" t="e">
        <f>ROUND('底表1（销售）'!H28,0)*(1+$C$25)</f>
        <v>#REF!</v>
      </c>
      <c r="F7" s="38" t="e">
        <f>ROUND('底表1（销售）'!I28,0)*(1+$C$25)</f>
        <v>#REF!</v>
      </c>
      <c r="G7" s="38" t="e">
        <f>ROUND('底表1（销售）'!J28,0)*(1+$C$25)</f>
        <v>#REF!</v>
      </c>
      <c r="H7" s="38" t="e">
        <f>ROUND('底表1（销售）'!K28,0)*(1+$C$25)</f>
        <v>#REF!</v>
      </c>
      <c r="I7" s="38" t="e">
        <f>ROUND('底表1（销售）'!L28,0)*(1+$C$25)</f>
        <v>#REF!</v>
      </c>
      <c r="J7" s="38" t="e">
        <f>ROUND('底表1（销售）'!M28,0)*(1+$C$25)</f>
        <v>#REF!</v>
      </c>
      <c r="K7" s="38" t="e">
        <f>ROUND('底表1（销售）'!N28,0)*(1+$C$25)</f>
        <v>#REF!</v>
      </c>
      <c r="L7" s="38" t="e">
        <f>ROUND('底表1（销售）'!O28,0)*(1+$C$25)</f>
        <v>#REF!</v>
      </c>
      <c r="M7" s="38" t="e">
        <f>ROUND('底表1（销售）'!P28,0)*(1+$C$25)</f>
        <v>#REF!</v>
      </c>
      <c r="N7" s="38" t="e">
        <f>ROUND('底表1（销售）'!Q28,0)*(1+$C$25)</f>
        <v>#REF!</v>
      </c>
      <c r="O7" s="38" t="e">
        <f>ROUND('底表1（销售）'!R28,0)*(1+$C$25)</f>
        <v>#REF!</v>
      </c>
      <c r="P7" s="38" t="e">
        <f>ROUND('底表1（销售）'!S28,0)*(1+$C$25)</f>
        <v>#REF!</v>
      </c>
      <c r="Q7" s="38" t="e">
        <f>ROUND('底表1（销售）'!T28,0)*(1+$C$25)</f>
        <v>#REF!</v>
      </c>
      <c r="R7" s="38" t="e">
        <f>ROUND('底表1（销售）'!U28,0)*(1+$C$25)</f>
        <v>#REF!</v>
      </c>
      <c r="S7" s="38" t="e">
        <f>SUM(C7:R7)</f>
        <v>#REF!</v>
      </c>
      <c r="T7" s="35" t="e">
        <f>'底表1（销售）'!BS13*(1+$C$25)</f>
        <v>#REF!</v>
      </c>
      <c r="U7" s="35"/>
      <c r="V7" s="35"/>
      <c r="W7" s="35"/>
      <c r="X7" s="35"/>
    </row>
    <row r="8" spans="1:28" ht="24.95" hidden="1" customHeight="1" x14ac:dyDescent="0.3">
      <c r="A8" s="37">
        <v>4</v>
      </c>
      <c r="B8" s="48" t="s">
        <v>18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>
        <f>SUM(C8:Q8)</f>
        <v>0</v>
      </c>
      <c r="T8" s="35"/>
      <c r="U8" s="35"/>
      <c r="V8" s="35"/>
      <c r="W8" s="35"/>
      <c r="X8" s="35"/>
    </row>
    <row r="9" spans="1:28" s="6" customFormat="1" ht="24.95" customHeight="1" x14ac:dyDescent="0.3">
      <c r="A9" s="37">
        <v>5</v>
      </c>
      <c r="B9" s="48" t="s">
        <v>19</v>
      </c>
      <c r="C9" s="38">
        <f>ROUND(('底表1（销售）'!F21+'底表1（销售）'!F22+'底表1（销售）'!F23)*2%,0)*(1+$C$25)</f>
        <v>0</v>
      </c>
      <c r="D9" s="38">
        <f>ROUND(('底表1（销售）'!G21+'底表1（销售）'!G22+'底表1（销售）'!G23)*2%,0)*(1+$C$25)</f>
        <v>0</v>
      </c>
      <c r="E9" s="38">
        <f>ROUND(('底表1（销售）'!H21+'底表1（销售）'!H22+'底表1（销售）'!H23)*2%,0)*(1+$C$25)</f>
        <v>0</v>
      </c>
      <c r="F9" s="38">
        <f>ROUND(('底表1（销售）'!I21+'底表1（销售）'!I22+'底表1（销售）'!I23)*2%,0)*(1+$C$25)</f>
        <v>0</v>
      </c>
      <c r="G9" s="38">
        <f>ROUND(('底表1（销售）'!J21+'底表1（销售）'!J22+'底表1（销售）'!J23)*2%,0)*(1+$C$25)</f>
        <v>1076</v>
      </c>
      <c r="H9" s="38">
        <f>ROUND(('底表1（销售）'!K21+'底表1（销售）'!K22+'底表1（销售）'!K23)*2%,0)*(1+$C$25)</f>
        <v>1714</v>
      </c>
      <c r="I9" s="38">
        <f>ROUND(('底表1（销售）'!L21+'底表1（销售）'!L22+'底表1（销售）'!L23)*2%,0)*(1+$C$25)</f>
        <v>1365</v>
      </c>
      <c r="J9" s="38">
        <f>ROUND(('底表1（销售）'!M21+'底表1（销售）'!M22+'底表1（销售）'!M23)*2%,0)*(1+$C$25)</f>
        <v>1241</v>
      </c>
      <c r="K9" s="38">
        <f>ROUND(('底表1（销售）'!N21+'底表1（销售）'!N22+'底表1（销售）'!N23)*2%,0)*(1+$C$25)</f>
        <v>896</v>
      </c>
      <c r="L9" s="38">
        <f>ROUND(('底表1（销售）'!O21+'底表1（销售）'!O22+'底表1（销售）'!O23)*2%,0)*(1+$C$25)</f>
        <v>0</v>
      </c>
      <c r="M9" s="38">
        <f>ROUND(('底表1（销售）'!P21+'底表1（销售）'!P22+'底表1（销售）'!P23)*2%,0)*(1+$C$25)</f>
        <v>0</v>
      </c>
      <c r="N9" s="38">
        <f>ROUND(('底表1（销售）'!Q21+'底表1（销售）'!Q22+'底表1（销售）'!Q23)*2%,0)*(1+$C$25)</f>
        <v>0</v>
      </c>
      <c r="O9" s="38">
        <f>ROUND(('底表1（销售）'!R21+'底表1（销售）'!R22+'底表1（销售）'!R23)*2%,0)*(1+$C$25)</f>
        <v>0</v>
      </c>
      <c r="P9" s="38">
        <f>ROUND(('底表1（销售）'!S21+'底表1（销售）'!S22+'底表1（销售）'!S23)*2%,0)*(1+$C$25)</f>
        <v>0</v>
      </c>
      <c r="Q9" s="38">
        <f>ROUND(('底表1（销售）'!T21+'底表1（销售）'!T22+'底表1（销售）'!T23)*2%,0)*(1+$C$25)</f>
        <v>0</v>
      </c>
      <c r="R9" s="38">
        <f>ROUND(('底表1（销售）'!U21+'底表1（销售）'!U22+'底表1（销售）'!U23)*2%,0)*(1+$C$25)</f>
        <v>0</v>
      </c>
      <c r="S9" s="38">
        <f t="shared" ref="S9:S19" si="0">SUM(C9:R9)</f>
        <v>6292</v>
      </c>
      <c r="T9" s="39">
        <f>S9</f>
        <v>6292</v>
      </c>
      <c r="U9" s="40"/>
      <c r="V9" s="35"/>
      <c r="W9" s="34" t="s">
        <v>170</v>
      </c>
      <c r="X9" s="34" t="s">
        <v>171</v>
      </c>
      <c r="Y9" s="19"/>
      <c r="Z9" s="19" t="s">
        <v>172</v>
      </c>
      <c r="AA9" s="19" t="s">
        <v>173</v>
      </c>
      <c r="AB9" s="19" t="s">
        <v>174</v>
      </c>
    </row>
    <row r="10" spans="1:28" ht="24.95" customHeight="1" x14ac:dyDescent="0.3">
      <c r="A10" s="37">
        <v>6</v>
      </c>
      <c r="B10" s="48" t="s">
        <v>42</v>
      </c>
      <c r="C10" s="38">
        <f>'主表1（成本）'!C32*(1+$C$25)</f>
        <v>0</v>
      </c>
      <c r="D10" s="38">
        <f>'主表1（成本）'!D32*(1+$C$25)</f>
        <v>0</v>
      </c>
      <c r="E10" s="38">
        <f>'主表1（成本）'!E32*(1+$C$25)</f>
        <v>0</v>
      </c>
      <c r="F10" s="38">
        <f>'主表1（成本）'!F32*(1+$C$25)</f>
        <v>953</v>
      </c>
      <c r="G10" s="38">
        <f>'主表1（成本）'!G32*(1+$C$25)</f>
        <v>944</v>
      </c>
      <c r="H10" s="38">
        <f>'主表1（成本）'!H32*(1+$C$25)</f>
        <v>1124</v>
      </c>
      <c r="I10" s="38">
        <f>'主表1（成本）'!I32*(1+$C$25)</f>
        <v>1090</v>
      </c>
      <c r="J10" s="38">
        <f>'主表1（成本）'!J32*(1+$C$25)</f>
        <v>818</v>
      </c>
      <c r="K10" s="38">
        <f>'主表1（成本）'!K32*(1+$C$25)</f>
        <v>713</v>
      </c>
      <c r="L10" s="38">
        <f>'主表1（成本）'!L32*(1+$C$25)</f>
        <v>451</v>
      </c>
      <c r="M10" s="38">
        <f>'主表1（成本）'!M32*(1+$C$25)</f>
        <v>279</v>
      </c>
      <c r="N10" s="38">
        <f>'主表1（成本）'!N32*(1+$C$25)</f>
        <v>249</v>
      </c>
      <c r="O10" s="38">
        <f>'主表1（成本）'!O32*(1+$C$25)</f>
        <v>96</v>
      </c>
      <c r="P10" s="38">
        <f>'主表1（成本）'!P32*(1+$C$25)</f>
        <v>10</v>
      </c>
      <c r="Q10" s="38">
        <f>'主表1（成本）'!Q32*(1+$C$25)</f>
        <v>0</v>
      </c>
      <c r="R10" s="38">
        <f>'主表1（成本）'!R32*(1+$C$25)</f>
        <v>0</v>
      </c>
      <c r="S10" s="38">
        <f t="shared" si="0"/>
        <v>6727</v>
      </c>
      <c r="T10" s="35">
        <f>'主表1（成本）'!B32</f>
        <v>7082</v>
      </c>
      <c r="U10" s="40"/>
      <c r="V10" s="35"/>
      <c r="W10" s="34" t="e">
        <f>ROUND(S6+'底表1（销售）'!BS13+'主表4-1（敏感性分析 销售-5%）'!S6*20%,0)</f>
        <v>#REF!</v>
      </c>
      <c r="X10" s="41" t="e">
        <f>S5-W10</f>
        <v>#REF!</v>
      </c>
      <c r="Y10" s="20"/>
      <c r="Z10" s="21" t="e">
        <f>X10/W10</f>
        <v>#REF!</v>
      </c>
      <c r="AA10" s="22">
        <v>0.3</v>
      </c>
      <c r="AB10" s="22">
        <v>0</v>
      </c>
    </row>
    <row r="11" spans="1:28" ht="24.95" customHeight="1" x14ac:dyDescent="0.3">
      <c r="A11" s="37">
        <v>7</v>
      </c>
      <c r="B11" s="48" t="s">
        <v>68</v>
      </c>
      <c r="C11" s="38">
        <f>'主表1（成本）'!C33</f>
        <v>0</v>
      </c>
      <c r="D11" s="38">
        <f>'主表1（成本）'!D33</f>
        <v>3476</v>
      </c>
      <c r="E11" s="38">
        <f>'主表1（成本）'!E33</f>
        <v>474</v>
      </c>
      <c r="F11" s="38">
        <f>'主表1（成本）'!F33</f>
        <v>252</v>
      </c>
      <c r="G11" s="38">
        <f>'主表1（成本）'!G33</f>
        <v>165</v>
      </c>
      <c r="H11" s="38">
        <f>'主表1（成本）'!H33</f>
        <v>165</v>
      </c>
      <c r="I11" s="38">
        <f>'主表1（成本）'!I33</f>
        <v>165</v>
      </c>
      <c r="J11" s="38">
        <f>'主表1（成本）'!J33</f>
        <v>165</v>
      </c>
      <c r="K11" s="38">
        <f>'主表1（成本）'!K33</f>
        <v>132</v>
      </c>
      <c r="L11" s="38">
        <f>'主表1（成本）'!L33</f>
        <v>132</v>
      </c>
      <c r="M11" s="38">
        <f>'主表1（成本）'!M33</f>
        <v>99</v>
      </c>
      <c r="N11" s="38">
        <f>'主表1（成本）'!N33</f>
        <v>99</v>
      </c>
      <c r="O11" s="38">
        <f>'主表1（成本）'!O33</f>
        <v>82</v>
      </c>
      <c r="P11" s="38">
        <f>'主表1（成本）'!P33</f>
        <v>82</v>
      </c>
      <c r="Q11" s="38">
        <f>'主表1（成本）'!Q33</f>
        <v>0</v>
      </c>
      <c r="R11" s="38">
        <f>'主表1（成本）'!R33</f>
        <v>0</v>
      </c>
      <c r="S11" s="38">
        <f t="shared" si="0"/>
        <v>5488</v>
      </c>
      <c r="T11" s="35">
        <f>'主表1（成本）'!B33</f>
        <v>5488</v>
      </c>
      <c r="U11" s="40"/>
      <c r="V11" s="35"/>
      <c r="W11" s="35"/>
      <c r="X11" s="35"/>
    </row>
    <row r="12" spans="1:28" ht="24.95" hidden="1" customHeight="1" x14ac:dyDescent="0.3">
      <c r="A12" s="37">
        <v>8</v>
      </c>
      <c r="B12" s="48" t="s">
        <v>29</v>
      </c>
      <c r="C12" s="38">
        <f>'主表1（成本）'!C34</f>
        <v>0</v>
      </c>
      <c r="D12" s="38"/>
      <c r="E12" s="38"/>
      <c r="F12" s="38"/>
      <c r="G12" s="38"/>
      <c r="H12" s="38"/>
      <c r="I12" s="38"/>
      <c r="J12" s="38"/>
      <c r="K12" s="38"/>
      <c r="L12" s="38"/>
      <c r="M12" s="42">
        <f>'主表1（成本）'!M34</f>
        <v>0</v>
      </c>
      <c r="N12" s="42">
        <f>'主表1（成本）'!N34</f>
        <v>0</v>
      </c>
      <c r="O12" s="38">
        <f>'主表1（成本）'!O34</f>
        <v>0</v>
      </c>
      <c r="P12" s="38">
        <f>'主表1（成本）'!P34</f>
        <v>0</v>
      </c>
      <c r="Q12" s="38"/>
      <c r="R12" s="38"/>
      <c r="S12" s="38">
        <f t="shared" si="0"/>
        <v>0</v>
      </c>
      <c r="T12" s="35">
        <f>'主表1（成本）'!B34</f>
        <v>12470</v>
      </c>
      <c r="U12" s="40"/>
      <c r="V12" s="35"/>
      <c r="W12" s="35"/>
      <c r="X12" s="35"/>
    </row>
    <row r="13" spans="1:28" ht="24.95" customHeight="1" x14ac:dyDescent="0.3">
      <c r="A13" s="37">
        <v>9</v>
      </c>
      <c r="B13" s="48" t="s">
        <v>3</v>
      </c>
      <c r="C13" s="38" t="e">
        <f>C5-C6-C7-C8-C9-C10-C11-C12</f>
        <v>#REF!</v>
      </c>
      <c r="D13" s="38" t="e">
        <f t="shared" ref="D13:R13" si="1">D5-D6-D7-D8-D9-D10-D11-D12</f>
        <v>#REF!</v>
      </c>
      <c r="E13" s="38" t="e">
        <f t="shared" si="1"/>
        <v>#REF!</v>
      </c>
      <c r="F13" s="38" t="e">
        <f t="shared" si="1"/>
        <v>#REF!</v>
      </c>
      <c r="G13" s="38" t="e">
        <f t="shared" si="1"/>
        <v>#REF!</v>
      </c>
      <c r="H13" s="38" t="e">
        <f t="shared" si="1"/>
        <v>#REF!</v>
      </c>
      <c r="I13" s="38" t="e">
        <f t="shared" si="1"/>
        <v>#REF!</v>
      </c>
      <c r="J13" s="38" t="e">
        <f t="shared" si="1"/>
        <v>#REF!</v>
      </c>
      <c r="K13" s="38" t="e">
        <f t="shared" si="1"/>
        <v>#REF!</v>
      </c>
      <c r="L13" s="38" t="e">
        <f t="shared" si="1"/>
        <v>#REF!</v>
      </c>
      <c r="M13" s="38" t="e">
        <f t="shared" si="1"/>
        <v>#REF!</v>
      </c>
      <c r="N13" s="38" t="e">
        <f t="shared" si="1"/>
        <v>#REF!</v>
      </c>
      <c r="O13" s="38" t="e">
        <f t="shared" si="1"/>
        <v>#REF!</v>
      </c>
      <c r="P13" s="38" t="e">
        <f t="shared" si="1"/>
        <v>#REF!</v>
      </c>
      <c r="Q13" s="38" t="e">
        <f t="shared" si="1"/>
        <v>#REF!</v>
      </c>
      <c r="R13" s="38" t="e">
        <f t="shared" si="1"/>
        <v>#REF!</v>
      </c>
      <c r="S13" s="38" t="e">
        <f>SUM(C13:R13)</f>
        <v>#REF!</v>
      </c>
      <c r="T13" s="35"/>
      <c r="U13" s="39" t="e">
        <f>C13</f>
        <v>#REF!</v>
      </c>
      <c r="V13" s="39" t="e">
        <f>M13+C13</f>
        <v>#REF!</v>
      </c>
      <c r="W13" s="39" t="e">
        <f>N13+M13+C13</f>
        <v>#REF!</v>
      </c>
      <c r="X13" s="39"/>
      <c r="Y13" s="3"/>
      <c r="Z13" s="3"/>
    </row>
    <row r="14" spans="1:28" s="6" customFormat="1" ht="24.95" customHeight="1" x14ac:dyDescent="0.3">
      <c r="A14" s="37">
        <v>10</v>
      </c>
      <c r="B14" s="48" t="s">
        <v>31</v>
      </c>
      <c r="C14" s="38"/>
      <c r="D14" s="38"/>
      <c r="E14" s="38"/>
      <c r="F14" s="38" t="e">
        <f>IF((SUM($C$13:F13))&lt;0,0,IF(SUM($C$13:F13)&gt;=0,(SUM($C$13:F13)*基础数据!$C$42)))</f>
        <v>#REF!</v>
      </c>
      <c r="G14" s="38"/>
      <c r="H14" s="38"/>
      <c r="I14" s="38"/>
      <c r="J14" s="38" t="e">
        <f>IF((SUM($C$13:J13))&lt;0,0,IF(SUM($C$13:J13)&gt;=0,(SUM($C$13:J13)*基础数据!$C$42)))</f>
        <v>#REF!</v>
      </c>
      <c r="K14" s="38"/>
      <c r="L14" s="38"/>
      <c r="M14" s="38"/>
      <c r="N14" s="38" t="e">
        <f>IF((SUM($K$13:N13))&lt;0,0,IF(SUM($K$13:N13)&gt;=0,(SUM($K$13:N13)*基础数据!$C$42)))</f>
        <v>#REF!</v>
      </c>
      <c r="O14" s="38"/>
      <c r="P14" s="38"/>
      <c r="Q14" s="38"/>
      <c r="R14" s="38" t="e">
        <f>IF((SUM($O$13:R13))&lt;0,0,IF(SUM($O$13:R13)&gt;=0,(SUM($O$13:R13)*基础数据!$C$42)))</f>
        <v>#REF!</v>
      </c>
      <c r="S14" s="38" t="e">
        <f>SUM(C14:R14)</f>
        <v>#REF!</v>
      </c>
      <c r="T14" s="35"/>
      <c r="U14" s="35"/>
      <c r="V14" s="35"/>
      <c r="W14" s="35"/>
      <c r="X14" s="35"/>
    </row>
    <row r="15" spans="1:28" ht="24.95" customHeight="1" x14ac:dyDescent="0.3">
      <c r="A15" s="37">
        <v>11</v>
      </c>
      <c r="B15" s="48" t="s">
        <v>26</v>
      </c>
      <c r="C15" s="38" t="e">
        <f>C13-C14</f>
        <v>#REF!</v>
      </c>
      <c r="D15" s="38" t="e">
        <f t="shared" ref="D15:R15" si="2">D13-D14</f>
        <v>#REF!</v>
      </c>
      <c r="E15" s="38" t="e">
        <f t="shared" si="2"/>
        <v>#REF!</v>
      </c>
      <c r="F15" s="38" t="e">
        <f t="shared" si="2"/>
        <v>#REF!</v>
      </c>
      <c r="G15" s="38" t="e">
        <f t="shared" si="2"/>
        <v>#REF!</v>
      </c>
      <c r="H15" s="38" t="e">
        <f t="shared" si="2"/>
        <v>#REF!</v>
      </c>
      <c r="I15" s="38" t="e">
        <f t="shared" si="2"/>
        <v>#REF!</v>
      </c>
      <c r="J15" s="38" t="e">
        <f t="shared" si="2"/>
        <v>#REF!</v>
      </c>
      <c r="K15" s="38" t="e">
        <f t="shared" si="2"/>
        <v>#REF!</v>
      </c>
      <c r="L15" s="38" t="e">
        <f t="shared" si="2"/>
        <v>#REF!</v>
      </c>
      <c r="M15" s="38" t="e">
        <f t="shared" si="2"/>
        <v>#REF!</v>
      </c>
      <c r="N15" s="38" t="e">
        <f t="shared" si="2"/>
        <v>#REF!</v>
      </c>
      <c r="O15" s="38" t="e">
        <f t="shared" si="2"/>
        <v>#REF!</v>
      </c>
      <c r="P15" s="38" t="e">
        <f t="shared" si="2"/>
        <v>#REF!</v>
      </c>
      <c r="Q15" s="38" t="e">
        <f t="shared" si="2"/>
        <v>#REF!</v>
      </c>
      <c r="R15" s="38" t="e">
        <f t="shared" si="2"/>
        <v>#REF!</v>
      </c>
      <c r="S15" s="38" t="e">
        <f t="shared" si="0"/>
        <v>#REF!</v>
      </c>
      <c r="T15" s="35"/>
      <c r="U15" s="35"/>
      <c r="V15" s="35"/>
      <c r="W15" s="35"/>
      <c r="X15" s="35"/>
    </row>
    <row r="16" spans="1:28" ht="24.95" customHeight="1" x14ac:dyDescent="0.3">
      <c r="A16" s="37">
        <v>12</v>
      </c>
      <c r="B16" s="48" t="s">
        <v>103</v>
      </c>
      <c r="C16" s="38"/>
      <c r="D16" s="38" t="e">
        <f>C21</f>
        <v>#REF!</v>
      </c>
      <c r="E16" s="38" t="e">
        <f t="shared" ref="E16:R16" si="3">D21</f>
        <v>#REF!</v>
      </c>
      <c r="F16" s="38" t="e">
        <f t="shared" si="3"/>
        <v>#REF!</v>
      </c>
      <c r="G16" s="38" t="e">
        <f t="shared" si="3"/>
        <v>#REF!</v>
      </c>
      <c r="H16" s="38" t="e">
        <f t="shared" si="3"/>
        <v>#REF!</v>
      </c>
      <c r="I16" s="38" t="e">
        <f t="shared" si="3"/>
        <v>#REF!</v>
      </c>
      <c r="J16" s="38" t="e">
        <f t="shared" si="3"/>
        <v>#REF!</v>
      </c>
      <c r="K16" s="38" t="e">
        <f t="shared" si="3"/>
        <v>#REF!</v>
      </c>
      <c r="L16" s="38" t="e">
        <f t="shared" si="3"/>
        <v>#REF!</v>
      </c>
      <c r="M16" s="38" t="e">
        <f t="shared" si="3"/>
        <v>#REF!</v>
      </c>
      <c r="N16" s="38" t="e">
        <f t="shared" si="3"/>
        <v>#REF!</v>
      </c>
      <c r="O16" s="38" t="e">
        <f t="shared" si="3"/>
        <v>#REF!</v>
      </c>
      <c r="P16" s="38" t="e">
        <f t="shared" si="3"/>
        <v>#REF!</v>
      </c>
      <c r="Q16" s="38" t="e">
        <f t="shared" si="3"/>
        <v>#REF!</v>
      </c>
      <c r="R16" s="38" t="e">
        <f t="shared" si="3"/>
        <v>#REF!</v>
      </c>
      <c r="S16" s="38"/>
      <c r="T16" s="35"/>
      <c r="U16" s="35"/>
      <c r="V16" s="35"/>
      <c r="W16" s="35"/>
      <c r="X16" s="35"/>
    </row>
    <row r="17" spans="1:24" ht="24.95" customHeight="1" x14ac:dyDescent="0.3">
      <c r="A17" s="37">
        <v>13</v>
      </c>
      <c r="B17" s="48" t="s">
        <v>27</v>
      </c>
      <c r="C17" s="38" t="e">
        <f>C16+C15</f>
        <v>#REF!</v>
      </c>
      <c r="D17" s="38" t="e">
        <f t="shared" ref="D17:R17" si="4">D16+D15</f>
        <v>#REF!</v>
      </c>
      <c r="E17" s="38" t="e">
        <f t="shared" si="4"/>
        <v>#REF!</v>
      </c>
      <c r="F17" s="38" t="e">
        <f t="shared" si="4"/>
        <v>#REF!</v>
      </c>
      <c r="G17" s="38" t="e">
        <f t="shared" si="4"/>
        <v>#REF!</v>
      </c>
      <c r="H17" s="38" t="e">
        <f t="shared" si="4"/>
        <v>#REF!</v>
      </c>
      <c r="I17" s="38" t="e">
        <f t="shared" si="4"/>
        <v>#REF!</v>
      </c>
      <c r="J17" s="38" t="e">
        <f t="shared" si="4"/>
        <v>#REF!</v>
      </c>
      <c r="K17" s="38" t="e">
        <f t="shared" si="4"/>
        <v>#REF!</v>
      </c>
      <c r="L17" s="38" t="e">
        <f t="shared" si="4"/>
        <v>#REF!</v>
      </c>
      <c r="M17" s="38" t="e">
        <f t="shared" si="4"/>
        <v>#REF!</v>
      </c>
      <c r="N17" s="38" t="e">
        <f t="shared" si="4"/>
        <v>#REF!</v>
      </c>
      <c r="O17" s="38" t="e">
        <f t="shared" si="4"/>
        <v>#REF!</v>
      </c>
      <c r="P17" s="38" t="e">
        <f t="shared" si="4"/>
        <v>#REF!</v>
      </c>
      <c r="Q17" s="38" t="e">
        <f t="shared" si="4"/>
        <v>#REF!</v>
      </c>
      <c r="R17" s="38" t="e">
        <f t="shared" si="4"/>
        <v>#REF!</v>
      </c>
      <c r="S17" s="38"/>
      <c r="T17" s="35"/>
      <c r="U17" s="35"/>
      <c r="V17" s="35"/>
      <c r="W17" s="35"/>
      <c r="X17" s="35"/>
    </row>
    <row r="18" spans="1:24" s="6" customFormat="1" ht="24.95" customHeight="1" x14ac:dyDescent="0.3">
      <c r="A18" s="37">
        <v>14</v>
      </c>
      <c r="B18" s="48" t="s">
        <v>138</v>
      </c>
      <c r="C18" s="38"/>
      <c r="D18" s="38"/>
      <c r="E18" s="38"/>
      <c r="F18" s="38" t="e">
        <f>IF(SUM(C15:F15)&lt;0,0,IF(SUM(C15:F15)&gt;=0,SUM(C15:F15)*基础数据!$C$46))</f>
        <v>#REF!</v>
      </c>
      <c r="G18" s="38"/>
      <c r="H18" s="38"/>
      <c r="I18" s="38"/>
      <c r="J18" s="38" t="e">
        <f>IF(SUM(G15:J15)&lt;0,0,IF(SUM(G15:J15)&gt;=0,SUM(G15:J15)*基础数据!$C$46))</f>
        <v>#REF!</v>
      </c>
      <c r="K18" s="38"/>
      <c r="L18" s="38"/>
      <c r="M18" s="38"/>
      <c r="N18" s="38" t="e">
        <f>IF(SUM(K15:N15)&lt;0,0,IF(SUM(K15:N15)&gt;=0,SUM(K15:N15)*基础数据!$C$46))</f>
        <v>#REF!</v>
      </c>
      <c r="O18" s="38"/>
      <c r="P18" s="38"/>
      <c r="Q18" s="38"/>
      <c r="R18" s="38" t="e">
        <f>IF(SUM(O15:R15)&lt;0,0,IF(SUM(O15:R15)&gt;=0,SUM(O15:R15)*基础数据!$C$46))</f>
        <v>#REF!</v>
      </c>
      <c r="S18" s="38" t="e">
        <f t="shared" si="0"/>
        <v>#REF!</v>
      </c>
      <c r="T18" s="35"/>
      <c r="U18" s="35"/>
      <c r="V18" s="35"/>
      <c r="W18" s="35"/>
      <c r="X18" s="35"/>
    </row>
    <row r="19" spans="1:24" s="6" customFormat="1" ht="24.95" hidden="1" customHeight="1" x14ac:dyDescent="0.3">
      <c r="A19" s="37">
        <v>15</v>
      </c>
      <c r="B19" s="48"/>
      <c r="C19" s="38" t="e">
        <f>IF(C15&lt;0,0,IF(C15&gt;=0,C15*基础数据!$C$47))</f>
        <v>#REF!</v>
      </c>
      <c r="D19" s="38"/>
      <c r="E19" s="38"/>
      <c r="F19" s="38"/>
      <c r="G19" s="38"/>
      <c r="H19" s="38"/>
      <c r="I19" s="38"/>
      <c r="J19" s="38"/>
      <c r="K19" s="38"/>
      <c r="L19" s="38"/>
      <c r="M19" s="38" t="e">
        <f>IF(M15&lt;0,0,IF(M15&gt;=0,M15*基础数据!$C$47))</f>
        <v>#REF!</v>
      </c>
      <c r="N19" s="38" t="e">
        <f>IF(N15&lt;0,0,IF(N15&gt;=0,N15*基础数据!$C$47))</f>
        <v>#REF!</v>
      </c>
      <c r="O19" s="38" t="e">
        <f>IF(O15&lt;0,0,IF(O15&gt;=0,O15*基础数据!$C$47))</f>
        <v>#REF!</v>
      </c>
      <c r="P19" s="38" t="e">
        <f>IF(P15&lt;0,0,IF(P15&gt;=0,P15*基础数据!$C$47))</f>
        <v>#REF!</v>
      </c>
      <c r="Q19" s="38"/>
      <c r="R19" s="38"/>
      <c r="S19" s="38" t="e">
        <f t="shared" si="0"/>
        <v>#REF!</v>
      </c>
      <c r="T19" s="35"/>
      <c r="U19" s="35"/>
      <c r="V19" s="35"/>
      <c r="W19" s="35"/>
      <c r="X19" s="35"/>
    </row>
    <row r="20" spans="1:24" ht="24.95" hidden="1" customHeight="1" x14ac:dyDescent="0.3">
      <c r="A20" s="37">
        <v>16</v>
      </c>
      <c r="B20" s="48" t="s">
        <v>105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>
        <f>SUM(C20:Q20)</f>
        <v>0</v>
      </c>
      <c r="T20" s="35"/>
      <c r="U20" s="35"/>
      <c r="V20" s="35"/>
      <c r="W20" s="43" t="e">
        <f>S13/S5</f>
        <v>#REF!</v>
      </c>
      <c r="X20" s="35"/>
    </row>
    <row r="21" spans="1:24" ht="24.95" customHeight="1" x14ac:dyDescent="0.3">
      <c r="A21" s="37">
        <v>17</v>
      </c>
      <c r="B21" s="48" t="s">
        <v>28</v>
      </c>
      <c r="C21" s="38" t="e">
        <f>C17-C18-C20</f>
        <v>#REF!</v>
      </c>
      <c r="D21" s="38" t="e">
        <f t="shared" ref="D21:R21" si="5">D17-D18-D20</f>
        <v>#REF!</v>
      </c>
      <c r="E21" s="38" t="e">
        <f t="shared" si="5"/>
        <v>#REF!</v>
      </c>
      <c r="F21" s="38" t="e">
        <f>F17-F18-F20</f>
        <v>#REF!</v>
      </c>
      <c r="G21" s="38" t="e">
        <f t="shared" si="5"/>
        <v>#REF!</v>
      </c>
      <c r="H21" s="38" t="e">
        <f t="shared" si="5"/>
        <v>#REF!</v>
      </c>
      <c r="I21" s="38" t="e">
        <f t="shared" si="5"/>
        <v>#REF!</v>
      </c>
      <c r="J21" s="38" t="e">
        <f t="shared" si="5"/>
        <v>#REF!</v>
      </c>
      <c r="K21" s="38" t="e">
        <f t="shared" si="5"/>
        <v>#REF!</v>
      </c>
      <c r="L21" s="38" t="e">
        <f t="shared" si="5"/>
        <v>#REF!</v>
      </c>
      <c r="M21" s="38" t="e">
        <f t="shared" si="5"/>
        <v>#REF!</v>
      </c>
      <c r="N21" s="38" t="e">
        <f t="shared" si="5"/>
        <v>#REF!</v>
      </c>
      <c r="O21" s="38" t="e">
        <f t="shared" si="5"/>
        <v>#REF!</v>
      </c>
      <c r="P21" s="38" t="e">
        <f t="shared" si="5"/>
        <v>#REF!</v>
      </c>
      <c r="Q21" s="38" t="e">
        <f t="shared" si="5"/>
        <v>#REF!</v>
      </c>
      <c r="R21" s="38" t="e">
        <f t="shared" si="5"/>
        <v>#REF!</v>
      </c>
      <c r="S21" s="38"/>
      <c r="T21" s="35"/>
      <c r="U21" s="35"/>
      <c r="V21" s="35"/>
      <c r="W21" s="43">
        <f>结论表!J10</f>
        <v>0.13400000000000001</v>
      </c>
      <c r="X21" s="35"/>
    </row>
    <row r="24" spans="1:24" hidden="1" x14ac:dyDescent="0.25">
      <c r="B24" s="2" t="s">
        <v>73</v>
      </c>
      <c r="C24" s="4" t="e">
        <f>(S12+S13)/S12</f>
        <v>#REF!</v>
      </c>
      <c r="D24" s="4"/>
      <c r="E24" s="4"/>
      <c r="F24" s="4"/>
      <c r="G24" s="4"/>
      <c r="H24" s="4"/>
      <c r="I24" s="4"/>
      <c r="J24" s="4"/>
      <c r="K24" s="4"/>
      <c r="L24" s="4"/>
      <c r="M24" s="5" t="s">
        <v>74</v>
      </c>
    </row>
    <row r="25" spans="1:24" ht="18" x14ac:dyDescent="0.3">
      <c r="B25" s="23" t="s">
        <v>178</v>
      </c>
      <c r="C25" s="24">
        <v>-0.05</v>
      </c>
      <c r="J25" s="3"/>
    </row>
  </sheetData>
  <mergeCells count="7">
    <mergeCell ref="A1:S1"/>
    <mergeCell ref="C2:P2"/>
    <mergeCell ref="Q2:S2"/>
    <mergeCell ref="C3:F3"/>
    <mergeCell ref="G3:J3"/>
    <mergeCell ref="K3:N3"/>
    <mergeCell ref="O3:R3"/>
  </mergeCells>
  <phoneticPr fontId="19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3" tint="0.59999389629810485"/>
  </sheetPr>
  <dimension ref="A1:T29"/>
  <sheetViews>
    <sheetView topLeftCell="E1" zoomScaleNormal="100" zoomScaleSheetLayoutView="115" workbookViewId="0">
      <selection activeCell="D18" sqref="D18:R18"/>
    </sheetView>
  </sheetViews>
  <sheetFormatPr defaultColWidth="11" defaultRowHeight="18" x14ac:dyDescent="0.3"/>
  <cols>
    <col min="1" max="1" width="4.625" style="26" customWidth="1"/>
    <col min="2" max="2" width="22.125" style="26" customWidth="1"/>
    <col min="3" max="17" width="9.625" style="26" customWidth="1"/>
    <col min="18" max="18" width="11" style="26" customWidth="1"/>
    <col min="19" max="19" width="8.875" style="26" customWidth="1"/>
    <col min="20" max="16384" width="11" style="26"/>
  </cols>
  <sheetData>
    <row r="1" spans="1:20" ht="24" customHeight="1" x14ac:dyDescent="0.3">
      <c r="A1" s="831" t="s">
        <v>12</v>
      </c>
      <c r="B1" s="831"/>
      <c r="C1" s="831"/>
      <c r="D1" s="831"/>
      <c r="E1" s="831"/>
      <c r="F1" s="831"/>
      <c r="G1" s="831"/>
      <c r="H1" s="831"/>
      <c r="I1" s="831"/>
      <c r="J1" s="831"/>
      <c r="K1" s="831"/>
      <c r="L1" s="831"/>
      <c r="M1" s="831"/>
      <c r="N1" s="831"/>
      <c r="O1" s="831"/>
      <c r="P1" s="831"/>
      <c r="Q1" s="831"/>
      <c r="R1" s="831"/>
      <c r="S1" s="46"/>
    </row>
    <row r="2" spans="1:20" ht="49.5" customHeight="1" x14ac:dyDescent="0.3">
      <c r="A2" s="27" t="s">
        <v>175</v>
      </c>
      <c r="B2" s="27"/>
      <c r="C2" s="832" t="str">
        <f>基础数据!C5</f>
        <v>北京市密云区檀营乡6005地块R2二类居住用地（编号：京土整储挂（密）[2021]026号）居住项目</v>
      </c>
      <c r="D2" s="832"/>
      <c r="E2" s="832"/>
      <c r="F2" s="832"/>
      <c r="G2" s="832"/>
      <c r="H2" s="832"/>
      <c r="I2" s="832"/>
      <c r="J2" s="832"/>
      <c r="K2" s="832"/>
      <c r="L2" s="832"/>
      <c r="M2" s="832"/>
      <c r="N2" s="832"/>
      <c r="O2" s="832"/>
      <c r="P2" s="832"/>
      <c r="Q2" s="832"/>
      <c r="R2" s="832"/>
      <c r="S2" s="46"/>
    </row>
    <row r="3" spans="1:20" ht="24" customHeight="1" x14ac:dyDescent="0.3">
      <c r="A3" s="28" t="s">
        <v>9</v>
      </c>
      <c r="B3" s="28" t="s">
        <v>81</v>
      </c>
      <c r="C3" s="833" t="str">
        <f>'主表1（成本）'!C3</f>
        <v>2021年</v>
      </c>
      <c r="D3" s="834"/>
      <c r="E3" s="834"/>
      <c r="F3" s="835"/>
      <c r="G3" s="833" t="str">
        <f>'主表1（成本）'!G3</f>
        <v>2022年</v>
      </c>
      <c r="H3" s="834"/>
      <c r="I3" s="834"/>
      <c r="J3" s="835"/>
      <c r="K3" s="833" t="str">
        <f>'主表1（成本）'!K3</f>
        <v>2023年</v>
      </c>
      <c r="L3" s="834"/>
      <c r="M3" s="834"/>
      <c r="N3" s="835"/>
      <c r="O3" s="833" t="str">
        <f>'主表1（成本）'!O3</f>
        <v>2024年</v>
      </c>
      <c r="P3" s="834"/>
      <c r="Q3" s="834"/>
      <c r="R3" s="835"/>
      <c r="S3" s="28" t="s">
        <v>34</v>
      </c>
    </row>
    <row r="4" spans="1:20" ht="24" customHeight="1" x14ac:dyDescent="0.3">
      <c r="A4" s="28"/>
      <c r="B4" s="28"/>
      <c r="C4" s="28" t="str">
        <f>'主表1（成本）'!C4</f>
        <v>Q1</v>
      </c>
      <c r="D4" s="28" t="str">
        <f>'主表1（成本）'!D4</f>
        <v>Q2</v>
      </c>
      <c r="E4" s="28" t="str">
        <f>'主表1（成本）'!E4</f>
        <v>Q3</v>
      </c>
      <c r="F4" s="28" t="str">
        <f>'主表1（成本）'!F4</f>
        <v>Q4</v>
      </c>
      <c r="G4" s="28" t="str">
        <f>'主表1（成本）'!G4</f>
        <v>Q1</v>
      </c>
      <c r="H4" s="28" t="str">
        <f>'主表1（成本）'!H4</f>
        <v>Q2</v>
      </c>
      <c r="I4" s="28" t="str">
        <f>'主表1（成本）'!I4</f>
        <v>Q3</v>
      </c>
      <c r="J4" s="28" t="str">
        <f>'主表1（成本）'!J4</f>
        <v>Q4</v>
      </c>
      <c r="K4" s="28" t="str">
        <f>'主表1（成本）'!K4</f>
        <v>Q1</v>
      </c>
      <c r="L4" s="28" t="str">
        <f>'主表1（成本）'!L4</f>
        <v>Q2</v>
      </c>
      <c r="M4" s="28" t="str">
        <f>'主表1（成本）'!M4</f>
        <v>Q3</v>
      </c>
      <c r="N4" s="28" t="str">
        <f>'主表1（成本）'!N4</f>
        <v>Q4</v>
      </c>
      <c r="O4" s="28" t="str">
        <f>'主表1（成本）'!O4</f>
        <v>Q1</v>
      </c>
      <c r="P4" s="28" t="str">
        <f>'主表1（成本）'!P4</f>
        <v>Q2</v>
      </c>
      <c r="Q4" s="28" t="str">
        <f>'主表1（成本）'!Q4</f>
        <v>Q3</v>
      </c>
      <c r="R4" s="28" t="str">
        <f>'主表1（成本）'!R4</f>
        <v>Q4</v>
      </c>
      <c r="S4" s="28"/>
    </row>
    <row r="5" spans="1:20" ht="24" customHeight="1" x14ac:dyDescent="0.3">
      <c r="A5" s="28">
        <v>1</v>
      </c>
      <c r="B5" s="28" t="s">
        <v>13</v>
      </c>
      <c r="C5" s="29" t="e">
        <f t="shared" ref="C5:R5" si="0">SUM(C6:C9)</f>
        <v>#REF!</v>
      </c>
      <c r="D5" s="29" t="e">
        <f t="shared" si="0"/>
        <v>#REF!</v>
      </c>
      <c r="E5" s="29" t="e">
        <f t="shared" si="0"/>
        <v>#REF!</v>
      </c>
      <c r="F5" s="29" t="e">
        <f t="shared" si="0"/>
        <v>#REF!</v>
      </c>
      <c r="G5" s="29" t="e">
        <f t="shared" si="0"/>
        <v>#REF!</v>
      </c>
      <c r="H5" s="29" t="e">
        <f t="shared" si="0"/>
        <v>#REF!</v>
      </c>
      <c r="I5" s="29" t="e">
        <f t="shared" si="0"/>
        <v>#REF!</v>
      </c>
      <c r="J5" s="29" t="e">
        <f t="shared" si="0"/>
        <v>#REF!</v>
      </c>
      <c r="K5" s="29" t="e">
        <f t="shared" si="0"/>
        <v>#REF!</v>
      </c>
      <c r="L5" s="29" t="e">
        <f t="shared" si="0"/>
        <v>#REF!</v>
      </c>
      <c r="M5" s="29" t="e">
        <f t="shared" si="0"/>
        <v>#REF!</v>
      </c>
      <c r="N5" s="29" t="e">
        <f t="shared" si="0"/>
        <v>#REF!</v>
      </c>
      <c r="O5" s="29" t="e">
        <f t="shared" si="0"/>
        <v>#REF!</v>
      </c>
      <c r="P5" s="29" t="e">
        <f t="shared" si="0"/>
        <v>#REF!</v>
      </c>
      <c r="Q5" s="29" t="e">
        <f t="shared" si="0"/>
        <v>#REF!</v>
      </c>
      <c r="R5" s="29" t="e">
        <f t="shared" si="0"/>
        <v>#REF!</v>
      </c>
      <c r="S5" s="29" t="e">
        <f t="shared" ref="S5:S17" si="1">SUM(C5:R5)</f>
        <v>#REF!</v>
      </c>
    </row>
    <row r="6" spans="1:20" ht="24" customHeight="1" x14ac:dyDescent="0.3">
      <c r="A6" s="28">
        <v>2</v>
      </c>
      <c r="B6" s="28" t="s">
        <v>2</v>
      </c>
      <c r="C6" s="47" t="e">
        <f>ROUND('底表1（销售）'!F27,0)*(1+$C$29)</f>
        <v>#REF!</v>
      </c>
      <c r="D6" s="47" t="e">
        <f>ROUND('底表1（销售）'!G27,0)*(1+$C$29)</f>
        <v>#REF!</v>
      </c>
      <c r="E6" s="47" t="e">
        <f>ROUND('底表1（销售）'!H27,0)*(1+$C$29)</f>
        <v>#REF!</v>
      </c>
      <c r="F6" s="47" t="e">
        <f>ROUND('底表1（销售）'!I27,0)*(1+$C$29)</f>
        <v>#REF!</v>
      </c>
      <c r="G6" s="47" t="e">
        <f>ROUND('底表1（销售）'!J27,0)*(1+$C$29)</f>
        <v>#REF!</v>
      </c>
      <c r="H6" s="47" t="e">
        <f>ROUND('底表1（销售）'!K27,0)*(1+$C$29)</f>
        <v>#REF!</v>
      </c>
      <c r="I6" s="47" t="e">
        <f>ROUND('底表1（销售）'!L27,0)*(1+$C$29)</f>
        <v>#REF!</v>
      </c>
      <c r="J6" s="47" t="e">
        <f>ROUND('底表1（销售）'!M27,0)*(1+$C$29)</f>
        <v>#REF!</v>
      </c>
      <c r="K6" s="47" t="e">
        <f>ROUND('底表1（销售）'!N27,0)*(1+$C$29)</f>
        <v>#REF!</v>
      </c>
      <c r="L6" s="47" t="e">
        <f>ROUND('底表1（销售）'!O27,0)*(1+$C$29)</f>
        <v>#REF!</v>
      </c>
      <c r="M6" s="47" t="e">
        <f>ROUND('底表1（销售）'!P27,0)*(1+$C$29)</f>
        <v>#REF!</v>
      </c>
      <c r="N6" s="47" t="e">
        <f>ROUND('底表1（销售）'!Q27,0)*(1+$C$29)</f>
        <v>#REF!</v>
      </c>
      <c r="O6" s="47" t="e">
        <f>ROUND('底表1（销售）'!R27,0)*(1+$C$29)</f>
        <v>#REF!</v>
      </c>
      <c r="P6" s="47" t="e">
        <f>ROUND('底表1（销售）'!S27,0)*(1+$C$29)</f>
        <v>#REF!</v>
      </c>
      <c r="Q6" s="47" t="e">
        <f>ROUND('底表1（销售）'!T27,0)*(1+$C$29)</f>
        <v>#REF!</v>
      </c>
      <c r="R6" s="47" t="e">
        <f>ROUND('底表1（销售）'!U27,0)*(1+$C$29)</f>
        <v>#REF!</v>
      </c>
      <c r="S6" s="29" t="e">
        <f t="shared" si="1"/>
        <v>#REF!</v>
      </c>
      <c r="T6" s="26" t="e">
        <f>'底表1（销售）'!BS6*(1+$C$29)</f>
        <v>#REF!</v>
      </c>
    </row>
    <row r="7" spans="1:20" ht="24" hidden="1" customHeight="1" x14ac:dyDescent="0.3">
      <c r="A7" s="28">
        <v>3</v>
      </c>
      <c r="B7" s="30" t="s">
        <v>10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>
        <f t="shared" si="1"/>
        <v>0</v>
      </c>
    </row>
    <row r="8" spans="1:20" ht="24" hidden="1" customHeight="1" x14ac:dyDescent="0.3">
      <c r="A8" s="28">
        <v>4</v>
      </c>
      <c r="B8" s="28" t="s">
        <v>14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>
        <f t="shared" si="1"/>
        <v>0</v>
      </c>
    </row>
    <row r="9" spans="1:20" ht="24" hidden="1" customHeight="1" x14ac:dyDescent="0.3">
      <c r="A9" s="28">
        <v>5</v>
      </c>
      <c r="B9" s="28" t="s">
        <v>0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>
        <f t="shared" si="1"/>
        <v>0</v>
      </c>
    </row>
    <row r="10" spans="1:20" ht="24" customHeight="1" x14ac:dyDescent="0.3">
      <c r="A10" s="28">
        <v>6</v>
      </c>
      <c r="B10" s="28" t="s">
        <v>15</v>
      </c>
      <c r="C10" s="29" t="e">
        <f t="shared" ref="C10:R10" si="2">SUM(C11:C16)</f>
        <v>#REF!</v>
      </c>
      <c r="D10" s="29" t="e">
        <f t="shared" si="2"/>
        <v>#REF!</v>
      </c>
      <c r="E10" s="29" t="e">
        <f t="shared" si="2"/>
        <v>#REF!</v>
      </c>
      <c r="F10" s="29" t="e">
        <f t="shared" si="2"/>
        <v>#REF!</v>
      </c>
      <c r="G10" s="29" t="e">
        <f t="shared" si="2"/>
        <v>#REF!</v>
      </c>
      <c r="H10" s="29" t="e">
        <f t="shared" si="2"/>
        <v>#REF!</v>
      </c>
      <c r="I10" s="29" t="e">
        <f t="shared" si="2"/>
        <v>#REF!</v>
      </c>
      <c r="J10" s="29" t="e">
        <f t="shared" si="2"/>
        <v>#REF!</v>
      </c>
      <c r="K10" s="29" t="e">
        <f t="shared" si="2"/>
        <v>#REF!</v>
      </c>
      <c r="L10" s="29" t="e">
        <f t="shared" si="2"/>
        <v>#REF!</v>
      </c>
      <c r="M10" s="29" t="e">
        <f t="shared" si="2"/>
        <v>#REF!</v>
      </c>
      <c r="N10" s="29" t="e">
        <f t="shared" si="2"/>
        <v>#REF!</v>
      </c>
      <c r="O10" s="29" t="e">
        <f t="shared" si="2"/>
        <v>#REF!</v>
      </c>
      <c r="P10" s="29" t="e">
        <f t="shared" si="2"/>
        <v>#REF!</v>
      </c>
      <c r="Q10" s="29" t="e">
        <f t="shared" si="2"/>
        <v>#REF!</v>
      </c>
      <c r="R10" s="29" t="e">
        <f t="shared" si="2"/>
        <v>#REF!</v>
      </c>
      <c r="S10" s="29" t="e">
        <f t="shared" si="1"/>
        <v>#REF!</v>
      </c>
    </row>
    <row r="11" spans="1:20" ht="24" customHeight="1" x14ac:dyDescent="0.3">
      <c r="A11" s="28">
        <v>7</v>
      </c>
      <c r="B11" s="28" t="s">
        <v>16</v>
      </c>
      <c r="C11" s="29">
        <f>ROUND('主表1（成本）'!C39*$C$25,0)</f>
        <v>0</v>
      </c>
      <c r="D11" s="29">
        <f>ROUND('主表1（成本）'!D39*$C$25,0)</f>
        <v>179014</v>
      </c>
      <c r="E11" s="29">
        <f>ROUND('主表1（成本）'!E39*$C$25,0)</f>
        <v>24438</v>
      </c>
      <c r="F11" s="29">
        <f>ROUND('主表1（成本）'!F39*$C$25,0)</f>
        <v>14028</v>
      </c>
      <c r="G11" s="29">
        <f>ROUND('主表1（成本）'!G39*$C$25,0)</f>
        <v>9527</v>
      </c>
      <c r="H11" s="29">
        <f>ROUND('主表1（成本）'!H39*$C$25,0)</f>
        <v>9716</v>
      </c>
      <c r="I11" s="29">
        <f>ROUND('主表1（成本）'!I39*$C$25,0)</f>
        <v>9680</v>
      </c>
      <c r="J11" s="29">
        <f>ROUND('主表1（成本）'!J39*$C$25,0)</f>
        <v>9394</v>
      </c>
      <c r="K11" s="29">
        <f>ROUND('主表1（成本）'!K39*$C$25,0)</f>
        <v>7578</v>
      </c>
      <c r="L11" s="29">
        <f>ROUND('主表1（成本）'!L39*$C$25,0)</f>
        <v>7302</v>
      </c>
      <c r="M11" s="29">
        <f>ROUND('主表1（成本）'!M39*$C$25,0)</f>
        <v>5413</v>
      </c>
      <c r="N11" s="29">
        <f>ROUND('主表1（成本）'!N39*$C$25,0)</f>
        <v>5381</v>
      </c>
      <c r="O11" s="29">
        <f>ROUND('主表1（成本）'!O39*$C$25,0)</f>
        <v>4367</v>
      </c>
      <c r="P11" s="29">
        <f>ROUND('主表1（成本）'!P39*$C$25,0)</f>
        <v>4285</v>
      </c>
      <c r="Q11" s="29">
        <f>ROUND('主表1（成本）'!Q39*$C$25,0)</f>
        <v>0</v>
      </c>
      <c r="R11" s="29">
        <f>ROUND('主表1（成本）'!R39*$C$25,0)</f>
        <v>0</v>
      </c>
      <c r="S11" s="29">
        <f t="shared" si="1"/>
        <v>290123</v>
      </c>
      <c r="T11" s="26">
        <f>'主表1（成本）'!B39</f>
        <v>290123</v>
      </c>
    </row>
    <row r="12" spans="1:20" ht="24" hidden="1" customHeight="1" x14ac:dyDescent="0.3">
      <c r="A12" s="28">
        <v>8</v>
      </c>
      <c r="B12" s="28" t="s">
        <v>17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>
        <f t="shared" si="1"/>
        <v>0</v>
      </c>
    </row>
    <row r="13" spans="1:20" ht="24" customHeight="1" x14ac:dyDescent="0.3">
      <c r="A13" s="28">
        <v>9</v>
      </c>
      <c r="B13" s="28" t="s">
        <v>137</v>
      </c>
      <c r="C13" s="29" t="e">
        <f>ROUND('底表1（销售）'!F28,0)*(1+$C$29)</f>
        <v>#REF!</v>
      </c>
      <c r="D13" s="29" t="e">
        <f>ROUND('底表1（销售）'!G28,0)*(1+$C$29)</f>
        <v>#REF!</v>
      </c>
      <c r="E13" s="29" t="e">
        <f>ROUND('底表1（销售）'!H28,0)*(1+$C$29)</f>
        <v>#REF!</v>
      </c>
      <c r="F13" s="29" t="e">
        <f>ROUND('底表1（销售）'!I28,0)*(1+$C$29)</f>
        <v>#REF!</v>
      </c>
      <c r="G13" s="29" t="e">
        <f>ROUND('底表1（销售）'!J28,0)*(1+$C$29)</f>
        <v>#REF!</v>
      </c>
      <c r="H13" s="29" t="e">
        <f>ROUND('底表1（销售）'!K28,0)*(1+$C$29)</f>
        <v>#REF!</v>
      </c>
      <c r="I13" s="29" t="e">
        <f>ROUND('底表1（销售）'!L28,0)*(1+$C$29)</f>
        <v>#REF!</v>
      </c>
      <c r="J13" s="29" t="e">
        <f>ROUND('底表1（销售）'!M28,0)*(1+$C$29)</f>
        <v>#REF!</v>
      </c>
      <c r="K13" s="29" t="e">
        <f>ROUND('底表1（销售）'!N28,0)*(1+$C$29)</f>
        <v>#REF!</v>
      </c>
      <c r="L13" s="29" t="e">
        <f>ROUND('底表1（销售）'!O28,0)*(1+$C$29)</f>
        <v>#REF!</v>
      </c>
      <c r="M13" s="29" t="e">
        <f>ROUND('底表1（销售）'!P28,0)*(1+$C$29)</f>
        <v>#REF!</v>
      </c>
      <c r="N13" s="29" t="e">
        <f>ROUND('底表1（销售）'!Q28,0)*(1+$C$29)</f>
        <v>#REF!</v>
      </c>
      <c r="O13" s="29" t="e">
        <f>ROUND('底表1（销售）'!R28,0)*(1+$C$29)</f>
        <v>#REF!</v>
      </c>
      <c r="P13" s="29" t="e">
        <f>ROUND('底表1（销售）'!S28,0)*(1+$C$29)</f>
        <v>#REF!</v>
      </c>
      <c r="Q13" s="29" t="e">
        <f>ROUND('底表1（销售）'!T28,0)*(1+$C$29)</f>
        <v>#REF!</v>
      </c>
      <c r="R13" s="29" t="e">
        <f>ROUND('底表1（销售）'!U28,0)*(1+$C$29)</f>
        <v>#REF!</v>
      </c>
      <c r="S13" s="29" t="e">
        <f t="shared" si="1"/>
        <v>#REF!</v>
      </c>
      <c r="T13" s="26" t="e">
        <f>'底表1（销售）'!BS13*(1+$C$29)</f>
        <v>#REF!</v>
      </c>
    </row>
    <row r="14" spans="1:20" ht="24" customHeight="1" x14ac:dyDescent="0.3">
      <c r="A14" s="28">
        <v>10</v>
      </c>
      <c r="B14" s="28" t="s">
        <v>19</v>
      </c>
      <c r="C14" s="29">
        <f>'主表4-1（敏感性分析 销售-10%）'!C9</f>
        <v>0</v>
      </c>
      <c r="D14" s="29">
        <f>'主表4-1（敏感性分析 销售-10%）'!D9</f>
        <v>0</v>
      </c>
      <c r="E14" s="29">
        <f>'主表4-1（敏感性分析 销售-10%）'!E9</f>
        <v>0</v>
      </c>
      <c r="F14" s="29">
        <f>'主表4-1（敏感性分析 销售-10%）'!F9</f>
        <v>0</v>
      </c>
      <c r="G14" s="29">
        <f>'主表4-1（敏感性分析 销售-10%）'!G9</f>
        <v>1020</v>
      </c>
      <c r="H14" s="29">
        <f>'主表4-1（敏感性分析 销售-10%）'!H9</f>
        <v>1624</v>
      </c>
      <c r="I14" s="29">
        <f>'主表4-1（敏感性分析 销售-10%）'!I9</f>
        <v>1293</v>
      </c>
      <c r="J14" s="29">
        <f>'主表4-1（敏感性分析 销售-10%）'!J9</f>
        <v>1175</v>
      </c>
      <c r="K14" s="29">
        <f>'主表4-1（敏感性分析 销售-10%）'!K9</f>
        <v>849</v>
      </c>
      <c r="L14" s="29">
        <f>'主表4-1（敏感性分析 销售-10%）'!L9</f>
        <v>0</v>
      </c>
      <c r="M14" s="29">
        <f>'主表4-1（敏感性分析 销售-10%）'!M9</f>
        <v>0</v>
      </c>
      <c r="N14" s="29">
        <f>'主表4-1（敏感性分析 销售-10%）'!N9</f>
        <v>0</v>
      </c>
      <c r="O14" s="29">
        <f>'主表4-1（敏感性分析 销售-10%）'!O9</f>
        <v>0</v>
      </c>
      <c r="P14" s="29">
        <f>'主表4-1（敏感性分析 销售-10%）'!P9</f>
        <v>0</v>
      </c>
      <c r="Q14" s="29">
        <f>'主表4-1（敏感性分析 销售-10%）'!Q9</f>
        <v>0</v>
      </c>
      <c r="R14" s="29">
        <f>'主表4-1（敏感性分析 销售-10%）'!R9</f>
        <v>0</v>
      </c>
      <c r="S14" s="29">
        <f t="shared" si="1"/>
        <v>5961</v>
      </c>
      <c r="T14" s="26">
        <f>'主表4-1（敏感性分析 销售-10%）'!T9</f>
        <v>5961</v>
      </c>
    </row>
    <row r="15" spans="1:20" ht="24" customHeight="1" x14ac:dyDescent="0.3">
      <c r="A15" s="28">
        <v>11</v>
      </c>
      <c r="B15" s="28" t="s">
        <v>11</v>
      </c>
      <c r="C15" s="29">
        <f>'主表4-1（敏感性分析 销售-10%）'!C14</f>
        <v>0</v>
      </c>
      <c r="D15" s="29">
        <f>'主表4-1（敏感性分析 销售-10%）'!D14</f>
        <v>0</v>
      </c>
      <c r="E15" s="29">
        <f>'主表4-1（敏感性分析 销售-10%）'!E14</f>
        <v>0</v>
      </c>
      <c r="F15" s="29" t="e">
        <f>'主表4-1（敏感性分析 销售-10%）'!F14</f>
        <v>#REF!</v>
      </c>
      <c r="G15" s="29">
        <f>'主表4-1（敏感性分析 销售-10%）'!G14</f>
        <v>0</v>
      </c>
      <c r="H15" s="29">
        <f>'主表4-1（敏感性分析 销售-10%）'!H14</f>
        <v>0</v>
      </c>
      <c r="I15" s="29">
        <f>'主表4-1（敏感性分析 销售-10%）'!I14</f>
        <v>0</v>
      </c>
      <c r="J15" s="29" t="e">
        <f>'主表4-1（敏感性分析 销售-10%）'!J14</f>
        <v>#REF!</v>
      </c>
      <c r="K15" s="29">
        <f>'主表4-1（敏感性分析 销售-10%）'!K14</f>
        <v>0</v>
      </c>
      <c r="L15" s="29">
        <f>'主表4-1（敏感性分析 销售-10%）'!L14</f>
        <v>0</v>
      </c>
      <c r="M15" s="29">
        <f>'主表4-1（敏感性分析 销售-10%）'!M14</f>
        <v>0</v>
      </c>
      <c r="N15" s="29" t="e">
        <f>'主表4-1（敏感性分析 销售-10%）'!N14</f>
        <v>#REF!</v>
      </c>
      <c r="O15" s="29">
        <f>'主表4-1（敏感性分析 销售-10%）'!O14</f>
        <v>0</v>
      </c>
      <c r="P15" s="29">
        <f>'主表4-1（敏感性分析 销售-10%）'!P14</f>
        <v>0</v>
      </c>
      <c r="Q15" s="29">
        <f>'主表4-1（敏感性分析 销售-10%）'!Q14</f>
        <v>0</v>
      </c>
      <c r="R15" s="29" t="e">
        <f>'主表4-1（敏感性分析 销售-10%）'!R14</f>
        <v>#REF!</v>
      </c>
      <c r="S15" s="29" t="e">
        <f t="shared" si="1"/>
        <v>#REF!</v>
      </c>
      <c r="T15" s="26" t="e">
        <f>'主表4-1（敏感性分析 销售-10%）'!S14</f>
        <v>#REF!</v>
      </c>
    </row>
    <row r="16" spans="1:20" ht="24" customHeight="1" x14ac:dyDescent="0.3">
      <c r="A16" s="28">
        <v>12</v>
      </c>
      <c r="B16" s="28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>
        <f t="shared" si="1"/>
        <v>0</v>
      </c>
    </row>
    <row r="17" spans="1:19" ht="24" customHeight="1" x14ac:dyDescent="0.3">
      <c r="A17" s="28">
        <v>13</v>
      </c>
      <c r="B17" s="28" t="s">
        <v>20</v>
      </c>
      <c r="C17" s="29" t="e">
        <f t="shared" ref="C17:R17" si="3">C5-C10</f>
        <v>#REF!</v>
      </c>
      <c r="D17" s="29" t="e">
        <f t="shared" si="3"/>
        <v>#REF!</v>
      </c>
      <c r="E17" s="29" t="e">
        <f t="shared" si="3"/>
        <v>#REF!</v>
      </c>
      <c r="F17" s="29" t="e">
        <f t="shared" si="3"/>
        <v>#REF!</v>
      </c>
      <c r="G17" s="29" t="e">
        <f t="shared" si="3"/>
        <v>#REF!</v>
      </c>
      <c r="H17" s="29" t="e">
        <f t="shared" si="3"/>
        <v>#REF!</v>
      </c>
      <c r="I17" s="29" t="e">
        <f t="shared" si="3"/>
        <v>#REF!</v>
      </c>
      <c r="J17" s="29" t="e">
        <f t="shared" si="3"/>
        <v>#REF!</v>
      </c>
      <c r="K17" s="29" t="e">
        <f t="shared" si="3"/>
        <v>#REF!</v>
      </c>
      <c r="L17" s="29" t="e">
        <f t="shared" si="3"/>
        <v>#REF!</v>
      </c>
      <c r="M17" s="29" t="e">
        <f t="shared" si="3"/>
        <v>#REF!</v>
      </c>
      <c r="N17" s="29" t="e">
        <f t="shared" si="3"/>
        <v>#REF!</v>
      </c>
      <c r="O17" s="29" t="e">
        <f t="shared" si="3"/>
        <v>#REF!</v>
      </c>
      <c r="P17" s="29" t="e">
        <f t="shared" si="3"/>
        <v>#REF!</v>
      </c>
      <c r="Q17" s="29" t="e">
        <f t="shared" si="3"/>
        <v>#REF!</v>
      </c>
      <c r="R17" s="29" t="e">
        <f t="shared" si="3"/>
        <v>#REF!</v>
      </c>
      <c r="S17" s="29" t="e">
        <f t="shared" si="1"/>
        <v>#REF!</v>
      </c>
    </row>
    <row r="18" spans="1:19" ht="24" customHeight="1" x14ac:dyDescent="0.3">
      <c r="A18" s="28">
        <v>14</v>
      </c>
      <c r="B18" s="28" t="s">
        <v>21</v>
      </c>
      <c r="C18" s="29" t="e">
        <f>C17</f>
        <v>#REF!</v>
      </c>
      <c r="D18" s="29" t="e">
        <f>D17+C18</f>
        <v>#REF!</v>
      </c>
      <c r="E18" s="29" t="e">
        <f t="shared" ref="E18:R18" si="4">E17+D18</f>
        <v>#REF!</v>
      </c>
      <c r="F18" s="29" t="e">
        <f t="shared" si="4"/>
        <v>#REF!</v>
      </c>
      <c r="G18" s="29" t="e">
        <f t="shared" si="4"/>
        <v>#REF!</v>
      </c>
      <c r="H18" s="29" t="e">
        <f t="shared" si="4"/>
        <v>#REF!</v>
      </c>
      <c r="I18" s="29" t="e">
        <f t="shared" si="4"/>
        <v>#REF!</v>
      </c>
      <c r="J18" s="29" t="e">
        <f t="shared" si="4"/>
        <v>#REF!</v>
      </c>
      <c r="K18" s="29" t="e">
        <f t="shared" si="4"/>
        <v>#REF!</v>
      </c>
      <c r="L18" s="29" t="e">
        <f t="shared" si="4"/>
        <v>#REF!</v>
      </c>
      <c r="M18" s="29" t="e">
        <f t="shared" si="4"/>
        <v>#REF!</v>
      </c>
      <c r="N18" s="29" t="e">
        <f t="shared" si="4"/>
        <v>#REF!</v>
      </c>
      <c r="O18" s="29" t="e">
        <f t="shared" si="4"/>
        <v>#REF!</v>
      </c>
      <c r="P18" s="29" t="e">
        <f t="shared" si="4"/>
        <v>#REF!</v>
      </c>
      <c r="Q18" s="29" t="e">
        <f t="shared" si="4"/>
        <v>#REF!</v>
      </c>
      <c r="R18" s="29" t="e">
        <f t="shared" si="4"/>
        <v>#REF!</v>
      </c>
      <c r="S18" s="29"/>
    </row>
    <row r="19" spans="1:19" ht="24" customHeight="1" x14ac:dyDescent="0.3">
      <c r="A19" s="28">
        <v>15</v>
      </c>
      <c r="B19" s="28" t="s">
        <v>30</v>
      </c>
      <c r="C19" s="29" t="e">
        <f>C17/(1+$C$22)^C27</f>
        <v>#REF!</v>
      </c>
      <c r="D19" s="29" t="e">
        <f t="shared" ref="D19:R19" si="5">D17/(1+$C$22)^D27</f>
        <v>#REF!</v>
      </c>
      <c r="E19" s="29" t="e">
        <f t="shared" si="5"/>
        <v>#REF!</v>
      </c>
      <c r="F19" s="29" t="e">
        <f t="shared" si="5"/>
        <v>#REF!</v>
      </c>
      <c r="G19" s="29" t="e">
        <f t="shared" si="5"/>
        <v>#REF!</v>
      </c>
      <c r="H19" s="29" t="e">
        <f t="shared" si="5"/>
        <v>#REF!</v>
      </c>
      <c r="I19" s="29" t="e">
        <f t="shared" si="5"/>
        <v>#REF!</v>
      </c>
      <c r="J19" s="29" t="e">
        <f t="shared" si="5"/>
        <v>#REF!</v>
      </c>
      <c r="K19" s="29" t="e">
        <f t="shared" si="5"/>
        <v>#REF!</v>
      </c>
      <c r="L19" s="29" t="e">
        <f t="shared" si="5"/>
        <v>#REF!</v>
      </c>
      <c r="M19" s="29" t="e">
        <f t="shared" si="5"/>
        <v>#REF!</v>
      </c>
      <c r="N19" s="29" t="e">
        <f t="shared" si="5"/>
        <v>#REF!</v>
      </c>
      <c r="O19" s="29" t="e">
        <f t="shared" si="5"/>
        <v>#REF!</v>
      </c>
      <c r="P19" s="29" t="e">
        <f t="shared" si="5"/>
        <v>#REF!</v>
      </c>
      <c r="Q19" s="29" t="e">
        <f t="shared" si="5"/>
        <v>#REF!</v>
      </c>
      <c r="R19" s="29" t="e">
        <f t="shared" si="5"/>
        <v>#REF!</v>
      </c>
      <c r="S19" s="29" t="e">
        <f>SUM(C19:R19)</f>
        <v>#REF!</v>
      </c>
    </row>
    <row r="20" spans="1:19" ht="24" customHeight="1" x14ac:dyDescent="0.3">
      <c r="A20" s="28">
        <v>16</v>
      </c>
      <c r="B20" s="28" t="s">
        <v>22</v>
      </c>
      <c r="C20" s="29" t="e">
        <f>C19</f>
        <v>#REF!</v>
      </c>
      <c r="D20" s="29" t="e">
        <f>D19+C20</f>
        <v>#REF!</v>
      </c>
      <c r="E20" s="29" t="e">
        <f t="shared" ref="E20:R20" si="6">E19+D20</f>
        <v>#REF!</v>
      </c>
      <c r="F20" s="29" t="e">
        <f t="shared" si="6"/>
        <v>#REF!</v>
      </c>
      <c r="G20" s="29" t="e">
        <f t="shared" si="6"/>
        <v>#REF!</v>
      </c>
      <c r="H20" s="29" t="e">
        <f t="shared" si="6"/>
        <v>#REF!</v>
      </c>
      <c r="I20" s="29" t="e">
        <f t="shared" si="6"/>
        <v>#REF!</v>
      </c>
      <c r="J20" s="29" t="e">
        <f t="shared" si="6"/>
        <v>#REF!</v>
      </c>
      <c r="K20" s="29" t="e">
        <f t="shared" si="6"/>
        <v>#REF!</v>
      </c>
      <c r="L20" s="29" t="e">
        <f t="shared" si="6"/>
        <v>#REF!</v>
      </c>
      <c r="M20" s="29" t="e">
        <f t="shared" si="6"/>
        <v>#REF!</v>
      </c>
      <c r="N20" s="29" t="e">
        <f t="shared" si="6"/>
        <v>#REF!</v>
      </c>
      <c r="O20" s="29" t="e">
        <f t="shared" si="6"/>
        <v>#REF!</v>
      </c>
      <c r="P20" s="29" t="e">
        <f t="shared" si="6"/>
        <v>#REF!</v>
      </c>
      <c r="Q20" s="29" t="e">
        <f t="shared" si="6"/>
        <v>#REF!</v>
      </c>
      <c r="R20" s="29" t="e">
        <f t="shared" si="6"/>
        <v>#REF!</v>
      </c>
      <c r="S20" s="29" t="s">
        <v>0</v>
      </c>
    </row>
    <row r="21" spans="1:19" x14ac:dyDescent="0.3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</row>
    <row r="22" spans="1:19" x14ac:dyDescent="0.3">
      <c r="A22" s="46" t="s">
        <v>187</v>
      </c>
      <c r="B22" s="46"/>
      <c r="C22" s="49">
        <f>10%/4</f>
        <v>2.5000000000000001E-2</v>
      </c>
      <c r="D22" s="31"/>
      <c r="E22" s="31"/>
      <c r="F22" s="31"/>
      <c r="G22" s="31"/>
      <c r="H22" s="830" t="s">
        <v>87</v>
      </c>
      <c r="I22" s="830"/>
      <c r="J22" s="830"/>
      <c r="K22" s="32" t="e">
        <f>NPV(C22,C17:R17)</f>
        <v>#REF!</v>
      </c>
      <c r="L22" s="46" t="s">
        <v>53</v>
      </c>
      <c r="M22" s="46"/>
      <c r="N22" s="46"/>
      <c r="O22" s="46"/>
      <c r="P22" s="46"/>
      <c r="S22" s="46"/>
    </row>
    <row r="23" spans="1:19" x14ac:dyDescent="0.3">
      <c r="A23" s="46" t="s">
        <v>188</v>
      </c>
      <c r="B23" s="46"/>
      <c r="C23" s="33" t="e">
        <f>IRR(C17:R17)</f>
        <v>#VALUE!</v>
      </c>
      <c r="D23" s="33"/>
      <c r="E23" s="33"/>
      <c r="F23" s="33"/>
      <c r="G23" s="33"/>
      <c r="H23" s="830" t="s">
        <v>176</v>
      </c>
      <c r="I23" s="830"/>
      <c r="J23" s="830"/>
      <c r="K23" s="50">
        <f>(12*3-1)/12</f>
        <v>2.92</v>
      </c>
      <c r="L23" s="46" t="s">
        <v>54</v>
      </c>
      <c r="M23" s="46"/>
      <c r="N23" s="46"/>
      <c r="O23" s="46"/>
      <c r="P23" s="46"/>
      <c r="S23" s="46"/>
    </row>
    <row r="25" spans="1:19" x14ac:dyDescent="0.3">
      <c r="B25" s="26" t="s">
        <v>110</v>
      </c>
      <c r="C25" s="26">
        <v>1</v>
      </c>
    </row>
    <row r="26" spans="1:19" x14ac:dyDescent="0.3">
      <c r="B26" s="26" t="s">
        <v>111</v>
      </c>
      <c r="C26" s="26">
        <v>1</v>
      </c>
    </row>
    <row r="27" spans="1:19" x14ac:dyDescent="0.3">
      <c r="C27" s="26">
        <v>0</v>
      </c>
      <c r="D27" s="26">
        <v>0</v>
      </c>
      <c r="E27" s="26">
        <v>0.25</v>
      </c>
      <c r="F27" s="26">
        <f>E27+0.25</f>
        <v>0.5</v>
      </c>
      <c r="G27" s="26">
        <f t="shared" ref="G27:R27" si="7">F27+0.25</f>
        <v>0.75</v>
      </c>
      <c r="H27" s="26">
        <f t="shared" si="7"/>
        <v>1</v>
      </c>
      <c r="I27" s="26">
        <f t="shared" si="7"/>
        <v>1.25</v>
      </c>
      <c r="J27" s="26">
        <f t="shared" si="7"/>
        <v>1.5</v>
      </c>
      <c r="K27" s="26">
        <f t="shared" si="7"/>
        <v>1.75</v>
      </c>
      <c r="L27" s="26">
        <f t="shared" si="7"/>
        <v>2</v>
      </c>
      <c r="M27" s="26">
        <f t="shared" si="7"/>
        <v>2.25</v>
      </c>
      <c r="N27" s="26">
        <f t="shared" si="7"/>
        <v>2.5</v>
      </c>
      <c r="O27" s="26">
        <f t="shared" si="7"/>
        <v>2.75</v>
      </c>
      <c r="P27" s="26">
        <f t="shared" si="7"/>
        <v>3</v>
      </c>
      <c r="Q27" s="26">
        <f t="shared" si="7"/>
        <v>3.25</v>
      </c>
      <c r="R27" s="26">
        <f t="shared" si="7"/>
        <v>3.5</v>
      </c>
    </row>
    <row r="29" spans="1:19" x14ac:dyDescent="0.3">
      <c r="B29" s="23" t="s">
        <v>178</v>
      </c>
      <c r="C29" s="24">
        <v>-0.1</v>
      </c>
    </row>
  </sheetData>
  <mergeCells count="8">
    <mergeCell ref="H22:J22"/>
    <mergeCell ref="H23:J23"/>
    <mergeCell ref="A1:R1"/>
    <mergeCell ref="C2:R2"/>
    <mergeCell ref="C3:F3"/>
    <mergeCell ref="G3:J3"/>
    <mergeCell ref="K3:N3"/>
    <mergeCell ref="O3:R3"/>
  </mergeCells>
  <phoneticPr fontId="19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80" orientation="landscape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3" tint="0.59999389629810485"/>
  </sheetPr>
  <dimension ref="A1:AB25"/>
  <sheetViews>
    <sheetView view="pageBreakPreview" zoomScale="85" zoomScaleNormal="75" zoomScaleSheetLayoutView="85" workbookViewId="0">
      <pane xSplit="2" ySplit="4" topLeftCell="L5" activePane="bottomRight" state="frozen"/>
      <selection pane="topRight" activeCell="C1" sqref="C1"/>
      <selection pane="bottomLeft" activeCell="A5" sqref="A5"/>
      <selection pane="bottomRight" activeCell="L9" sqref="L9"/>
    </sheetView>
  </sheetViews>
  <sheetFormatPr defaultColWidth="11" defaultRowHeight="15.75" x14ac:dyDescent="0.25"/>
  <cols>
    <col min="1" max="1" width="4.625" style="1" customWidth="1"/>
    <col min="2" max="2" width="27" style="1" customWidth="1"/>
    <col min="3" max="19" width="13.125" style="1" customWidth="1"/>
    <col min="20" max="20" width="9.125" style="1" bestFit="1" customWidth="1"/>
    <col min="21" max="21" width="9.875" style="1" bestFit="1" customWidth="1"/>
    <col min="22" max="24" width="9.125" style="1" bestFit="1" customWidth="1"/>
    <col min="25" max="16384" width="11" style="1"/>
  </cols>
  <sheetData>
    <row r="1" spans="1:28" ht="27.75" customHeight="1" x14ac:dyDescent="0.3">
      <c r="A1" s="836" t="s">
        <v>90</v>
      </c>
      <c r="B1" s="836"/>
      <c r="C1" s="836"/>
      <c r="D1" s="836"/>
      <c r="E1" s="836"/>
      <c r="F1" s="836"/>
      <c r="G1" s="836"/>
      <c r="H1" s="836"/>
      <c r="I1" s="836"/>
      <c r="J1" s="836"/>
      <c r="K1" s="836"/>
      <c r="L1" s="836"/>
      <c r="M1" s="836"/>
      <c r="N1" s="836"/>
      <c r="O1" s="836"/>
      <c r="P1" s="836"/>
      <c r="Q1" s="836"/>
      <c r="R1" s="836"/>
      <c r="S1" s="836"/>
      <c r="T1" s="35"/>
      <c r="U1" s="35"/>
      <c r="V1" s="35"/>
      <c r="W1" s="35"/>
      <c r="X1" s="35"/>
    </row>
    <row r="2" spans="1:28" ht="68.25" customHeight="1" x14ac:dyDescent="0.3">
      <c r="A2" s="36" t="s">
        <v>91</v>
      </c>
      <c r="B2" s="36"/>
      <c r="C2" s="837" t="str">
        <f>基础数据!C5</f>
        <v>北京市密云区檀营乡6005地块R2二类居住用地（编号：京土整储挂（密）[2021]026号）居住项目</v>
      </c>
      <c r="D2" s="837"/>
      <c r="E2" s="837"/>
      <c r="F2" s="837"/>
      <c r="G2" s="837"/>
      <c r="H2" s="837"/>
      <c r="I2" s="837"/>
      <c r="J2" s="837"/>
      <c r="K2" s="837"/>
      <c r="L2" s="837"/>
      <c r="M2" s="837"/>
      <c r="N2" s="837"/>
      <c r="O2" s="837"/>
      <c r="P2" s="837"/>
      <c r="Q2" s="838" t="s">
        <v>8</v>
      </c>
      <c r="R2" s="838"/>
      <c r="S2" s="838"/>
      <c r="T2" s="35"/>
      <c r="U2" s="35"/>
      <c r="V2" s="35"/>
      <c r="W2" s="35"/>
      <c r="X2" s="35"/>
    </row>
    <row r="3" spans="1:28" ht="24.95" customHeight="1" x14ac:dyDescent="0.3">
      <c r="A3" s="48" t="s">
        <v>9</v>
      </c>
      <c r="B3" s="37" t="s">
        <v>81</v>
      </c>
      <c r="C3" s="839" t="str">
        <f>'主表1（成本）'!C3</f>
        <v>2021年</v>
      </c>
      <c r="D3" s="840"/>
      <c r="E3" s="840"/>
      <c r="F3" s="841"/>
      <c r="G3" s="839" t="str">
        <f>'主表1（成本）'!G3</f>
        <v>2022年</v>
      </c>
      <c r="H3" s="840"/>
      <c r="I3" s="840"/>
      <c r="J3" s="841"/>
      <c r="K3" s="839" t="str">
        <f>'主表1（成本）'!K3</f>
        <v>2023年</v>
      </c>
      <c r="L3" s="840"/>
      <c r="M3" s="840"/>
      <c r="N3" s="841"/>
      <c r="O3" s="839" t="str">
        <f>'主表1（成本）'!O3</f>
        <v>2024年</v>
      </c>
      <c r="P3" s="840"/>
      <c r="Q3" s="840"/>
      <c r="R3" s="841"/>
      <c r="S3" s="37" t="s">
        <v>93</v>
      </c>
      <c r="T3" s="35"/>
      <c r="U3" s="35"/>
      <c r="V3" s="35"/>
      <c r="W3" s="35"/>
      <c r="X3" s="35"/>
    </row>
    <row r="4" spans="1:28" ht="24.95" customHeight="1" x14ac:dyDescent="0.3">
      <c r="A4" s="48"/>
      <c r="B4" s="37"/>
      <c r="C4" s="37" t="str">
        <f>'主表1（成本）'!C4</f>
        <v>Q1</v>
      </c>
      <c r="D4" s="37" t="str">
        <f>'主表1（成本）'!D4</f>
        <v>Q2</v>
      </c>
      <c r="E4" s="37" t="str">
        <f>'主表1（成本）'!E4</f>
        <v>Q3</v>
      </c>
      <c r="F4" s="37" t="str">
        <f>'主表1（成本）'!F4</f>
        <v>Q4</v>
      </c>
      <c r="G4" s="37" t="str">
        <f>'主表1（成本）'!G4</f>
        <v>Q1</v>
      </c>
      <c r="H4" s="37" t="str">
        <f>'主表1（成本）'!H4</f>
        <v>Q2</v>
      </c>
      <c r="I4" s="37" t="str">
        <f>'主表1（成本）'!I4</f>
        <v>Q3</v>
      </c>
      <c r="J4" s="37" t="str">
        <f>'主表1（成本）'!J4</f>
        <v>Q4</v>
      </c>
      <c r="K4" s="37" t="str">
        <f>'主表1（成本）'!K4</f>
        <v>Q1</v>
      </c>
      <c r="L4" s="37" t="str">
        <f>'主表1（成本）'!L4</f>
        <v>Q2</v>
      </c>
      <c r="M4" s="37" t="str">
        <f>'主表1（成本）'!M4</f>
        <v>Q3</v>
      </c>
      <c r="N4" s="37" t="str">
        <f>'主表1（成本）'!N4</f>
        <v>Q4</v>
      </c>
      <c r="O4" s="37" t="str">
        <f>'主表1（成本）'!O4</f>
        <v>Q1</v>
      </c>
      <c r="P4" s="37" t="str">
        <f>'主表1（成本）'!P4</f>
        <v>Q2</v>
      </c>
      <c r="Q4" s="37" t="str">
        <f>'主表1（成本）'!Q4</f>
        <v>Q3</v>
      </c>
      <c r="R4" s="37" t="str">
        <f>'主表1（成本）'!R4</f>
        <v>Q4</v>
      </c>
      <c r="S4" s="37"/>
      <c r="T4" s="35"/>
      <c r="U4" s="35"/>
      <c r="V4" s="35"/>
      <c r="W4" s="35"/>
      <c r="X4" s="35"/>
    </row>
    <row r="5" spans="1:28" ht="24.95" customHeight="1" x14ac:dyDescent="0.3">
      <c r="A5" s="37">
        <v>1</v>
      </c>
      <c r="B5" s="48" t="s">
        <v>2</v>
      </c>
      <c r="C5" s="38" t="e">
        <f>ROUND('底表1（销售）'!F27,0)*(1+$C$25)</f>
        <v>#REF!</v>
      </c>
      <c r="D5" s="38" t="e">
        <f>ROUND('底表1（销售）'!G27,0)*(1+$C$25)</f>
        <v>#REF!</v>
      </c>
      <c r="E5" s="38" t="e">
        <f>ROUND('底表1（销售）'!H27,0)*(1+$C$25)</f>
        <v>#REF!</v>
      </c>
      <c r="F5" s="38" t="e">
        <f>ROUND('底表1（销售）'!I27,0)*(1+$C$25)</f>
        <v>#REF!</v>
      </c>
      <c r="G5" s="38" t="e">
        <f>ROUND('底表1（销售）'!J27,0)*(1+$C$25)</f>
        <v>#REF!</v>
      </c>
      <c r="H5" s="38" t="e">
        <f>ROUND('底表1（销售）'!K27,0)*(1+$C$25)</f>
        <v>#REF!</v>
      </c>
      <c r="I5" s="38" t="e">
        <f>ROUND('底表1（销售）'!L27,0)*(1+$C$25)</f>
        <v>#REF!</v>
      </c>
      <c r="J5" s="38" t="e">
        <f>ROUND('底表1（销售）'!M27,0)*(1+$C$25)</f>
        <v>#REF!</v>
      </c>
      <c r="K5" s="38" t="e">
        <f>ROUND('底表1（销售）'!N27,0)*(1+$C$25)</f>
        <v>#REF!</v>
      </c>
      <c r="L5" s="38" t="e">
        <f>ROUND('底表1（销售）'!O27,0)*(1+$C$25)</f>
        <v>#REF!</v>
      </c>
      <c r="M5" s="38" t="e">
        <f>ROUND('底表1（销售）'!P27,0)*(1+$C$25)</f>
        <v>#REF!</v>
      </c>
      <c r="N5" s="38" t="e">
        <f>ROUND('底表1（销售）'!Q27,0)*(1+$C$25)</f>
        <v>#REF!</v>
      </c>
      <c r="O5" s="38" t="e">
        <f>ROUND('底表1（销售）'!R27,0)*(1+$C$25)</f>
        <v>#REF!</v>
      </c>
      <c r="P5" s="38" t="e">
        <f>ROUND('底表1（销售）'!S27,0)*(1+$C$25)</f>
        <v>#REF!</v>
      </c>
      <c r="Q5" s="38" t="e">
        <f>ROUND('底表1（销售）'!T27,0)*(1+$C$25)</f>
        <v>#REF!</v>
      </c>
      <c r="R5" s="38" t="e">
        <f>ROUND('底表1（销售）'!U27,0)*(1+$C$25)</f>
        <v>#REF!</v>
      </c>
      <c r="S5" s="38" t="e">
        <f>SUM(C5:R5)</f>
        <v>#REF!</v>
      </c>
      <c r="T5" s="35" t="e">
        <f>'底表1（销售）'!BS6*(1+$C$25)</f>
        <v>#REF!</v>
      </c>
      <c r="U5" s="35"/>
      <c r="V5" s="35"/>
      <c r="W5" s="35"/>
      <c r="X5" s="35"/>
    </row>
    <row r="6" spans="1:28" ht="24.95" customHeight="1" x14ac:dyDescent="0.3">
      <c r="A6" s="37">
        <v>2</v>
      </c>
      <c r="B6" s="48" t="s">
        <v>69</v>
      </c>
      <c r="C6" s="38" t="e">
        <f>C5/$S$5*'主表1（成本）'!$B$37</f>
        <v>#REF!</v>
      </c>
      <c r="D6" s="38" t="e">
        <f>D5/$S$5*'主表1（成本）'!$B$37</f>
        <v>#REF!</v>
      </c>
      <c r="E6" s="38" t="e">
        <f>E5/$S$5*'主表1（成本）'!$B$37</f>
        <v>#REF!</v>
      </c>
      <c r="F6" s="38" t="e">
        <f>F5/$S$5*'主表1（成本）'!$B$37</f>
        <v>#REF!</v>
      </c>
      <c r="G6" s="38" t="e">
        <f>G5/$S$5*'主表1（成本）'!$B$37</f>
        <v>#REF!</v>
      </c>
      <c r="H6" s="38" t="e">
        <f>H5/$S$5*'主表1（成本）'!$B$37</f>
        <v>#REF!</v>
      </c>
      <c r="I6" s="38" t="e">
        <f>I5/$S$5*'主表1（成本）'!$B$37</f>
        <v>#REF!</v>
      </c>
      <c r="J6" s="38" t="e">
        <f>J5/$S$5*'主表1（成本）'!$B$37</f>
        <v>#REF!</v>
      </c>
      <c r="K6" s="38" t="e">
        <f>K5/$S$5*'主表1（成本）'!$B$37</f>
        <v>#REF!</v>
      </c>
      <c r="L6" s="38" t="e">
        <f>L5/$S$5*'主表1（成本）'!$B$37</f>
        <v>#REF!</v>
      </c>
      <c r="M6" s="38" t="e">
        <f>M5/$S$5*'主表1（成本）'!$B$37</f>
        <v>#REF!</v>
      </c>
      <c r="N6" s="38" t="e">
        <f>N5/$S$5*'主表1（成本）'!$B$37</f>
        <v>#REF!</v>
      </c>
      <c r="O6" s="38" t="e">
        <f>O5/$S$5*'主表1（成本）'!$B$37</f>
        <v>#REF!</v>
      </c>
      <c r="P6" s="38" t="e">
        <f>P5/$S$5*'主表1（成本）'!$B$37</f>
        <v>#REF!</v>
      </c>
      <c r="Q6" s="38" t="e">
        <f>Q5/$S$5*'主表1（成本）'!$B$37</f>
        <v>#REF!</v>
      </c>
      <c r="R6" s="38" t="e">
        <f>R5/$S$5*'主表1（成本）'!$B$37</f>
        <v>#REF!</v>
      </c>
      <c r="S6" s="38" t="e">
        <f>SUM(C6:R6)</f>
        <v>#REF!</v>
      </c>
      <c r="T6" s="35">
        <f>'主表1（成本）'!B37</f>
        <v>277553</v>
      </c>
      <c r="U6" s="35" t="e">
        <f>T6*'底表1（销售）'!BU17/'底表1（销售）'!BU16</f>
        <v>#DIV/0!</v>
      </c>
      <c r="V6" s="35"/>
      <c r="W6" s="35"/>
      <c r="X6" s="35"/>
    </row>
    <row r="7" spans="1:28" ht="24.95" customHeight="1" x14ac:dyDescent="0.3">
      <c r="A7" s="37">
        <v>3</v>
      </c>
      <c r="B7" s="48" t="s">
        <v>137</v>
      </c>
      <c r="C7" s="38" t="e">
        <f>ROUND('底表1（销售）'!F28,0)*(1+$C$25)</f>
        <v>#REF!</v>
      </c>
      <c r="D7" s="38" t="e">
        <f>ROUND('底表1（销售）'!G28,0)*(1+$C$25)</f>
        <v>#REF!</v>
      </c>
      <c r="E7" s="38" t="e">
        <f>ROUND('底表1（销售）'!H28,0)*(1+$C$25)</f>
        <v>#REF!</v>
      </c>
      <c r="F7" s="38" t="e">
        <f>ROUND('底表1（销售）'!I28,0)*(1+$C$25)</f>
        <v>#REF!</v>
      </c>
      <c r="G7" s="38" t="e">
        <f>ROUND('底表1（销售）'!J28,0)*(1+$C$25)</f>
        <v>#REF!</v>
      </c>
      <c r="H7" s="38" t="e">
        <f>ROUND('底表1（销售）'!K28,0)*(1+$C$25)</f>
        <v>#REF!</v>
      </c>
      <c r="I7" s="38" t="e">
        <f>ROUND('底表1（销售）'!L28,0)*(1+$C$25)</f>
        <v>#REF!</v>
      </c>
      <c r="J7" s="38" t="e">
        <f>ROUND('底表1（销售）'!M28,0)*(1+$C$25)</f>
        <v>#REF!</v>
      </c>
      <c r="K7" s="38" t="e">
        <f>ROUND('底表1（销售）'!N28,0)*(1+$C$25)</f>
        <v>#REF!</v>
      </c>
      <c r="L7" s="38" t="e">
        <f>ROUND('底表1（销售）'!O28,0)*(1+$C$25)</f>
        <v>#REF!</v>
      </c>
      <c r="M7" s="38" t="e">
        <f>ROUND('底表1（销售）'!P28,0)*(1+$C$25)</f>
        <v>#REF!</v>
      </c>
      <c r="N7" s="38" t="e">
        <f>ROUND('底表1（销售）'!Q28,0)*(1+$C$25)</f>
        <v>#REF!</v>
      </c>
      <c r="O7" s="38" t="e">
        <f>ROUND('底表1（销售）'!R28,0)*(1+$C$25)</f>
        <v>#REF!</v>
      </c>
      <c r="P7" s="38" t="e">
        <f>ROUND('底表1（销售）'!S28,0)*(1+$C$25)</f>
        <v>#REF!</v>
      </c>
      <c r="Q7" s="38" t="e">
        <f>ROUND('底表1（销售）'!T28,0)*(1+$C$25)</f>
        <v>#REF!</v>
      </c>
      <c r="R7" s="38" t="e">
        <f>ROUND('底表1（销售）'!U28,0)*(1+$C$25)</f>
        <v>#REF!</v>
      </c>
      <c r="S7" s="38" t="e">
        <f>SUM(C7:R7)</f>
        <v>#REF!</v>
      </c>
      <c r="T7" s="35" t="e">
        <f>'底表1（销售）'!BS13*(1+$C$25)</f>
        <v>#REF!</v>
      </c>
      <c r="U7" s="35"/>
      <c r="V7" s="35"/>
      <c r="W7" s="35"/>
      <c r="X7" s="35"/>
    </row>
    <row r="8" spans="1:28" ht="24.95" hidden="1" customHeight="1" x14ac:dyDescent="0.3">
      <c r="A8" s="37">
        <v>4</v>
      </c>
      <c r="B8" s="48" t="s">
        <v>18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>
        <f>SUM(C8:Q8)</f>
        <v>0</v>
      </c>
      <c r="T8" s="35"/>
      <c r="U8" s="35"/>
      <c r="V8" s="35"/>
      <c r="W8" s="35"/>
      <c r="X8" s="35"/>
    </row>
    <row r="9" spans="1:28" s="6" customFormat="1" ht="24.95" customHeight="1" x14ac:dyDescent="0.3">
      <c r="A9" s="37">
        <v>5</v>
      </c>
      <c r="B9" s="48" t="s">
        <v>19</v>
      </c>
      <c r="C9" s="38">
        <f>ROUND(('底表1（销售）'!F21+'底表1（销售）'!F22+'底表1（销售）'!F23)*2%,0)*(1+$C$25)</f>
        <v>0</v>
      </c>
      <c r="D9" s="38">
        <f>ROUND(('底表1（销售）'!G21+'底表1（销售）'!G22+'底表1（销售）'!G23)*2%,0)*(1+$C$25)</f>
        <v>0</v>
      </c>
      <c r="E9" s="38">
        <f>ROUND(('底表1（销售）'!H21+'底表1（销售）'!H22+'底表1（销售）'!H23)*2%,0)*(1+$C$25)</f>
        <v>0</v>
      </c>
      <c r="F9" s="38">
        <f>ROUND(('底表1（销售）'!I21+'底表1（销售）'!I22+'底表1（销售）'!I23)*2%,0)*(1+$C$25)</f>
        <v>0</v>
      </c>
      <c r="G9" s="38">
        <f>ROUND(('底表1（销售）'!J21+'底表1（销售）'!J22+'底表1（销售）'!J23)*2%,0)*(1+$C$25)</f>
        <v>1020</v>
      </c>
      <c r="H9" s="38">
        <f>ROUND(('底表1（销售）'!K21+'底表1（销售）'!K22+'底表1（销售）'!K23)*2%,0)*(1+$C$25)</f>
        <v>1624</v>
      </c>
      <c r="I9" s="38">
        <f>ROUND(('底表1（销售）'!L21+'底表1（销售）'!L22+'底表1（销售）'!L23)*2%,0)*(1+$C$25)</f>
        <v>1293</v>
      </c>
      <c r="J9" s="38">
        <f>ROUND(('底表1（销售）'!M21+'底表1（销售）'!M22+'底表1（销售）'!M23)*2%,0)*(1+$C$25)</f>
        <v>1175</v>
      </c>
      <c r="K9" s="38">
        <f>ROUND(('底表1（销售）'!N21+'底表1（销售）'!N22+'底表1（销售）'!N23)*2%,0)*(1+$C$25)</f>
        <v>849</v>
      </c>
      <c r="L9" s="38">
        <f>ROUND(('底表1（销售）'!O21+'底表1（销售）'!O22+'底表1（销售）'!O23)*2%,0)*(1+$C$25)</f>
        <v>0</v>
      </c>
      <c r="M9" s="38">
        <f>ROUND(('底表1（销售）'!P21+'底表1（销售）'!P22+'底表1（销售）'!P23)*2%,0)*(1+$C$25)</f>
        <v>0</v>
      </c>
      <c r="N9" s="38">
        <f>ROUND(('底表1（销售）'!Q21+'底表1（销售）'!Q22+'底表1（销售）'!Q23)*2%,0)*(1+$C$25)</f>
        <v>0</v>
      </c>
      <c r="O9" s="38">
        <f>ROUND(('底表1（销售）'!R21+'底表1（销售）'!R22+'底表1（销售）'!R23)*2%,0)*(1+$C$25)</f>
        <v>0</v>
      </c>
      <c r="P9" s="38">
        <f>ROUND(('底表1（销售）'!S21+'底表1（销售）'!S22+'底表1（销售）'!S23)*2%,0)*(1+$C$25)</f>
        <v>0</v>
      </c>
      <c r="Q9" s="38">
        <f>ROUND(('底表1（销售）'!T21+'底表1（销售）'!T22+'底表1（销售）'!T23)*2%,0)*(1+$C$25)</f>
        <v>0</v>
      </c>
      <c r="R9" s="38">
        <f>ROUND(('底表1（销售）'!U21+'底表1（销售）'!U22+'底表1（销售）'!U23)*2%,0)*(1+$C$25)</f>
        <v>0</v>
      </c>
      <c r="S9" s="38">
        <f t="shared" ref="S9:S19" si="0">SUM(C9:R9)</f>
        <v>5961</v>
      </c>
      <c r="T9" s="39">
        <f>S9</f>
        <v>5961</v>
      </c>
      <c r="U9" s="40"/>
      <c r="V9" s="35"/>
      <c r="W9" s="34" t="s">
        <v>170</v>
      </c>
      <c r="X9" s="34" t="s">
        <v>171</v>
      </c>
      <c r="Y9" s="19"/>
      <c r="Z9" s="19" t="s">
        <v>172</v>
      </c>
      <c r="AA9" s="19" t="s">
        <v>173</v>
      </c>
      <c r="AB9" s="19" t="s">
        <v>174</v>
      </c>
    </row>
    <row r="10" spans="1:28" ht="24.95" customHeight="1" x14ac:dyDescent="0.3">
      <c r="A10" s="37">
        <v>6</v>
      </c>
      <c r="B10" s="48" t="s">
        <v>42</v>
      </c>
      <c r="C10" s="38">
        <f>'主表1（成本）'!C32*(1+$C$25)</f>
        <v>0</v>
      </c>
      <c r="D10" s="38">
        <f>'主表1（成本）'!D32*(1+$C$25)</f>
        <v>0</v>
      </c>
      <c r="E10" s="38">
        <f>'主表1（成本）'!E32*(1+$C$25)</f>
        <v>0</v>
      </c>
      <c r="F10" s="38">
        <f>'主表1（成本）'!F32*(1+$C$25)</f>
        <v>903</v>
      </c>
      <c r="G10" s="38">
        <f>'主表1（成本）'!G32*(1+$C$25)</f>
        <v>895</v>
      </c>
      <c r="H10" s="38">
        <f>'主表1（成本）'!H32*(1+$C$25)</f>
        <v>1065</v>
      </c>
      <c r="I10" s="38">
        <f>'主表1（成本）'!I32*(1+$C$25)</f>
        <v>1032</v>
      </c>
      <c r="J10" s="38">
        <f>'主表1（成本）'!J32*(1+$C$25)</f>
        <v>775</v>
      </c>
      <c r="K10" s="38">
        <f>'主表1（成本）'!K32*(1+$C$25)</f>
        <v>676</v>
      </c>
      <c r="L10" s="38">
        <f>'主表1（成本）'!L32*(1+$C$25)</f>
        <v>428</v>
      </c>
      <c r="M10" s="38">
        <f>'主表1（成本）'!M32*(1+$C$25)</f>
        <v>265</v>
      </c>
      <c r="N10" s="38">
        <f>'主表1（成本）'!N32*(1+$C$25)</f>
        <v>236</v>
      </c>
      <c r="O10" s="38">
        <f>'主表1（成本）'!O32*(1+$C$25)</f>
        <v>91</v>
      </c>
      <c r="P10" s="38">
        <f>'主表1（成本）'!P32*(1+$C$25)</f>
        <v>10</v>
      </c>
      <c r="Q10" s="38">
        <f>'主表1（成本）'!Q32*(1+$C$25)</f>
        <v>0</v>
      </c>
      <c r="R10" s="38">
        <f>'主表1（成本）'!R32*(1+$C$25)</f>
        <v>0</v>
      </c>
      <c r="S10" s="38">
        <f t="shared" si="0"/>
        <v>6376</v>
      </c>
      <c r="T10" s="35">
        <f>'主表1（成本）'!B32</f>
        <v>7082</v>
      </c>
      <c r="U10" s="40"/>
      <c r="V10" s="35"/>
      <c r="W10" s="34" t="e">
        <f>ROUND(S6+'底表1（销售）'!BS13+'主表4-1（敏感性分析 销售-10%）'!S6*20%,0)</f>
        <v>#REF!</v>
      </c>
      <c r="X10" s="41" t="e">
        <f>S5/1.09-W10</f>
        <v>#REF!</v>
      </c>
      <c r="Y10" s="20"/>
      <c r="Z10" s="21" t="e">
        <f>X10/W10</f>
        <v>#REF!</v>
      </c>
      <c r="AA10" s="22">
        <v>0.3</v>
      </c>
      <c r="AB10" s="22">
        <v>0</v>
      </c>
    </row>
    <row r="11" spans="1:28" ht="24.95" customHeight="1" x14ac:dyDescent="0.3">
      <c r="A11" s="37">
        <v>7</v>
      </c>
      <c r="B11" s="48" t="s">
        <v>68</v>
      </c>
      <c r="C11" s="38">
        <f>'主表1（成本）'!C33</f>
        <v>0</v>
      </c>
      <c r="D11" s="38">
        <f>'主表1（成本）'!D33</f>
        <v>3476</v>
      </c>
      <c r="E11" s="38">
        <f>'主表1（成本）'!E33</f>
        <v>474</v>
      </c>
      <c r="F11" s="38">
        <f>'主表1（成本）'!F33</f>
        <v>252</v>
      </c>
      <c r="G11" s="38">
        <f>'主表1（成本）'!G33</f>
        <v>165</v>
      </c>
      <c r="H11" s="38">
        <f>'主表1（成本）'!H33</f>
        <v>165</v>
      </c>
      <c r="I11" s="38">
        <f>'主表1（成本）'!I33</f>
        <v>165</v>
      </c>
      <c r="J11" s="38">
        <f>'主表1（成本）'!J33</f>
        <v>165</v>
      </c>
      <c r="K11" s="38">
        <f>'主表1（成本）'!K33</f>
        <v>132</v>
      </c>
      <c r="L11" s="38">
        <f>'主表1（成本）'!L33</f>
        <v>132</v>
      </c>
      <c r="M11" s="38">
        <f>'主表1（成本）'!M33</f>
        <v>99</v>
      </c>
      <c r="N11" s="38">
        <f>'主表1（成本）'!N33</f>
        <v>99</v>
      </c>
      <c r="O11" s="38">
        <f>'主表1（成本）'!O33</f>
        <v>82</v>
      </c>
      <c r="P11" s="38">
        <f>'主表1（成本）'!P33</f>
        <v>82</v>
      </c>
      <c r="Q11" s="38">
        <f>'主表1（成本）'!Q33</f>
        <v>0</v>
      </c>
      <c r="R11" s="38">
        <f>'主表1（成本）'!R33</f>
        <v>0</v>
      </c>
      <c r="S11" s="38">
        <f t="shared" si="0"/>
        <v>5488</v>
      </c>
      <c r="T11" s="35">
        <f>'主表1（成本）'!B33</f>
        <v>5488</v>
      </c>
      <c r="U11" s="40"/>
      <c r="V11" s="35"/>
      <c r="W11" s="35"/>
      <c r="X11" s="35"/>
    </row>
    <row r="12" spans="1:28" ht="24.95" hidden="1" customHeight="1" x14ac:dyDescent="0.3">
      <c r="A12" s="37">
        <v>8</v>
      </c>
      <c r="B12" s="48" t="s">
        <v>29</v>
      </c>
      <c r="C12" s="38">
        <f>'主表1（成本）'!C34</f>
        <v>0</v>
      </c>
      <c r="D12" s="38"/>
      <c r="E12" s="38"/>
      <c r="F12" s="38"/>
      <c r="G12" s="38"/>
      <c r="H12" s="38"/>
      <c r="I12" s="38"/>
      <c r="J12" s="38"/>
      <c r="K12" s="38"/>
      <c r="L12" s="38"/>
      <c r="M12" s="42">
        <f>'主表1（成本）'!M34</f>
        <v>0</v>
      </c>
      <c r="N12" s="42">
        <f>'主表1（成本）'!N34</f>
        <v>0</v>
      </c>
      <c r="O12" s="38">
        <f>'主表1（成本）'!O34</f>
        <v>0</v>
      </c>
      <c r="P12" s="38">
        <f>'主表1（成本）'!P34</f>
        <v>0</v>
      </c>
      <c r="Q12" s="38"/>
      <c r="R12" s="38"/>
      <c r="S12" s="38">
        <f t="shared" si="0"/>
        <v>0</v>
      </c>
      <c r="T12" s="35">
        <f>'主表1（成本）'!B34</f>
        <v>12470</v>
      </c>
      <c r="U12" s="40"/>
      <c r="V12" s="35"/>
      <c r="W12" s="35"/>
      <c r="X12" s="35"/>
    </row>
    <row r="13" spans="1:28" ht="24.95" customHeight="1" x14ac:dyDescent="0.3">
      <c r="A13" s="37">
        <v>9</v>
      </c>
      <c r="B13" s="48" t="s">
        <v>3</v>
      </c>
      <c r="C13" s="38" t="e">
        <f>C5-C6-C7-C8-C9-C10-C11-C12</f>
        <v>#REF!</v>
      </c>
      <c r="D13" s="38" t="e">
        <f t="shared" ref="D13:R13" si="1">D5-D6-D7-D8-D9-D10-D11-D12</f>
        <v>#REF!</v>
      </c>
      <c r="E13" s="38" t="e">
        <f t="shared" si="1"/>
        <v>#REF!</v>
      </c>
      <c r="F13" s="38" t="e">
        <f t="shared" si="1"/>
        <v>#REF!</v>
      </c>
      <c r="G13" s="38" t="e">
        <f t="shared" si="1"/>
        <v>#REF!</v>
      </c>
      <c r="H13" s="38" t="e">
        <f t="shared" si="1"/>
        <v>#REF!</v>
      </c>
      <c r="I13" s="38" t="e">
        <f t="shared" si="1"/>
        <v>#REF!</v>
      </c>
      <c r="J13" s="38" t="e">
        <f t="shared" si="1"/>
        <v>#REF!</v>
      </c>
      <c r="K13" s="38" t="e">
        <f t="shared" si="1"/>
        <v>#REF!</v>
      </c>
      <c r="L13" s="38" t="e">
        <f t="shared" si="1"/>
        <v>#REF!</v>
      </c>
      <c r="M13" s="38" t="e">
        <f t="shared" si="1"/>
        <v>#REF!</v>
      </c>
      <c r="N13" s="38" t="e">
        <f t="shared" si="1"/>
        <v>#REF!</v>
      </c>
      <c r="O13" s="38" t="e">
        <f t="shared" si="1"/>
        <v>#REF!</v>
      </c>
      <c r="P13" s="38" t="e">
        <f t="shared" si="1"/>
        <v>#REF!</v>
      </c>
      <c r="Q13" s="38" t="e">
        <f t="shared" si="1"/>
        <v>#REF!</v>
      </c>
      <c r="R13" s="38" t="e">
        <f t="shared" si="1"/>
        <v>#REF!</v>
      </c>
      <c r="S13" s="38" t="e">
        <f>SUM(C13:R13)</f>
        <v>#REF!</v>
      </c>
      <c r="T13" s="35"/>
      <c r="U13" s="39" t="e">
        <f>C13</f>
        <v>#REF!</v>
      </c>
      <c r="V13" s="39" t="e">
        <f>M13+C13</f>
        <v>#REF!</v>
      </c>
      <c r="W13" s="39" t="e">
        <f>N13+M13+C13</f>
        <v>#REF!</v>
      </c>
      <c r="X13" s="39"/>
      <c r="Y13" s="3"/>
      <c r="Z13" s="3"/>
    </row>
    <row r="14" spans="1:28" s="6" customFormat="1" ht="24.95" customHeight="1" x14ac:dyDescent="0.3">
      <c r="A14" s="37">
        <v>10</v>
      </c>
      <c r="B14" s="48" t="s">
        <v>31</v>
      </c>
      <c r="C14" s="38"/>
      <c r="D14" s="38"/>
      <c r="E14" s="38"/>
      <c r="F14" s="38" t="e">
        <f>IF((SUM($C$13:F13))&lt;0,0,IF(SUM($C$13:F13)&gt;=0,(SUM($C$13:F13)*基础数据!$C$42)))</f>
        <v>#REF!</v>
      </c>
      <c r="G14" s="38"/>
      <c r="H14" s="38"/>
      <c r="I14" s="38"/>
      <c r="J14" s="38" t="e">
        <f>IF((SUM($C$13:J13))&lt;0,0,IF(SUM($C$13:J13)&gt;=0,(SUM($C$13:J13)*基础数据!$C$42)))</f>
        <v>#REF!</v>
      </c>
      <c r="K14" s="38"/>
      <c r="L14" s="38"/>
      <c r="M14" s="38"/>
      <c r="N14" s="38" t="e">
        <f>IF((SUM($K$13:N13))&lt;0,0,IF(SUM($K$13:N13)&gt;=0,(SUM($K$13:N13)*基础数据!$C$42)))</f>
        <v>#REF!</v>
      </c>
      <c r="O14" s="38"/>
      <c r="P14" s="38"/>
      <c r="Q14" s="38"/>
      <c r="R14" s="38" t="e">
        <f>IF((SUM($O$13:R13))&lt;0,0,IF(SUM($O$13:R13)&gt;=0,(SUM($O$13:R13)*基础数据!$C$42)))</f>
        <v>#REF!</v>
      </c>
      <c r="S14" s="38" t="e">
        <f>SUM(C14:R14)</f>
        <v>#REF!</v>
      </c>
      <c r="T14" s="35"/>
      <c r="U14" s="35"/>
      <c r="V14" s="35"/>
      <c r="W14" s="35"/>
      <c r="X14" s="35"/>
    </row>
    <row r="15" spans="1:28" ht="24.95" customHeight="1" x14ac:dyDescent="0.3">
      <c r="A15" s="37">
        <v>11</v>
      </c>
      <c r="B15" s="48" t="s">
        <v>26</v>
      </c>
      <c r="C15" s="38" t="e">
        <f>C13-C14</f>
        <v>#REF!</v>
      </c>
      <c r="D15" s="38" t="e">
        <f t="shared" ref="D15:R15" si="2">D13-D14</f>
        <v>#REF!</v>
      </c>
      <c r="E15" s="38" t="e">
        <f t="shared" si="2"/>
        <v>#REF!</v>
      </c>
      <c r="F15" s="38" t="e">
        <f t="shared" si="2"/>
        <v>#REF!</v>
      </c>
      <c r="G15" s="38" t="e">
        <f t="shared" si="2"/>
        <v>#REF!</v>
      </c>
      <c r="H15" s="38" t="e">
        <f t="shared" si="2"/>
        <v>#REF!</v>
      </c>
      <c r="I15" s="38" t="e">
        <f t="shared" si="2"/>
        <v>#REF!</v>
      </c>
      <c r="J15" s="38" t="e">
        <f t="shared" si="2"/>
        <v>#REF!</v>
      </c>
      <c r="K15" s="38" t="e">
        <f t="shared" si="2"/>
        <v>#REF!</v>
      </c>
      <c r="L15" s="38" t="e">
        <f t="shared" si="2"/>
        <v>#REF!</v>
      </c>
      <c r="M15" s="38" t="e">
        <f t="shared" si="2"/>
        <v>#REF!</v>
      </c>
      <c r="N15" s="38" t="e">
        <f t="shared" si="2"/>
        <v>#REF!</v>
      </c>
      <c r="O15" s="38" t="e">
        <f t="shared" si="2"/>
        <v>#REF!</v>
      </c>
      <c r="P15" s="38" t="e">
        <f t="shared" si="2"/>
        <v>#REF!</v>
      </c>
      <c r="Q15" s="38" t="e">
        <f t="shared" si="2"/>
        <v>#REF!</v>
      </c>
      <c r="R15" s="38" t="e">
        <f t="shared" si="2"/>
        <v>#REF!</v>
      </c>
      <c r="S15" s="38" t="e">
        <f t="shared" si="0"/>
        <v>#REF!</v>
      </c>
      <c r="T15" s="35"/>
      <c r="U15" s="35"/>
      <c r="V15" s="35"/>
      <c r="W15" s="35"/>
      <c r="X15" s="35"/>
    </row>
    <row r="16" spans="1:28" ht="24.95" customHeight="1" x14ac:dyDescent="0.3">
      <c r="A16" s="37">
        <v>12</v>
      </c>
      <c r="B16" s="48" t="s">
        <v>103</v>
      </c>
      <c r="C16" s="38"/>
      <c r="D16" s="38" t="e">
        <f>C21</f>
        <v>#REF!</v>
      </c>
      <c r="E16" s="38" t="e">
        <f t="shared" ref="E16:R16" si="3">D21</f>
        <v>#REF!</v>
      </c>
      <c r="F16" s="38" t="e">
        <f t="shared" si="3"/>
        <v>#REF!</v>
      </c>
      <c r="G16" s="38" t="e">
        <f t="shared" si="3"/>
        <v>#REF!</v>
      </c>
      <c r="H16" s="38" t="e">
        <f t="shared" si="3"/>
        <v>#REF!</v>
      </c>
      <c r="I16" s="38" t="e">
        <f t="shared" si="3"/>
        <v>#REF!</v>
      </c>
      <c r="J16" s="38" t="e">
        <f t="shared" si="3"/>
        <v>#REF!</v>
      </c>
      <c r="K16" s="38" t="e">
        <f t="shared" si="3"/>
        <v>#REF!</v>
      </c>
      <c r="L16" s="38" t="e">
        <f t="shared" si="3"/>
        <v>#REF!</v>
      </c>
      <c r="M16" s="38" t="e">
        <f t="shared" si="3"/>
        <v>#REF!</v>
      </c>
      <c r="N16" s="38" t="e">
        <f t="shared" si="3"/>
        <v>#REF!</v>
      </c>
      <c r="O16" s="38" t="e">
        <f t="shared" si="3"/>
        <v>#REF!</v>
      </c>
      <c r="P16" s="38" t="e">
        <f t="shared" si="3"/>
        <v>#REF!</v>
      </c>
      <c r="Q16" s="38" t="e">
        <f t="shared" si="3"/>
        <v>#REF!</v>
      </c>
      <c r="R16" s="38" t="e">
        <f t="shared" si="3"/>
        <v>#REF!</v>
      </c>
      <c r="S16" s="38"/>
      <c r="T16" s="35"/>
      <c r="U16" s="35"/>
      <c r="V16" s="35"/>
      <c r="W16" s="35"/>
      <c r="X16" s="35"/>
    </row>
    <row r="17" spans="1:24" ht="24.95" customHeight="1" x14ac:dyDescent="0.3">
      <c r="A17" s="37">
        <v>13</v>
      </c>
      <c r="B17" s="48" t="s">
        <v>27</v>
      </c>
      <c r="C17" s="38" t="e">
        <f>C16+C15</f>
        <v>#REF!</v>
      </c>
      <c r="D17" s="38" t="e">
        <f t="shared" ref="D17:R17" si="4">D16+D15</f>
        <v>#REF!</v>
      </c>
      <c r="E17" s="38" t="e">
        <f t="shared" si="4"/>
        <v>#REF!</v>
      </c>
      <c r="F17" s="38" t="e">
        <f t="shared" si="4"/>
        <v>#REF!</v>
      </c>
      <c r="G17" s="38" t="e">
        <f t="shared" si="4"/>
        <v>#REF!</v>
      </c>
      <c r="H17" s="38" t="e">
        <f t="shared" si="4"/>
        <v>#REF!</v>
      </c>
      <c r="I17" s="38" t="e">
        <f t="shared" si="4"/>
        <v>#REF!</v>
      </c>
      <c r="J17" s="38" t="e">
        <f t="shared" si="4"/>
        <v>#REF!</v>
      </c>
      <c r="K17" s="38" t="e">
        <f t="shared" si="4"/>
        <v>#REF!</v>
      </c>
      <c r="L17" s="38" t="e">
        <f t="shared" si="4"/>
        <v>#REF!</v>
      </c>
      <c r="M17" s="38" t="e">
        <f t="shared" si="4"/>
        <v>#REF!</v>
      </c>
      <c r="N17" s="38" t="e">
        <f t="shared" si="4"/>
        <v>#REF!</v>
      </c>
      <c r="O17" s="38" t="e">
        <f t="shared" si="4"/>
        <v>#REF!</v>
      </c>
      <c r="P17" s="38" t="e">
        <f t="shared" si="4"/>
        <v>#REF!</v>
      </c>
      <c r="Q17" s="38" t="e">
        <f t="shared" si="4"/>
        <v>#REF!</v>
      </c>
      <c r="R17" s="38" t="e">
        <f t="shared" si="4"/>
        <v>#REF!</v>
      </c>
      <c r="S17" s="38"/>
      <c r="T17" s="35"/>
      <c r="U17" s="35"/>
      <c r="V17" s="35"/>
      <c r="W17" s="35"/>
      <c r="X17" s="35"/>
    </row>
    <row r="18" spans="1:24" s="6" customFormat="1" ht="24.95" customHeight="1" x14ac:dyDescent="0.3">
      <c r="A18" s="37">
        <v>14</v>
      </c>
      <c r="B18" s="48" t="s">
        <v>138</v>
      </c>
      <c r="C18" s="38"/>
      <c r="D18" s="38"/>
      <c r="E18" s="38"/>
      <c r="F18" s="38" t="e">
        <f>IF(SUM(C15:F15)&lt;0,0,IF(SUM(C15:F15)&gt;=0,SUM(C15:F15)*基础数据!$C$46))</f>
        <v>#REF!</v>
      </c>
      <c r="G18" s="38"/>
      <c r="H18" s="38"/>
      <c r="I18" s="38"/>
      <c r="J18" s="38" t="e">
        <f>IF(SUM(G15:J15)&lt;0,0,IF(SUM(G15:J15)&gt;=0,SUM(G15:J15)*基础数据!$C$46))</f>
        <v>#REF!</v>
      </c>
      <c r="K18" s="38"/>
      <c r="L18" s="38"/>
      <c r="M18" s="38"/>
      <c r="N18" s="38" t="e">
        <f>IF(SUM(K15:N15)&lt;0,0,IF(SUM(K15:N15)&gt;=0,SUM(K15:N15)*基础数据!$C$46))</f>
        <v>#REF!</v>
      </c>
      <c r="O18" s="38"/>
      <c r="P18" s="38"/>
      <c r="Q18" s="38"/>
      <c r="R18" s="38" t="e">
        <f>IF(SUM(O15:R15)&lt;0,0,IF(SUM(O15:R15)&gt;=0,SUM(O15:R15)*基础数据!$C$46))</f>
        <v>#REF!</v>
      </c>
      <c r="S18" s="38" t="e">
        <f t="shared" si="0"/>
        <v>#REF!</v>
      </c>
      <c r="T18" s="35"/>
      <c r="U18" s="35"/>
      <c r="V18" s="35"/>
      <c r="W18" s="35"/>
      <c r="X18" s="35"/>
    </row>
    <row r="19" spans="1:24" s="6" customFormat="1" ht="24.95" hidden="1" customHeight="1" x14ac:dyDescent="0.3">
      <c r="A19" s="37">
        <v>15</v>
      </c>
      <c r="B19" s="48"/>
      <c r="C19" s="38" t="e">
        <f>IF(C15&lt;0,0,IF(C15&gt;=0,C15*基础数据!$C$47))</f>
        <v>#REF!</v>
      </c>
      <c r="D19" s="38"/>
      <c r="E19" s="38"/>
      <c r="F19" s="38"/>
      <c r="G19" s="38"/>
      <c r="H19" s="38"/>
      <c r="I19" s="38"/>
      <c r="J19" s="38"/>
      <c r="K19" s="38"/>
      <c r="L19" s="38"/>
      <c r="M19" s="38" t="e">
        <f>IF(M15&lt;0,0,IF(M15&gt;=0,M15*基础数据!$C$47))</f>
        <v>#REF!</v>
      </c>
      <c r="N19" s="38" t="e">
        <f>IF(N15&lt;0,0,IF(N15&gt;=0,N15*基础数据!$C$47))</f>
        <v>#REF!</v>
      </c>
      <c r="O19" s="38" t="e">
        <f>IF(O15&lt;0,0,IF(O15&gt;=0,O15*基础数据!$C$47))</f>
        <v>#REF!</v>
      </c>
      <c r="P19" s="38" t="e">
        <f>IF(P15&lt;0,0,IF(P15&gt;=0,P15*基础数据!$C$47))</f>
        <v>#REF!</v>
      </c>
      <c r="Q19" s="38"/>
      <c r="R19" s="38"/>
      <c r="S19" s="38" t="e">
        <f t="shared" si="0"/>
        <v>#REF!</v>
      </c>
      <c r="T19" s="35"/>
      <c r="U19" s="35"/>
      <c r="V19" s="35"/>
      <c r="W19" s="35"/>
      <c r="X19" s="35"/>
    </row>
    <row r="20" spans="1:24" ht="24.95" hidden="1" customHeight="1" x14ac:dyDescent="0.3">
      <c r="A20" s="37">
        <v>16</v>
      </c>
      <c r="B20" s="48" t="s">
        <v>105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>
        <f>SUM(C20:Q20)</f>
        <v>0</v>
      </c>
      <c r="T20" s="35"/>
      <c r="U20" s="35"/>
      <c r="V20" s="35"/>
      <c r="W20" s="43" t="e">
        <f>S13/S5</f>
        <v>#REF!</v>
      </c>
      <c r="X20" s="35"/>
    </row>
    <row r="21" spans="1:24" ht="24.95" customHeight="1" x14ac:dyDescent="0.3">
      <c r="A21" s="37">
        <v>17</v>
      </c>
      <c r="B21" s="48" t="s">
        <v>28</v>
      </c>
      <c r="C21" s="38" t="e">
        <f>C17-C18-C20</f>
        <v>#REF!</v>
      </c>
      <c r="D21" s="38" t="e">
        <f t="shared" ref="D21:R21" si="5">D17-D18-D20</f>
        <v>#REF!</v>
      </c>
      <c r="E21" s="38" t="e">
        <f t="shared" si="5"/>
        <v>#REF!</v>
      </c>
      <c r="F21" s="38" t="e">
        <f>F17-F18-F20</f>
        <v>#REF!</v>
      </c>
      <c r="G21" s="38" t="e">
        <f t="shared" si="5"/>
        <v>#REF!</v>
      </c>
      <c r="H21" s="38" t="e">
        <f t="shared" si="5"/>
        <v>#REF!</v>
      </c>
      <c r="I21" s="38" t="e">
        <f t="shared" si="5"/>
        <v>#REF!</v>
      </c>
      <c r="J21" s="38" t="e">
        <f t="shared" si="5"/>
        <v>#REF!</v>
      </c>
      <c r="K21" s="38" t="e">
        <f t="shared" si="5"/>
        <v>#REF!</v>
      </c>
      <c r="L21" s="38" t="e">
        <f t="shared" si="5"/>
        <v>#REF!</v>
      </c>
      <c r="M21" s="38" t="e">
        <f t="shared" si="5"/>
        <v>#REF!</v>
      </c>
      <c r="N21" s="38" t="e">
        <f t="shared" si="5"/>
        <v>#REF!</v>
      </c>
      <c r="O21" s="38" t="e">
        <f t="shared" si="5"/>
        <v>#REF!</v>
      </c>
      <c r="P21" s="38" t="e">
        <f t="shared" si="5"/>
        <v>#REF!</v>
      </c>
      <c r="Q21" s="38" t="e">
        <f t="shared" si="5"/>
        <v>#REF!</v>
      </c>
      <c r="R21" s="38" t="e">
        <f t="shared" si="5"/>
        <v>#REF!</v>
      </c>
      <c r="S21" s="38"/>
      <c r="T21" s="35"/>
      <c r="U21" s="35"/>
      <c r="V21" s="35"/>
      <c r="W21" s="43">
        <f>结论表!J10</f>
        <v>0.13400000000000001</v>
      </c>
      <c r="X21" s="35"/>
    </row>
    <row r="24" spans="1:24" hidden="1" x14ac:dyDescent="0.25">
      <c r="B24" s="2" t="s">
        <v>73</v>
      </c>
      <c r="C24" s="4" t="e">
        <f>(S12+S13)/S12</f>
        <v>#REF!</v>
      </c>
      <c r="D24" s="4"/>
      <c r="E24" s="4"/>
      <c r="F24" s="4"/>
      <c r="G24" s="4"/>
      <c r="H24" s="4"/>
      <c r="I24" s="4"/>
      <c r="J24" s="4"/>
      <c r="K24" s="4"/>
      <c r="L24" s="4"/>
      <c r="M24" s="5" t="s">
        <v>74</v>
      </c>
    </row>
    <row r="25" spans="1:24" ht="18" x14ac:dyDescent="0.3">
      <c r="B25" s="23" t="s">
        <v>178</v>
      </c>
      <c r="C25" s="24">
        <v>-0.1</v>
      </c>
      <c r="J25" s="3"/>
    </row>
  </sheetData>
  <mergeCells count="7">
    <mergeCell ref="A1:S1"/>
    <mergeCell ref="C2:P2"/>
    <mergeCell ref="Q2:S2"/>
    <mergeCell ref="C3:F3"/>
    <mergeCell ref="G3:J3"/>
    <mergeCell ref="K3:N3"/>
    <mergeCell ref="O3:R3"/>
  </mergeCells>
  <phoneticPr fontId="19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3" tint="0.59999389629810485"/>
  </sheetPr>
  <dimension ref="A1:T29"/>
  <sheetViews>
    <sheetView topLeftCell="F1" zoomScaleNormal="100" zoomScaleSheetLayoutView="115" workbookViewId="0">
      <selection activeCell="D18" sqref="D18:R18"/>
    </sheetView>
  </sheetViews>
  <sheetFormatPr defaultColWidth="11" defaultRowHeight="18" x14ac:dyDescent="0.3"/>
  <cols>
    <col min="1" max="1" width="4.625" style="26" customWidth="1"/>
    <col min="2" max="2" width="22.125" style="26" customWidth="1"/>
    <col min="3" max="17" width="9.625" style="26" customWidth="1"/>
    <col min="18" max="18" width="11" style="26" customWidth="1"/>
    <col min="19" max="19" width="8.875" style="26" customWidth="1"/>
    <col min="20" max="16384" width="11" style="26"/>
  </cols>
  <sheetData>
    <row r="1" spans="1:20" ht="24" customHeight="1" x14ac:dyDescent="0.3">
      <c r="A1" s="831" t="s">
        <v>12</v>
      </c>
      <c r="B1" s="831"/>
      <c r="C1" s="831"/>
      <c r="D1" s="831"/>
      <c r="E1" s="831"/>
      <c r="F1" s="831"/>
      <c r="G1" s="831"/>
      <c r="H1" s="831"/>
      <c r="I1" s="831"/>
      <c r="J1" s="831"/>
      <c r="K1" s="831"/>
      <c r="L1" s="831"/>
      <c r="M1" s="831"/>
      <c r="N1" s="831"/>
      <c r="O1" s="831"/>
      <c r="P1" s="831"/>
      <c r="Q1" s="831"/>
      <c r="R1" s="831"/>
      <c r="S1" s="46"/>
    </row>
    <row r="2" spans="1:20" ht="49.5" customHeight="1" x14ac:dyDescent="0.3">
      <c r="A2" s="27" t="s">
        <v>175</v>
      </c>
      <c r="B2" s="27"/>
      <c r="C2" s="832" t="str">
        <f>基础数据!C5</f>
        <v>北京市密云区檀营乡6005地块R2二类居住用地（编号：京土整储挂（密）[2021]026号）居住项目</v>
      </c>
      <c r="D2" s="832"/>
      <c r="E2" s="832"/>
      <c r="F2" s="832"/>
      <c r="G2" s="832"/>
      <c r="H2" s="832"/>
      <c r="I2" s="832"/>
      <c r="J2" s="832"/>
      <c r="K2" s="832"/>
      <c r="L2" s="832"/>
      <c r="M2" s="832"/>
      <c r="N2" s="832"/>
      <c r="O2" s="832"/>
      <c r="P2" s="832"/>
      <c r="Q2" s="832"/>
      <c r="R2" s="832"/>
      <c r="S2" s="46"/>
    </row>
    <row r="3" spans="1:20" ht="24" customHeight="1" x14ac:dyDescent="0.3">
      <c r="A3" s="28" t="s">
        <v>9</v>
      </c>
      <c r="B3" s="28" t="s">
        <v>81</v>
      </c>
      <c r="C3" s="833" t="str">
        <f>'主表1（成本）'!C3</f>
        <v>2021年</v>
      </c>
      <c r="D3" s="834"/>
      <c r="E3" s="834"/>
      <c r="F3" s="835"/>
      <c r="G3" s="833" t="str">
        <f>'主表1（成本）'!G3</f>
        <v>2022年</v>
      </c>
      <c r="H3" s="834"/>
      <c r="I3" s="834"/>
      <c r="J3" s="835"/>
      <c r="K3" s="833" t="str">
        <f>'主表1（成本）'!K3</f>
        <v>2023年</v>
      </c>
      <c r="L3" s="834"/>
      <c r="M3" s="834"/>
      <c r="N3" s="835"/>
      <c r="O3" s="833" t="str">
        <f>'主表1（成本）'!O3</f>
        <v>2024年</v>
      </c>
      <c r="P3" s="834"/>
      <c r="Q3" s="834"/>
      <c r="R3" s="835"/>
      <c r="S3" s="28" t="s">
        <v>34</v>
      </c>
    </row>
    <row r="4" spans="1:20" ht="24" customHeight="1" x14ac:dyDescent="0.3">
      <c r="A4" s="28"/>
      <c r="B4" s="28"/>
      <c r="C4" s="28" t="str">
        <f>'主表1（成本）'!C4</f>
        <v>Q1</v>
      </c>
      <c r="D4" s="28" t="str">
        <f>'主表1（成本）'!D4</f>
        <v>Q2</v>
      </c>
      <c r="E4" s="28" t="str">
        <f>'主表1（成本）'!E4</f>
        <v>Q3</v>
      </c>
      <c r="F4" s="28" t="str">
        <f>'主表1（成本）'!F4</f>
        <v>Q4</v>
      </c>
      <c r="G4" s="28" t="str">
        <f>'主表1（成本）'!G4</f>
        <v>Q1</v>
      </c>
      <c r="H4" s="28" t="str">
        <f>'主表1（成本）'!H4</f>
        <v>Q2</v>
      </c>
      <c r="I4" s="28" t="str">
        <f>'主表1（成本）'!I4</f>
        <v>Q3</v>
      </c>
      <c r="J4" s="28" t="str">
        <f>'主表1（成本）'!J4</f>
        <v>Q4</v>
      </c>
      <c r="K4" s="28" t="str">
        <f>'主表1（成本）'!K4</f>
        <v>Q1</v>
      </c>
      <c r="L4" s="28" t="str">
        <f>'主表1（成本）'!L4</f>
        <v>Q2</v>
      </c>
      <c r="M4" s="28" t="str">
        <f>'主表1（成本）'!M4</f>
        <v>Q3</v>
      </c>
      <c r="N4" s="28" t="str">
        <f>'主表1（成本）'!N4</f>
        <v>Q4</v>
      </c>
      <c r="O4" s="28" t="str">
        <f>'主表1（成本）'!O4</f>
        <v>Q1</v>
      </c>
      <c r="P4" s="28" t="str">
        <f>'主表1（成本）'!P4</f>
        <v>Q2</v>
      </c>
      <c r="Q4" s="28" t="str">
        <f>'主表1（成本）'!Q4</f>
        <v>Q3</v>
      </c>
      <c r="R4" s="28" t="str">
        <f>'主表1（成本）'!R4</f>
        <v>Q4</v>
      </c>
      <c r="S4" s="28"/>
    </row>
    <row r="5" spans="1:20" ht="24" customHeight="1" x14ac:dyDescent="0.3">
      <c r="A5" s="28">
        <v>1</v>
      </c>
      <c r="B5" s="28" t="s">
        <v>13</v>
      </c>
      <c r="C5" s="29" t="e">
        <f t="shared" ref="C5:R5" si="0">SUM(C6:C9)</f>
        <v>#REF!</v>
      </c>
      <c r="D5" s="29" t="e">
        <f t="shared" si="0"/>
        <v>#REF!</v>
      </c>
      <c r="E5" s="29" t="e">
        <f t="shared" si="0"/>
        <v>#REF!</v>
      </c>
      <c r="F5" s="29" t="e">
        <f t="shared" si="0"/>
        <v>#REF!</v>
      </c>
      <c r="G5" s="29" t="e">
        <f t="shared" si="0"/>
        <v>#REF!</v>
      </c>
      <c r="H5" s="29" t="e">
        <f t="shared" si="0"/>
        <v>#REF!</v>
      </c>
      <c r="I5" s="29" t="e">
        <f t="shared" si="0"/>
        <v>#REF!</v>
      </c>
      <c r="J5" s="29" t="e">
        <f t="shared" si="0"/>
        <v>#REF!</v>
      </c>
      <c r="K5" s="29" t="e">
        <f t="shared" si="0"/>
        <v>#REF!</v>
      </c>
      <c r="L5" s="29" t="e">
        <f t="shared" si="0"/>
        <v>#REF!</v>
      </c>
      <c r="M5" s="29" t="e">
        <f t="shared" si="0"/>
        <v>#REF!</v>
      </c>
      <c r="N5" s="29" t="e">
        <f t="shared" si="0"/>
        <v>#REF!</v>
      </c>
      <c r="O5" s="29" t="e">
        <f t="shared" si="0"/>
        <v>#REF!</v>
      </c>
      <c r="P5" s="29" t="e">
        <f t="shared" si="0"/>
        <v>#REF!</v>
      </c>
      <c r="Q5" s="29" t="e">
        <f t="shared" si="0"/>
        <v>#REF!</v>
      </c>
      <c r="R5" s="29" t="e">
        <f t="shared" si="0"/>
        <v>#REF!</v>
      </c>
      <c r="S5" s="29" t="e">
        <f t="shared" ref="S5:S17" si="1">SUM(C5:R5)</f>
        <v>#REF!</v>
      </c>
    </row>
    <row r="6" spans="1:20" ht="24" customHeight="1" x14ac:dyDescent="0.3">
      <c r="A6" s="28">
        <v>2</v>
      </c>
      <c r="B6" s="28" t="s">
        <v>2</v>
      </c>
      <c r="C6" s="47" t="e">
        <f>ROUND('底表1（销售）'!F27,0)*(1+$C$29)</f>
        <v>#REF!</v>
      </c>
      <c r="D6" s="47" t="e">
        <f>ROUND('底表1（销售）'!G27,0)*(1+$C$29)</f>
        <v>#REF!</v>
      </c>
      <c r="E6" s="47" t="e">
        <f>ROUND('底表1（销售）'!H27,0)*(1+$C$29)</f>
        <v>#REF!</v>
      </c>
      <c r="F6" s="47" t="e">
        <f>ROUND('底表1（销售）'!I27,0)*(1+$C$29)</f>
        <v>#REF!</v>
      </c>
      <c r="G6" s="47" t="e">
        <f>ROUND('底表1（销售）'!J27,0)*(1+$C$29)</f>
        <v>#REF!</v>
      </c>
      <c r="H6" s="47" t="e">
        <f>ROUND('底表1（销售）'!K27,0)*(1+$C$29)</f>
        <v>#REF!</v>
      </c>
      <c r="I6" s="47" t="e">
        <f>ROUND('底表1（销售）'!L27,0)*(1+$C$29)</f>
        <v>#REF!</v>
      </c>
      <c r="J6" s="47" t="e">
        <f>ROUND('底表1（销售）'!M27,0)*(1+$C$29)</f>
        <v>#REF!</v>
      </c>
      <c r="K6" s="47" t="e">
        <f>ROUND('底表1（销售）'!N27,0)*(1+$C$29)</f>
        <v>#REF!</v>
      </c>
      <c r="L6" s="47" t="e">
        <f>ROUND('底表1（销售）'!O27,0)*(1+$C$29)</f>
        <v>#REF!</v>
      </c>
      <c r="M6" s="47" t="e">
        <f>ROUND('底表1（销售）'!P27,0)*(1+$C$29)</f>
        <v>#REF!</v>
      </c>
      <c r="N6" s="47" t="e">
        <f>ROUND('底表1（销售）'!Q27,0)*(1+$C$29)</f>
        <v>#REF!</v>
      </c>
      <c r="O6" s="47" t="e">
        <f>ROUND('底表1（销售）'!R27,0)*(1+$C$29)</f>
        <v>#REF!</v>
      </c>
      <c r="P6" s="47" t="e">
        <f>ROUND('底表1（销售）'!S27,0)*(1+$C$29)</f>
        <v>#REF!</v>
      </c>
      <c r="Q6" s="47" t="e">
        <f>ROUND('底表1（销售）'!T27,0)*(1+$C$29)</f>
        <v>#REF!</v>
      </c>
      <c r="R6" s="47" t="e">
        <f>ROUND('底表1（销售）'!U27,0)*(1+$C$29)</f>
        <v>#REF!</v>
      </c>
      <c r="S6" s="29" t="e">
        <f t="shared" si="1"/>
        <v>#REF!</v>
      </c>
      <c r="T6" s="26" t="e">
        <f>'底表1（销售）'!BS6*(1+$C$29)</f>
        <v>#REF!</v>
      </c>
    </row>
    <row r="7" spans="1:20" ht="24" hidden="1" customHeight="1" x14ac:dyDescent="0.3">
      <c r="A7" s="28">
        <v>3</v>
      </c>
      <c r="B7" s="30" t="s">
        <v>10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>
        <f t="shared" si="1"/>
        <v>0</v>
      </c>
    </row>
    <row r="8" spans="1:20" ht="24" hidden="1" customHeight="1" x14ac:dyDescent="0.3">
      <c r="A8" s="28">
        <v>4</v>
      </c>
      <c r="B8" s="28" t="s">
        <v>14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>
        <f t="shared" si="1"/>
        <v>0</v>
      </c>
    </row>
    <row r="9" spans="1:20" ht="24" hidden="1" customHeight="1" x14ac:dyDescent="0.3">
      <c r="A9" s="28">
        <v>5</v>
      </c>
      <c r="B9" s="28" t="s">
        <v>0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>
        <f t="shared" si="1"/>
        <v>0</v>
      </c>
    </row>
    <row r="10" spans="1:20" ht="24" customHeight="1" x14ac:dyDescent="0.3">
      <c r="A10" s="28">
        <v>6</v>
      </c>
      <c r="B10" s="28" t="s">
        <v>15</v>
      </c>
      <c r="C10" s="29" t="e">
        <f t="shared" ref="C10:R10" si="2">SUM(C11:C16)</f>
        <v>#REF!</v>
      </c>
      <c r="D10" s="29" t="e">
        <f t="shared" si="2"/>
        <v>#REF!</v>
      </c>
      <c r="E10" s="29" t="e">
        <f t="shared" si="2"/>
        <v>#REF!</v>
      </c>
      <c r="F10" s="29" t="e">
        <f t="shared" si="2"/>
        <v>#REF!</v>
      </c>
      <c r="G10" s="29" t="e">
        <f t="shared" si="2"/>
        <v>#REF!</v>
      </c>
      <c r="H10" s="29" t="e">
        <f t="shared" si="2"/>
        <v>#REF!</v>
      </c>
      <c r="I10" s="29" t="e">
        <f t="shared" si="2"/>
        <v>#REF!</v>
      </c>
      <c r="J10" s="29" t="e">
        <f t="shared" si="2"/>
        <v>#REF!</v>
      </c>
      <c r="K10" s="29" t="e">
        <f t="shared" si="2"/>
        <v>#REF!</v>
      </c>
      <c r="L10" s="29" t="e">
        <f t="shared" si="2"/>
        <v>#REF!</v>
      </c>
      <c r="M10" s="29" t="e">
        <f t="shared" si="2"/>
        <v>#REF!</v>
      </c>
      <c r="N10" s="29" t="e">
        <f t="shared" si="2"/>
        <v>#REF!</v>
      </c>
      <c r="O10" s="29" t="e">
        <f t="shared" si="2"/>
        <v>#REF!</v>
      </c>
      <c r="P10" s="29" t="e">
        <f t="shared" si="2"/>
        <v>#REF!</v>
      </c>
      <c r="Q10" s="29" t="e">
        <f t="shared" si="2"/>
        <v>#REF!</v>
      </c>
      <c r="R10" s="29" t="e">
        <f t="shared" si="2"/>
        <v>#REF!</v>
      </c>
      <c r="S10" s="29" t="e">
        <f t="shared" si="1"/>
        <v>#REF!</v>
      </c>
    </row>
    <row r="11" spans="1:20" ht="24" customHeight="1" x14ac:dyDescent="0.3">
      <c r="A11" s="28">
        <v>7</v>
      </c>
      <c r="B11" s="28" t="s">
        <v>16</v>
      </c>
      <c r="C11" s="29">
        <f>ROUND('主表1（成本）'!C39*$C$25,0)</f>
        <v>0</v>
      </c>
      <c r="D11" s="29">
        <f>ROUND('主表1（成本）'!D39*$C$25,0)</f>
        <v>179014</v>
      </c>
      <c r="E11" s="29">
        <f>ROUND('主表1（成本）'!E39*$C$25,0)</f>
        <v>24438</v>
      </c>
      <c r="F11" s="29">
        <f>ROUND('主表1（成本）'!F39*$C$25,0)</f>
        <v>14028</v>
      </c>
      <c r="G11" s="29">
        <f>ROUND('主表1（成本）'!G39*$C$25,0)</f>
        <v>9527</v>
      </c>
      <c r="H11" s="29">
        <f>ROUND('主表1（成本）'!H39*$C$25,0)</f>
        <v>9716</v>
      </c>
      <c r="I11" s="29">
        <f>ROUND('主表1（成本）'!I39*$C$25,0)</f>
        <v>9680</v>
      </c>
      <c r="J11" s="29">
        <f>ROUND('主表1（成本）'!J39*$C$25,0)</f>
        <v>9394</v>
      </c>
      <c r="K11" s="29">
        <f>ROUND('主表1（成本）'!K39*$C$25,0)</f>
        <v>7578</v>
      </c>
      <c r="L11" s="29">
        <f>ROUND('主表1（成本）'!L39*$C$25,0)</f>
        <v>7302</v>
      </c>
      <c r="M11" s="29">
        <f>ROUND('主表1（成本）'!M39*$C$25,0)</f>
        <v>5413</v>
      </c>
      <c r="N11" s="29">
        <f>ROUND('主表1（成本）'!N39*$C$25,0)</f>
        <v>5381</v>
      </c>
      <c r="O11" s="29">
        <f>ROUND('主表1（成本）'!O39*$C$25,0)</f>
        <v>4367</v>
      </c>
      <c r="P11" s="29">
        <f>ROUND('主表1（成本）'!P39*$C$25,0)</f>
        <v>4285</v>
      </c>
      <c r="Q11" s="29">
        <f>ROUND('主表1（成本）'!Q39*$C$25,0)</f>
        <v>0</v>
      </c>
      <c r="R11" s="29">
        <f>ROUND('主表1（成本）'!R39*$C$25,0)</f>
        <v>0</v>
      </c>
      <c r="S11" s="29">
        <f t="shared" si="1"/>
        <v>290123</v>
      </c>
      <c r="T11" s="26">
        <f>'主表1（成本）'!B39</f>
        <v>290123</v>
      </c>
    </row>
    <row r="12" spans="1:20" ht="24" hidden="1" customHeight="1" x14ac:dyDescent="0.3">
      <c r="A12" s="28">
        <v>8</v>
      </c>
      <c r="B12" s="28" t="s">
        <v>17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>
        <f t="shared" si="1"/>
        <v>0</v>
      </c>
    </row>
    <row r="13" spans="1:20" ht="24" customHeight="1" x14ac:dyDescent="0.3">
      <c r="A13" s="28">
        <v>9</v>
      </c>
      <c r="B13" s="28" t="s">
        <v>137</v>
      </c>
      <c r="C13" s="29" t="e">
        <f>ROUND('底表1（销售）'!F28,0)*(1+$C$29)</f>
        <v>#REF!</v>
      </c>
      <c r="D13" s="29" t="e">
        <f>ROUND('底表1（销售）'!G28,0)*(1+$C$29)</f>
        <v>#REF!</v>
      </c>
      <c r="E13" s="29" t="e">
        <f>ROUND('底表1（销售）'!H28,0)*(1+$C$29)</f>
        <v>#REF!</v>
      </c>
      <c r="F13" s="29" t="e">
        <f>ROUND('底表1（销售）'!I28,0)*(1+$C$29)</f>
        <v>#REF!</v>
      </c>
      <c r="G13" s="29" t="e">
        <f>ROUND('底表1（销售）'!J28,0)*(1+$C$29)</f>
        <v>#REF!</v>
      </c>
      <c r="H13" s="29" t="e">
        <f>ROUND('底表1（销售）'!K28,0)*(1+$C$29)</f>
        <v>#REF!</v>
      </c>
      <c r="I13" s="29" t="e">
        <f>ROUND('底表1（销售）'!L28,0)*(1+$C$29)</f>
        <v>#REF!</v>
      </c>
      <c r="J13" s="29" t="e">
        <f>ROUND('底表1（销售）'!M28,0)*(1+$C$29)</f>
        <v>#REF!</v>
      </c>
      <c r="K13" s="29" t="e">
        <f>ROUND('底表1（销售）'!N28,0)*(1+$C$29)</f>
        <v>#REF!</v>
      </c>
      <c r="L13" s="29" t="e">
        <f>ROUND('底表1（销售）'!O28,0)*(1+$C$29)</f>
        <v>#REF!</v>
      </c>
      <c r="M13" s="29" t="e">
        <f>ROUND('底表1（销售）'!P28,0)*(1+$C$29)</f>
        <v>#REF!</v>
      </c>
      <c r="N13" s="29" t="e">
        <f>ROUND('底表1（销售）'!Q28,0)*(1+$C$29)</f>
        <v>#REF!</v>
      </c>
      <c r="O13" s="29" t="e">
        <f>ROUND('底表1（销售）'!R28,0)*(1+$C$29)</f>
        <v>#REF!</v>
      </c>
      <c r="P13" s="29" t="e">
        <f>ROUND('底表1（销售）'!S28,0)*(1+$C$29)</f>
        <v>#REF!</v>
      </c>
      <c r="Q13" s="29" t="e">
        <f>ROUND('底表1（销售）'!T28,0)*(1+$C$29)</f>
        <v>#REF!</v>
      </c>
      <c r="R13" s="29" t="e">
        <f>ROUND('底表1（销售）'!U28,0)*(1+$C$29)</f>
        <v>#REF!</v>
      </c>
      <c r="S13" s="29" t="e">
        <f t="shared" si="1"/>
        <v>#REF!</v>
      </c>
      <c r="T13" s="26" t="e">
        <f>'底表1（销售）'!BS13*(1+$C$29)</f>
        <v>#REF!</v>
      </c>
    </row>
    <row r="14" spans="1:20" ht="24" customHeight="1" x14ac:dyDescent="0.3">
      <c r="A14" s="28">
        <v>10</v>
      </c>
      <c r="B14" s="28" t="s">
        <v>19</v>
      </c>
      <c r="C14" s="29">
        <f>'主表4-1（敏感性分析 销售+5%）'!C9</f>
        <v>0</v>
      </c>
      <c r="D14" s="29">
        <f>'主表4-1（敏感性分析 销售+5%）'!D9</f>
        <v>0</v>
      </c>
      <c r="E14" s="29">
        <f>'主表4-1（敏感性分析 销售+5%）'!E9</f>
        <v>0</v>
      </c>
      <c r="F14" s="29">
        <f>'主表4-1（敏感性分析 销售+5%）'!F9</f>
        <v>0</v>
      </c>
      <c r="G14" s="29">
        <f>'主表4-1（敏感性分析 销售+5%）'!G9</f>
        <v>1190</v>
      </c>
      <c r="H14" s="29">
        <f>'主表4-1（敏感性分析 销售+5%）'!H9</f>
        <v>1894</v>
      </c>
      <c r="I14" s="29">
        <f>'主表4-1（敏感性分析 销售+5%）'!I9</f>
        <v>1509</v>
      </c>
      <c r="J14" s="29">
        <f>'主表4-1（敏感性分析 销售+5%）'!J9</f>
        <v>1371</v>
      </c>
      <c r="K14" s="29">
        <f>'主表4-1（敏感性分析 销售+5%）'!K9</f>
        <v>990</v>
      </c>
      <c r="L14" s="29">
        <f>'主表4-1（敏感性分析 销售+5%）'!L9</f>
        <v>0</v>
      </c>
      <c r="M14" s="29">
        <f>'主表4-1（敏感性分析 销售+5%）'!M9</f>
        <v>0</v>
      </c>
      <c r="N14" s="29">
        <f>'主表4-1（敏感性分析 销售+5%）'!N9</f>
        <v>0</v>
      </c>
      <c r="O14" s="29">
        <f>'主表4-1（敏感性分析 销售+5%）'!O9</f>
        <v>0</v>
      </c>
      <c r="P14" s="29">
        <f>'主表4-1（敏感性分析 销售+5%）'!P9</f>
        <v>0</v>
      </c>
      <c r="Q14" s="29">
        <f>'主表4-1（敏感性分析 销售+5%）'!Q9</f>
        <v>0</v>
      </c>
      <c r="R14" s="29">
        <f>'主表4-1（敏感性分析 销售+5%）'!R9</f>
        <v>0</v>
      </c>
      <c r="S14" s="29">
        <f t="shared" si="1"/>
        <v>6954</v>
      </c>
      <c r="T14" s="26">
        <f>'主表4-1（敏感性分析 销售-5%）'!T9</f>
        <v>6292</v>
      </c>
    </row>
    <row r="15" spans="1:20" ht="24" customHeight="1" x14ac:dyDescent="0.3">
      <c r="A15" s="28">
        <v>11</v>
      </c>
      <c r="B15" s="28" t="s">
        <v>11</v>
      </c>
      <c r="C15" s="29">
        <f>'主表4-1（敏感性分析 销售+5%）'!C14</f>
        <v>0</v>
      </c>
      <c r="D15" s="29">
        <f>'主表4-1（敏感性分析 销售+5%）'!D14</f>
        <v>0</v>
      </c>
      <c r="E15" s="29">
        <f>'主表4-1（敏感性分析 销售+5%）'!E14</f>
        <v>0</v>
      </c>
      <c r="F15" s="29" t="e">
        <f>'主表4-1（敏感性分析 销售+5%）'!F14</f>
        <v>#REF!</v>
      </c>
      <c r="G15" s="29">
        <f>'主表4-1（敏感性分析 销售+5%）'!G14</f>
        <v>0</v>
      </c>
      <c r="H15" s="29">
        <f>'主表4-1（敏感性分析 销售+5%）'!H14</f>
        <v>0</v>
      </c>
      <c r="I15" s="29">
        <f>'主表4-1（敏感性分析 销售+5%）'!I14</f>
        <v>0</v>
      </c>
      <c r="J15" s="29" t="e">
        <f>'主表4-1（敏感性分析 销售+5%）'!J14</f>
        <v>#REF!</v>
      </c>
      <c r="K15" s="29">
        <f>'主表4-1（敏感性分析 销售+5%）'!K14</f>
        <v>0</v>
      </c>
      <c r="L15" s="29">
        <f>'主表4-1（敏感性分析 销售+5%）'!L14</f>
        <v>0</v>
      </c>
      <c r="M15" s="29">
        <f>'主表4-1（敏感性分析 销售+5%）'!M14</f>
        <v>0</v>
      </c>
      <c r="N15" s="29" t="e">
        <f>'主表4-1（敏感性分析 销售+5%）'!N14</f>
        <v>#REF!</v>
      </c>
      <c r="O15" s="29">
        <f>'主表4-1（敏感性分析 销售+5%）'!O14</f>
        <v>0</v>
      </c>
      <c r="P15" s="29">
        <f>'主表4-1（敏感性分析 销售+5%）'!P14</f>
        <v>0</v>
      </c>
      <c r="Q15" s="29">
        <f>'主表4-1（敏感性分析 销售+5%）'!Q14</f>
        <v>0</v>
      </c>
      <c r="R15" s="29" t="e">
        <f>'主表4-1（敏感性分析 销售+5%）'!R14</f>
        <v>#REF!</v>
      </c>
      <c r="S15" s="29" t="e">
        <f t="shared" si="1"/>
        <v>#REF!</v>
      </c>
      <c r="T15" s="26" t="e">
        <f>'主表4-1（敏感性分析 销售-10%）'!S14</f>
        <v>#REF!</v>
      </c>
    </row>
    <row r="16" spans="1:20" ht="24" customHeight="1" x14ac:dyDescent="0.3">
      <c r="A16" s="28">
        <v>12</v>
      </c>
      <c r="B16" s="28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>
        <f t="shared" si="1"/>
        <v>0</v>
      </c>
    </row>
    <row r="17" spans="1:19" ht="24" customHeight="1" x14ac:dyDescent="0.3">
      <c r="A17" s="28">
        <v>13</v>
      </c>
      <c r="B17" s="28" t="s">
        <v>20</v>
      </c>
      <c r="C17" s="29" t="e">
        <f t="shared" ref="C17:R17" si="3">C5-C10</f>
        <v>#REF!</v>
      </c>
      <c r="D17" s="29" t="e">
        <f t="shared" si="3"/>
        <v>#REF!</v>
      </c>
      <c r="E17" s="29" t="e">
        <f t="shared" si="3"/>
        <v>#REF!</v>
      </c>
      <c r="F17" s="29" t="e">
        <f t="shared" si="3"/>
        <v>#REF!</v>
      </c>
      <c r="G17" s="29" t="e">
        <f t="shared" si="3"/>
        <v>#REF!</v>
      </c>
      <c r="H17" s="29" t="e">
        <f t="shared" si="3"/>
        <v>#REF!</v>
      </c>
      <c r="I17" s="29" t="e">
        <f t="shared" si="3"/>
        <v>#REF!</v>
      </c>
      <c r="J17" s="29" t="e">
        <f t="shared" si="3"/>
        <v>#REF!</v>
      </c>
      <c r="K17" s="29" t="e">
        <f t="shared" si="3"/>
        <v>#REF!</v>
      </c>
      <c r="L17" s="29" t="e">
        <f t="shared" si="3"/>
        <v>#REF!</v>
      </c>
      <c r="M17" s="29" t="e">
        <f t="shared" si="3"/>
        <v>#REF!</v>
      </c>
      <c r="N17" s="29" t="e">
        <f t="shared" si="3"/>
        <v>#REF!</v>
      </c>
      <c r="O17" s="29" t="e">
        <f t="shared" si="3"/>
        <v>#REF!</v>
      </c>
      <c r="P17" s="29" t="e">
        <f t="shared" si="3"/>
        <v>#REF!</v>
      </c>
      <c r="Q17" s="29" t="e">
        <f t="shared" si="3"/>
        <v>#REF!</v>
      </c>
      <c r="R17" s="29" t="e">
        <f t="shared" si="3"/>
        <v>#REF!</v>
      </c>
      <c r="S17" s="29" t="e">
        <f t="shared" si="1"/>
        <v>#REF!</v>
      </c>
    </row>
    <row r="18" spans="1:19" ht="24" customHeight="1" x14ac:dyDescent="0.3">
      <c r="A18" s="28">
        <v>14</v>
      </c>
      <c r="B18" s="28" t="s">
        <v>21</v>
      </c>
      <c r="C18" s="29" t="e">
        <f>C17</f>
        <v>#REF!</v>
      </c>
      <c r="D18" s="29" t="e">
        <f>D17+C18</f>
        <v>#REF!</v>
      </c>
      <c r="E18" s="29" t="e">
        <f t="shared" ref="E18:R18" si="4">E17+D18</f>
        <v>#REF!</v>
      </c>
      <c r="F18" s="29" t="e">
        <f t="shared" si="4"/>
        <v>#REF!</v>
      </c>
      <c r="G18" s="29" t="e">
        <f t="shared" si="4"/>
        <v>#REF!</v>
      </c>
      <c r="H18" s="29" t="e">
        <f t="shared" si="4"/>
        <v>#REF!</v>
      </c>
      <c r="I18" s="29" t="e">
        <f t="shared" si="4"/>
        <v>#REF!</v>
      </c>
      <c r="J18" s="29" t="e">
        <f t="shared" si="4"/>
        <v>#REF!</v>
      </c>
      <c r="K18" s="29" t="e">
        <f t="shared" si="4"/>
        <v>#REF!</v>
      </c>
      <c r="L18" s="29" t="e">
        <f t="shared" si="4"/>
        <v>#REF!</v>
      </c>
      <c r="M18" s="29" t="e">
        <f t="shared" si="4"/>
        <v>#REF!</v>
      </c>
      <c r="N18" s="29" t="e">
        <f t="shared" si="4"/>
        <v>#REF!</v>
      </c>
      <c r="O18" s="29" t="e">
        <f t="shared" si="4"/>
        <v>#REF!</v>
      </c>
      <c r="P18" s="29" t="e">
        <f t="shared" si="4"/>
        <v>#REF!</v>
      </c>
      <c r="Q18" s="29" t="e">
        <f t="shared" si="4"/>
        <v>#REF!</v>
      </c>
      <c r="R18" s="29" t="e">
        <f t="shared" si="4"/>
        <v>#REF!</v>
      </c>
      <c r="S18" s="29"/>
    </row>
    <row r="19" spans="1:19" ht="24" customHeight="1" x14ac:dyDescent="0.3">
      <c r="A19" s="28">
        <v>15</v>
      </c>
      <c r="B19" s="28" t="s">
        <v>30</v>
      </c>
      <c r="C19" s="29" t="e">
        <f>C17/(1+$C$22)^C27</f>
        <v>#REF!</v>
      </c>
      <c r="D19" s="29" t="e">
        <f t="shared" ref="D19:R19" si="5">D17/(1+$C$22)^D27</f>
        <v>#REF!</v>
      </c>
      <c r="E19" s="29" t="e">
        <f t="shared" si="5"/>
        <v>#REF!</v>
      </c>
      <c r="F19" s="29" t="e">
        <f t="shared" si="5"/>
        <v>#REF!</v>
      </c>
      <c r="G19" s="29" t="e">
        <f t="shared" si="5"/>
        <v>#REF!</v>
      </c>
      <c r="H19" s="29" t="e">
        <f t="shared" si="5"/>
        <v>#REF!</v>
      </c>
      <c r="I19" s="29" t="e">
        <f t="shared" si="5"/>
        <v>#REF!</v>
      </c>
      <c r="J19" s="29" t="e">
        <f t="shared" si="5"/>
        <v>#REF!</v>
      </c>
      <c r="K19" s="29" t="e">
        <f t="shared" si="5"/>
        <v>#REF!</v>
      </c>
      <c r="L19" s="29" t="e">
        <f t="shared" si="5"/>
        <v>#REF!</v>
      </c>
      <c r="M19" s="29" t="e">
        <f t="shared" si="5"/>
        <v>#REF!</v>
      </c>
      <c r="N19" s="29" t="e">
        <f t="shared" si="5"/>
        <v>#REF!</v>
      </c>
      <c r="O19" s="29" t="e">
        <f t="shared" si="5"/>
        <v>#REF!</v>
      </c>
      <c r="P19" s="29" t="e">
        <f t="shared" si="5"/>
        <v>#REF!</v>
      </c>
      <c r="Q19" s="29" t="e">
        <f t="shared" si="5"/>
        <v>#REF!</v>
      </c>
      <c r="R19" s="29" t="e">
        <f t="shared" si="5"/>
        <v>#REF!</v>
      </c>
      <c r="S19" s="29" t="e">
        <f>SUM(C19:R19)</f>
        <v>#REF!</v>
      </c>
    </row>
    <row r="20" spans="1:19" ht="24" customHeight="1" x14ac:dyDescent="0.3">
      <c r="A20" s="28">
        <v>16</v>
      </c>
      <c r="B20" s="28" t="s">
        <v>22</v>
      </c>
      <c r="C20" s="29" t="e">
        <f>C19</f>
        <v>#REF!</v>
      </c>
      <c r="D20" s="29" t="e">
        <f>D19+C20</f>
        <v>#REF!</v>
      </c>
      <c r="E20" s="29" t="e">
        <f t="shared" ref="E20:R20" si="6">E19+D20</f>
        <v>#REF!</v>
      </c>
      <c r="F20" s="29" t="e">
        <f t="shared" si="6"/>
        <v>#REF!</v>
      </c>
      <c r="G20" s="29" t="e">
        <f t="shared" si="6"/>
        <v>#REF!</v>
      </c>
      <c r="H20" s="29" t="e">
        <f t="shared" si="6"/>
        <v>#REF!</v>
      </c>
      <c r="I20" s="29" t="e">
        <f t="shared" si="6"/>
        <v>#REF!</v>
      </c>
      <c r="J20" s="29" t="e">
        <f t="shared" si="6"/>
        <v>#REF!</v>
      </c>
      <c r="K20" s="29" t="e">
        <f t="shared" si="6"/>
        <v>#REF!</v>
      </c>
      <c r="L20" s="29" t="e">
        <f t="shared" si="6"/>
        <v>#REF!</v>
      </c>
      <c r="M20" s="29" t="e">
        <f t="shared" si="6"/>
        <v>#REF!</v>
      </c>
      <c r="N20" s="29" t="e">
        <f t="shared" si="6"/>
        <v>#REF!</v>
      </c>
      <c r="O20" s="29" t="e">
        <f t="shared" si="6"/>
        <v>#REF!</v>
      </c>
      <c r="P20" s="29" t="e">
        <f t="shared" si="6"/>
        <v>#REF!</v>
      </c>
      <c r="Q20" s="29" t="e">
        <f t="shared" si="6"/>
        <v>#REF!</v>
      </c>
      <c r="R20" s="29" t="e">
        <f t="shared" si="6"/>
        <v>#REF!</v>
      </c>
      <c r="S20" s="29" t="s">
        <v>0</v>
      </c>
    </row>
    <row r="21" spans="1:19" x14ac:dyDescent="0.3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</row>
    <row r="22" spans="1:19" x14ac:dyDescent="0.3">
      <c r="A22" s="46" t="s">
        <v>187</v>
      </c>
      <c r="B22" s="46"/>
      <c r="C22" s="49">
        <f>10%/4</f>
        <v>2.5000000000000001E-2</v>
      </c>
      <c r="D22" s="31"/>
      <c r="E22" s="31"/>
      <c r="F22" s="31"/>
      <c r="G22" s="31"/>
      <c r="H22" s="830" t="s">
        <v>87</v>
      </c>
      <c r="I22" s="830"/>
      <c r="J22" s="830"/>
      <c r="K22" s="32" t="e">
        <f>NPV(C22,C17:R17)</f>
        <v>#REF!</v>
      </c>
      <c r="L22" s="46" t="s">
        <v>53</v>
      </c>
      <c r="M22" s="46"/>
      <c r="N22" s="46"/>
      <c r="O22" s="46"/>
      <c r="P22" s="46"/>
      <c r="S22" s="46"/>
    </row>
    <row r="23" spans="1:19" x14ac:dyDescent="0.3">
      <c r="A23" s="46" t="s">
        <v>188</v>
      </c>
      <c r="B23" s="46"/>
      <c r="C23" s="33" t="e">
        <f>IRR(C17:R17)</f>
        <v>#VALUE!</v>
      </c>
      <c r="D23" s="33"/>
      <c r="E23" s="33"/>
      <c r="F23" s="33"/>
      <c r="G23" s="33"/>
      <c r="H23" s="830" t="s">
        <v>176</v>
      </c>
      <c r="I23" s="830"/>
      <c r="J23" s="830"/>
      <c r="K23" s="50">
        <f>(10*3-1)/12</f>
        <v>2.42</v>
      </c>
      <c r="L23" s="46" t="s">
        <v>54</v>
      </c>
      <c r="M23" s="46"/>
      <c r="N23" s="46"/>
      <c r="O23" s="46"/>
      <c r="P23" s="46"/>
      <c r="S23" s="46"/>
    </row>
    <row r="25" spans="1:19" x14ac:dyDescent="0.3">
      <c r="B25" s="26" t="s">
        <v>110</v>
      </c>
      <c r="C25" s="26">
        <v>1</v>
      </c>
    </row>
    <row r="26" spans="1:19" x14ac:dyDescent="0.3">
      <c r="B26" s="26" t="s">
        <v>111</v>
      </c>
      <c r="C26" s="26">
        <v>1</v>
      </c>
    </row>
    <row r="27" spans="1:19" x14ac:dyDescent="0.3">
      <c r="C27" s="26">
        <v>0</v>
      </c>
      <c r="D27" s="26">
        <v>0</v>
      </c>
      <c r="E27" s="26">
        <v>0.25</v>
      </c>
      <c r="F27" s="26">
        <f>E27+0.25</f>
        <v>0.5</v>
      </c>
      <c r="G27" s="26">
        <f t="shared" ref="G27:R27" si="7">F27+0.25</f>
        <v>0.75</v>
      </c>
      <c r="H27" s="26">
        <f t="shared" si="7"/>
        <v>1</v>
      </c>
      <c r="I27" s="26">
        <f t="shared" si="7"/>
        <v>1.25</v>
      </c>
      <c r="J27" s="26">
        <f t="shared" si="7"/>
        <v>1.5</v>
      </c>
      <c r="K27" s="26">
        <f t="shared" si="7"/>
        <v>1.75</v>
      </c>
      <c r="L27" s="26">
        <f t="shared" si="7"/>
        <v>2</v>
      </c>
      <c r="M27" s="26">
        <f t="shared" si="7"/>
        <v>2.25</v>
      </c>
      <c r="N27" s="26">
        <f t="shared" si="7"/>
        <v>2.5</v>
      </c>
      <c r="O27" s="26">
        <f t="shared" si="7"/>
        <v>2.75</v>
      </c>
      <c r="P27" s="26">
        <f t="shared" si="7"/>
        <v>3</v>
      </c>
      <c r="Q27" s="26">
        <f t="shared" si="7"/>
        <v>3.25</v>
      </c>
      <c r="R27" s="26">
        <f t="shared" si="7"/>
        <v>3.5</v>
      </c>
    </row>
    <row r="29" spans="1:19" x14ac:dyDescent="0.3">
      <c r="B29" s="23" t="s">
        <v>178</v>
      </c>
      <c r="C29" s="24">
        <v>0.05</v>
      </c>
    </row>
  </sheetData>
  <mergeCells count="8">
    <mergeCell ref="H22:J22"/>
    <mergeCell ref="H23:J23"/>
    <mergeCell ref="A1:R1"/>
    <mergeCell ref="C2:R2"/>
    <mergeCell ref="C3:F3"/>
    <mergeCell ref="G3:J3"/>
    <mergeCell ref="K3:N3"/>
    <mergeCell ref="O3:R3"/>
  </mergeCells>
  <phoneticPr fontId="2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8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3" tint="0.59999389629810485"/>
  </sheetPr>
  <dimension ref="A1:AB25"/>
  <sheetViews>
    <sheetView view="pageBreakPreview" zoomScale="85" zoomScaleNormal="75" zoomScaleSheetLayoutView="85" workbookViewId="0">
      <pane xSplit="2" ySplit="4" topLeftCell="K5" activePane="bottomRight" state="frozen"/>
      <selection pane="topRight" activeCell="C1" sqref="C1"/>
      <selection pane="bottomLeft" activeCell="A5" sqref="A5"/>
      <selection pane="bottomRight" activeCell="K9" sqref="K9"/>
    </sheetView>
  </sheetViews>
  <sheetFormatPr defaultColWidth="11" defaultRowHeight="15.75" x14ac:dyDescent="0.25"/>
  <cols>
    <col min="1" max="1" width="4.625" style="1" customWidth="1"/>
    <col min="2" max="2" width="27" style="1" customWidth="1"/>
    <col min="3" max="19" width="13.125" style="1" customWidth="1"/>
    <col min="20" max="20" width="9.125" style="1" bestFit="1" customWidth="1"/>
    <col min="21" max="21" width="9.875" style="1" bestFit="1" customWidth="1"/>
    <col min="22" max="24" width="9.125" style="1" bestFit="1" customWidth="1"/>
    <col min="25" max="16384" width="11" style="1"/>
  </cols>
  <sheetData>
    <row r="1" spans="1:28" ht="27.75" customHeight="1" x14ac:dyDescent="0.3">
      <c r="A1" s="836" t="s">
        <v>90</v>
      </c>
      <c r="B1" s="836"/>
      <c r="C1" s="836"/>
      <c r="D1" s="836"/>
      <c r="E1" s="836"/>
      <c r="F1" s="836"/>
      <c r="G1" s="836"/>
      <c r="H1" s="836"/>
      <c r="I1" s="836"/>
      <c r="J1" s="836"/>
      <c r="K1" s="836"/>
      <c r="L1" s="836"/>
      <c r="M1" s="836"/>
      <c r="N1" s="836"/>
      <c r="O1" s="836"/>
      <c r="P1" s="836"/>
      <c r="Q1" s="836"/>
      <c r="R1" s="836"/>
      <c r="S1" s="836"/>
      <c r="T1" s="35"/>
      <c r="U1" s="35"/>
      <c r="V1" s="35"/>
      <c r="W1" s="35"/>
      <c r="X1" s="35"/>
    </row>
    <row r="2" spans="1:28" ht="68.25" customHeight="1" x14ac:dyDescent="0.3">
      <c r="A2" s="36" t="s">
        <v>91</v>
      </c>
      <c r="B2" s="36"/>
      <c r="C2" s="837" t="str">
        <f>基础数据!C5</f>
        <v>北京市密云区檀营乡6005地块R2二类居住用地（编号：京土整储挂（密）[2021]026号）居住项目</v>
      </c>
      <c r="D2" s="837"/>
      <c r="E2" s="837"/>
      <c r="F2" s="837"/>
      <c r="G2" s="837"/>
      <c r="H2" s="837"/>
      <c r="I2" s="837"/>
      <c r="J2" s="837"/>
      <c r="K2" s="837"/>
      <c r="L2" s="837"/>
      <c r="M2" s="837"/>
      <c r="N2" s="837"/>
      <c r="O2" s="837"/>
      <c r="P2" s="837"/>
      <c r="Q2" s="838" t="s">
        <v>8</v>
      </c>
      <c r="R2" s="838"/>
      <c r="S2" s="838"/>
      <c r="T2" s="35"/>
      <c r="U2" s="35"/>
      <c r="V2" s="35"/>
      <c r="W2" s="35"/>
      <c r="X2" s="35"/>
    </row>
    <row r="3" spans="1:28" ht="24.95" customHeight="1" x14ac:dyDescent="0.3">
      <c r="A3" s="48" t="s">
        <v>9</v>
      </c>
      <c r="B3" s="37" t="s">
        <v>81</v>
      </c>
      <c r="C3" s="839" t="str">
        <f>'主表1（成本）'!C3</f>
        <v>2021年</v>
      </c>
      <c r="D3" s="840"/>
      <c r="E3" s="840"/>
      <c r="F3" s="841"/>
      <c r="G3" s="839" t="str">
        <f>'主表1（成本）'!G3</f>
        <v>2022年</v>
      </c>
      <c r="H3" s="840"/>
      <c r="I3" s="840"/>
      <c r="J3" s="841"/>
      <c r="K3" s="839" t="str">
        <f>'主表1（成本）'!K3</f>
        <v>2023年</v>
      </c>
      <c r="L3" s="840"/>
      <c r="M3" s="840"/>
      <c r="N3" s="841"/>
      <c r="O3" s="839" t="str">
        <f>'主表1（成本）'!O3</f>
        <v>2024年</v>
      </c>
      <c r="P3" s="840"/>
      <c r="Q3" s="840"/>
      <c r="R3" s="841"/>
      <c r="S3" s="37" t="s">
        <v>93</v>
      </c>
      <c r="T3" s="35"/>
      <c r="U3" s="35"/>
      <c r="V3" s="35"/>
      <c r="W3" s="35"/>
      <c r="X3" s="35"/>
    </row>
    <row r="4" spans="1:28" ht="24.95" customHeight="1" x14ac:dyDescent="0.3">
      <c r="A4" s="48"/>
      <c r="B4" s="37"/>
      <c r="C4" s="37" t="str">
        <f>'主表1（成本）'!C4</f>
        <v>Q1</v>
      </c>
      <c r="D4" s="37" t="str">
        <f>'主表1（成本）'!D4</f>
        <v>Q2</v>
      </c>
      <c r="E4" s="37" t="str">
        <f>'主表1（成本）'!E4</f>
        <v>Q3</v>
      </c>
      <c r="F4" s="37" t="str">
        <f>'主表1（成本）'!F4</f>
        <v>Q4</v>
      </c>
      <c r="G4" s="37" t="str">
        <f>'主表1（成本）'!G4</f>
        <v>Q1</v>
      </c>
      <c r="H4" s="37" t="str">
        <f>'主表1（成本）'!H4</f>
        <v>Q2</v>
      </c>
      <c r="I4" s="37" t="str">
        <f>'主表1（成本）'!I4</f>
        <v>Q3</v>
      </c>
      <c r="J4" s="37" t="str">
        <f>'主表1（成本）'!J4</f>
        <v>Q4</v>
      </c>
      <c r="K4" s="37" t="str">
        <f>'主表1（成本）'!K4</f>
        <v>Q1</v>
      </c>
      <c r="L4" s="37" t="str">
        <f>'主表1（成本）'!L4</f>
        <v>Q2</v>
      </c>
      <c r="M4" s="37" t="str">
        <f>'主表1（成本）'!M4</f>
        <v>Q3</v>
      </c>
      <c r="N4" s="37" t="str">
        <f>'主表1（成本）'!N4</f>
        <v>Q4</v>
      </c>
      <c r="O4" s="37" t="str">
        <f>'主表1（成本）'!O4</f>
        <v>Q1</v>
      </c>
      <c r="P4" s="37" t="str">
        <f>'主表1（成本）'!P4</f>
        <v>Q2</v>
      </c>
      <c r="Q4" s="37" t="str">
        <f>'主表1（成本）'!Q4</f>
        <v>Q3</v>
      </c>
      <c r="R4" s="37" t="str">
        <f>'主表1（成本）'!R4</f>
        <v>Q4</v>
      </c>
      <c r="S4" s="37"/>
      <c r="T4" s="35"/>
      <c r="U4" s="35"/>
      <c r="V4" s="35"/>
      <c r="W4" s="35"/>
      <c r="X4" s="35"/>
    </row>
    <row r="5" spans="1:28" ht="24.95" customHeight="1" x14ac:dyDescent="0.3">
      <c r="A5" s="37">
        <v>1</v>
      </c>
      <c r="B5" s="48" t="s">
        <v>2</v>
      </c>
      <c r="C5" s="38" t="e">
        <f>ROUND('底表1（销售）'!F27,0)*(1+$C$25)</f>
        <v>#REF!</v>
      </c>
      <c r="D5" s="38" t="e">
        <f>ROUND('底表1（销售）'!G27,0)*(1+$C$25)</f>
        <v>#REF!</v>
      </c>
      <c r="E5" s="38" t="e">
        <f>ROUND('底表1（销售）'!H27,0)*(1+$C$25)</f>
        <v>#REF!</v>
      </c>
      <c r="F5" s="38" t="e">
        <f>ROUND('底表1（销售）'!I27,0)*(1+$C$25)</f>
        <v>#REF!</v>
      </c>
      <c r="G5" s="38" t="e">
        <f>ROUND('底表1（销售）'!J27,0)*(1+$C$25)</f>
        <v>#REF!</v>
      </c>
      <c r="H5" s="38" t="e">
        <f>ROUND('底表1（销售）'!K27,0)*(1+$C$25)</f>
        <v>#REF!</v>
      </c>
      <c r="I5" s="38" t="e">
        <f>ROUND('底表1（销售）'!L27,0)*(1+$C$25)</f>
        <v>#REF!</v>
      </c>
      <c r="J5" s="38" t="e">
        <f>ROUND('底表1（销售）'!M27,0)*(1+$C$25)</f>
        <v>#REF!</v>
      </c>
      <c r="K5" s="38" t="e">
        <f>ROUND('底表1（销售）'!N27,0)*(1+$C$25)</f>
        <v>#REF!</v>
      </c>
      <c r="L5" s="38" t="e">
        <f>ROUND('底表1（销售）'!O27,0)*(1+$C$25)</f>
        <v>#REF!</v>
      </c>
      <c r="M5" s="38" t="e">
        <f>ROUND('底表1（销售）'!P27,0)*(1+$C$25)</f>
        <v>#REF!</v>
      </c>
      <c r="N5" s="38" t="e">
        <f>ROUND('底表1（销售）'!Q27,0)*(1+$C$25)</f>
        <v>#REF!</v>
      </c>
      <c r="O5" s="38" t="e">
        <f>ROUND('底表1（销售）'!R27,0)*(1+$C$25)</f>
        <v>#REF!</v>
      </c>
      <c r="P5" s="38" t="e">
        <f>ROUND('底表1（销售）'!S27,0)*(1+$C$25)</f>
        <v>#REF!</v>
      </c>
      <c r="Q5" s="38" t="e">
        <f>ROUND('底表1（销售）'!T27,0)*(1+$C$25)</f>
        <v>#REF!</v>
      </c>
      <c r="R5" s="38" t="e">
        <f>ROUND('底表1（销售）'!U27,0)*(1+$C$25)</f>
        <v>#REF!</v>
      </c>
      <c r="S5" s="38" t="e">
        <f>SUM(C5:R5)</f>
        <v>#REF!</v>
      </c>
      <c r="T5" s="35" t="e">
        <f>'底表1（销售）'!BS6*(1+$C$25)</f>
        <v>#REF!</v>
      </c>
      <c r="U5" s="35"/>
      <c r="V5" s="35"/>
      <c r="W5" s="35"/>
      <c r="X5" s="35"/>
    </row>
    <row r="6" spans="1:28" ht="24.95" customHeight="1" x14ac:dyDescent="0.3">
      <c r="A6" s="37">
        <v>2</v>
      </c>
      <c r="B6" s="48" t="s">
        <v>69</v>
      </c>
      <c r="C6" s="38" t="e">
        <f>C5/$S$5*'主表1（成本）'!$B$37</f>
        <v>#REF!</v>
      </c>
      <c r="D6" s="38" t="e">
        <f>D5/$S$5*'主表1（成本）'!$B$37</f>
        <v>#REF!</v>
      </c>
      <c r="E6" s="38" t="e">
        <f>E5/$S$5*'主表1（成本）'!$B$37</f>
        <v>#REF!</v>
      </c>
      <c r="F6" s="38" t="e">
        <f>F5/$S$5*'主表1（成本）'!$B$37</f>
        <v>#REF!</v>
      </c>
      <c r="G6" s="38" t="e">
        <f>G5/$S$5*'主表1（成本）'!$B$37</f>
        <v>#REF!</v>
      </c>
      <c r="H6" s="38" t="e">
        <f>H5/$S$5*'主表1（成本）'!$B$37</f>
        <v>#REF!</v>
      </c>
      <c r="I6" s="38" t="e">
        <f>I5/$S$5*'主表1（成本）'!$B$37</f>
        <v>#REF!</v>
      </c>
      <c r="J6" s="38" t="e">
        <f>J5/$S$5*'主表1（成本）'!$B$37</f>
        <v>#REF!</v>
      </c>
      <c r="K6" s="38" t="e">
        <f>K5/$S$5*'主表1（成本）'!$B$37</f>
        <v>#REF!</v>
      </c>
      <c r="L6" s="38" t="e">
        <f>L5/$S$5*'主表1（成本）'!$B$37</f>
        <v>#REF!</v>
      </c>
      <c r="M6" s="38" t="e">
        <f>M5/$S$5*'主表1（成本）'!$B$37</f>
        <v>#REF!</v>
      </c>
      <c r="N6" s="38" t="e">
        <f>N5/$S$5*'主表1（成本）'!$B$37</f>
        <v>#REF!</v>
      </c>
      <c r="O6" s="38" t="e">
        <f>O5/$S$5*'主表1（成本）'!$B$37</f>
        <v>#REF!</v>
      </c>
      <c r="P6" s="38" t="e">
        <f>P5/$S$5*'主表1（成本）'!$B$37</f>
        <v>#REF!</v>
      </c>
      <c r="Q6" s="38" t="e">
        <f>Q5/$S$5*'主表1（成本）'!$B$37</f>
        <v>#REF!</v>
      </c>
      <c r="R6" s="38" t="e">
        <f>R5/$S$5*'主表1（成本）'!$B$37</f>
        <v>#REF!</v>
      </c>
      <c r="S6" s="38" t="e">
        <f>SUM(C6:R6)</f>
        <v>#REF!</v>
      </c>
      <c r="T6" s="35">
        <f>'主表1（成本）'!B37</f>
        <v>277553</v>
      </c>
      <c r="U6" s="35" t="e">
        <f>T6*'底表1（销售）'!BU17/'底表1（销售）'!BU16</f>
        <v>#DIV/0!</v>
      </c>
      <c r="V6" s="35"/>
      <c r="W6" s="35"/>
      <c r="X6" s="35"/>
    </row>
    <row r="7" spans="1:28" ht="24.95" customHeight="1" x14ac:dyDescent="0.3">
      <c r="A7" s="37">
        <v>3</v>
      </c>
      <c r="B7" s="48" t="s">
        <v>137</v>
      </c>
      <c r="C7" s="38" t="e">
        <f>ROUND('底表1（销售）'!F28,0)*(1+$C$25)</f>
        <v>#REF!</v>
      </c>
      <c r="D7" s="38" t="e">
        <f>ROUND('底表1（销售）'!G28,0)*(1+$C$25)</f>
        <v>#REF!</v>
      </c>
      <c r="E7" s="38" t="e">
        <f>ROUND('底表1（销售）'!H28,0)*(1+$C$25)</f>
        <v>#REF!</v>
      </c>
      <c r="F7" s="38" t="e">
        <f>ROUND('底表1（销售）'!I28,0)*(1+$C$25)</f>
        <v>#REF!</v>
      </c>
      <c r="G7" s="38" t="e">
        <f>ROUND('底表1（销售）'!J28,0)*(1+$C$25)</f>
        <v>#REF!</v>
      </c>
      <c r="H7" s="38" t="e">
        <f>ROUND('底表1（销售）'!K28,0)*(1+$C$25)</f>
        <v>#REF!</v>
      </c>
      <c r="I7" s="38" t="e">
        <f>ROUND('底表1（销售）'!L28,0)*(1+$C$25)</f>
        <v>#REF!</v>
      </c>
      <c r="J7" s="38" t="e">
        <f>ROUND('底表1（销售）'!M28,0)*(1+$C$25)</f>
        <v>#REF!</v>
      </c>
      <c r="K7" s="38" t="e">
        <f>ROUND('底表1（销售）'!N28,0)*(1+$C$25)</f>
        <v>#REF!</v>
      </c>
      <c r="L7" s="38" t="e">
        <f>ROUND('底表1（销售）'!O28,0)*(1+$C$25)</f>
        <v>#REF!</v>
      </c>
      <c r="M7" s="38" t="e">
        <f>ROUND('底表1（销售）'!P28,0)*(1+$C$25)</f>
        <v>#REF!</v>
      </c>
      <c r="N7" s="38" t="e">
        <f>ROUND('底表1（销售）'!Q28,0)*(1+$C$25)</f>
        <v>#REF!</v>
      </c>
      <c r="O7" s="38" t="e">
        <f>ROUND('底表1（销售）'!R28,0)*(1+$C$25)</f>
        <v>#REF!</v>
      </c>
      <c r="P7" s="38" t="e">
        <f>ROUND('底表1（销售）'!S28,0)*(1+$C$25)</f>
        <v>#REF!</v>
      </c>
      <c r="Q7" s="38" t="e">
        <f>ROUND('底表1（销售）'!T28,0)*(1+$C$25)</f>
        <v>#REF!</v>
      </c>
      <c r="R7" s="38" t="e">
        <f>ROUND('底表1（销售）'!U28,0)*(1+$C$25)</f>
        <v>#REF!</v>
      </c>
      <c r="S7" s="38" t="e">
        <f>SUM(C7:R7)</f>
        <v>#REF!</v>
      </c>
      <c r="T7" s="35" t="e">
        <f>'底表1（销售）'!BS13*(1+$C$25)</f>
        <v>#REF!</v>
      </c>
      <c r="U7" s="35"/>
      <c r="V7" s="35"/>
      <c r="W7" s="35"/>
      <c r="X7" s="35"/>
    </row>
    <row r="8" spans="1:28" ht="24.95" hidden="1" customHeight="1" x14ac:dyDescent="0.3">
      <c r="A8" s="37">
        <v>4</v>
      </c>
      <c r="B8" s="48" t="s">
        <v>18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>
        <f>SUM(C8:Q8)</f>
        <v>0</v>
      </c>
      <c r="T8" s="35"/>
      <c r="U8" s="35"/>
      <c r="V8" s="35"/>
      <c r="W8" s="35"/>
      <c r="X8" s="35"/>
    </row>
    <row r="9" spans="1:28" s="6" customFormat="1" ht="24.95" customHeight="1" x14ac:dyDescent="0.3">
      <c r="A9" s="37">
        <v>5</v>
      </c>
      <c r="B9" s="48" t="s">
        <v>19</v>
      </c>
      <c r="C9" s="38">
        <f>ROUND(('底表1（销售）'!F21+'底表1（销售）'!F22+'底表1（销售）'!F23)*2%,0)*(1+$C$25)</f>
        <v>0</v>
      </c>
      <c r="D9" s="38">
        <f>ROUND(('底表1（销售）'!G21+'底表1（销售）'!G22+'底表1（销售）'!G23)*2%,0)*(1+$C$25)</f>
        <v>0</v>
      </c>
      <c r="E9" s="38">
        <f>ROUND(('底表1（销售）'!H21+'底表1（销售）'!H22+'底表1（销售）'!H23)*2%,0)*(1+$C$25)</f>
        <v>0</v>
      </c>
      <c r="F9" s="38">
        <f>ROUND(('底表1（销售）'!I21+'底表1（销售）'!I22+'底表1（销售）'!I23)*2%,0)*(1+$C$25)</f>
        <v>0</v>
      </c>
      <c r="G9" s="38">
        <f>ROUND(('底表1（销售）'!J21+'底表1（销售）'!J22+'底表1（销售）'!J23)*2%,0)*(1+$C$25)</f>
        <v>1190</v>
      </c>
      <c r="H9" s="38">
        <f>ROUND(('底表1（销售）'!K21+'底表1（销售）'!K22+'底表1（销售）'!K23)*2%,0)*(1+$C$25)</f>
        <v>1894</v>
      </c>
      <c r="I9" s="38">
        <f>ROUND(('底表1（销售）'!L21+'底表1（销售）'!L22+'底表1（销售）'!L23)*2%,0)*(1+$C$25)</f>
        <v>1509</v>
      </c>
      <c r="J9" s="38">
        <f>ROUND(('底表1（销售）'!M21+'底表1（销售）'!M22+'底表1（销售）'!M23)*2%,0)*(1+$C$25)</f>
        <v>1371</v>
      </c>
      <c r="K9" s="38">
        <f>ROUND(('底表1（销售）'!N21+'底表1（销售）'!N22+'底表1（销售）'!N23)*2%,0)*(1+$C$25)</f>
        <v>990</v>
      </c>
      <c r="L9" s="38">
        <f>ROUND(('底表1（销售）'!O21+'底表1（销售）'!O22+'底表1（销售）'!O23)*2%,0)*(1+$C$25)</f>
        <v>0</v>
      </c>
      <c r="M9" s="38">
        <f>ROUND(('底表1（销售）'!P21+'底表1（销售）'!P22+'底表1（销售）'!P23)*2%,0)*(1+$C$25)</f>
        <v>0</v>
      </c>
      <c r="N9" s="38">
        <f>ROUND(('底表1（销售）'!Q21+'底表1（销售）'!Q22+'底表1（销售）'!Q23)*2%,0)*(1+$C$25)</f>
        <v>0</v>
      </c>
      <c r="O9" s="38">
        <f>ROUND(('底表1（销售）'!R21+'底表1（销售）'!R22+'底表1（销售）'!R23)*2%,0)*(1+$C$25)</f>
        <v>0</v>
      </c>
      <c r="P9" s="38">
        <f>ROUND(('底表1（销售）'!S21+'底表1（销售）'!S22+'底表1（销售）'!S23)*2%,0)*(1+$C$25)</f>
        <v>0</v>
      </c>
      <c r="Q9" s="38">
        <f>ROUND(('底表1（销售）'!T21+'底表1（销售）'!T22+'底表1（销售）'!T23)*2%,0)*(1+$C$25)</f>
        <v>0</v>
      </c>
      <c r="R9" s="38">
        <f>ROUND(('底表1（销售）'!U21+'底表1（销售）'!U22+'底表1（销售）'!U23)*2%,0)*(1+$C$25)</f>
        <v>0</v>
      </c>
      <c r="S9" s="38">
        <f t="shared" ref="S9:S19" si="0">SUM(C9:R9)</f>
        <v>6954</v>
      </c>
      <c r="T9" s="39">
        <f>S9</f>
        <v>6954</v>
      </c>
      <c r="U9" s="40"/>
      <c r="V9" s="35"/>
      <c r="W9" s="34" t="s">
        <v>170</v>
      </c>
      <c r="X9" s="34" t="s">
        <v>171</v>
      </c>
      <c r="Y9" s="19"/>
      <c r="Z9" s="19" t="s">
        <v>172</v>
      </c>
      <c r="AA9" s="19" t="s">
        <v>173</v>
      </c>
      <c r="AB9" s="19" t="s">
        <v>174</v>
      </c>
    </row>
    <row r="10" spans="1:28" ht="24.95" customHeight="1" x14ac:dyDescent="0.3">
      <c r="A10" s="37">
        <v>6</v>
      </c>
      <c r="B10" s="48" t="s">
        <v>42</v>
      </c>
      <c r="C10" s="38">
        <f>'主表1（成本）'!C32*(1+$C$25)</f>
        <v>0</v>
      </c>
      <c r="D10" s="38">
        <f>'主表1（成本）'!D32*(1+$C$25)</f>
        <v>0</v>
      </c>
      <c r="E10" s="38">
        <f>'主表1（成本）'!E32*(1+$C$25)</f>
        <v>0</v>
      </c>
      <c r="F10" s="38">
        <f>'主表1（成本）'!F32*(1+$C$25)</f>
        <v>1053</v>
      </c>
      <c r="G10" s="38">
        <f>'主表1（成本）'!G32*(1+$C$25)</f>
        <v>1044</v>
      </c>
      <c r="H10" s="38">
        <f>'主表1（成本）'!H32*(1+$C$25)</f>
        <v>1242</v>
      </c>
      <c r="I10" s="38">
        <f>'主表1（成本）'!I32*(1+$C$25)</f>
        <v>1204</v>
      </c>
      <c r="J10" s="38">
        <f>'主表1（成本）'!J32*(1+$C$25)</f>
        <v>904</v>
      </c>
      <c r="K10" s="38">
        <f>'主表1（成本）'!K32*(1+$C$25)</f>
        <v>789</v>
      </c>
      <c r="L10" s="38">
        <f>'主表1（成本）'!L32*(1+$C$25)</f>
        <v>499</v>
      </c>
      <c r="M10" s="38">
        <f>'主表1（成本）'!M32*(1+$C$25)</f>
        <v>309</v>
      </c>
      <c r="N10" s="38">
        <f>'主表1（成本）'!N32*(1+$C$25)</f>
        <v>275</v>
      </c>
      <c r="O10" s="38">
        <f>'主表1（成本）'!O32*(1+$C$25)</f>
        <v>106</v>
      </c>
      <c r="P10" s="38">
        <f>'主表1（成本）'!P32*(1+$C$25)</f>
        <v>12</v>
      </c>
      <c r="Q10" s="38">
        <f>'主表1（成本）'!Q32*(1+$C$25)</f>
        <v>0</v>
      </c>
      <c r="R10" s="38">
        <f>'主表1（成本）'!R32*(1+$C$25)</f>
        <v>0</v>
      </c>
      <c r="S10" s="38">
        <f t="shared" si="0"/>
        <v>7437</v>
      </c>
      <c r="T10" s="35">
        <f>'主表1（成本）'!B32</f>
        <v>7082</v>
      </c>
      <c r="U10" s="40"/>
      <c r="V10" s="35"/>
      <c r="W10" s="34" t="e">
        <f>ROUND(S6+'底表1（销售）'!BS13+'主表4-1（敏感性分析 销售+5%）'!S6*20%,0)</f>
        <v>#REF!</v>
      </c>
      <c r="X10" s="41" t="e">
        <f>S5/1.09-W10</f>
        <v>#REF!</v>
      </c>
      <c r="Y10" s="20"/>
      <c r="Z10" s="21" t="e">
        <f>X10/W10</f>
        <v>#REF!</v>
      </c>
      <c r="AA10" s="22">
        <v>0.3</v>
      </c>
      <c r="AB10" s="22">
        <v>0</v>
      </c>
    </row>
    <row r="11" spans="1:28" ht="24.95" customHeight="1" x14ac:dyDescent="0.3">
      <c r="A11" s="37">
        <v>7</v>
      </c>
      <c r="B11" s="48" t="s">
        <v>68</v>
      </c>
      <c r="C11" s="38">
        <f>'主表1（成本）'!C33</f>
        <v>0</v>
      </c>
      <c r="D11" s="38">
        <f>'主表1（成本）'!D33</f>
        <v>3476</v>
      </c>
      <c r="E11" s="38">
        <f>'主表1（成本）'!E33</f>
        <v>474</v>
      </c>
      <c r="F11" s="38">
        <f>'主表1（成本）'!F33</f>
        <v>252</v>
      </c>
      <c r="G11" s="38">
        <f>'主表1（成本）'!G33</f>
        <v>165</v>
      </c>
      <c r="H11" s="38">
        <f>'主表1（成本）'!H33</f>
        <v>165</v>
      </c>
      <c r="I11" s="38">
        <f>'主表1（成本）'!I33</f>
        <v>165</v>
      </c>
      <c r="J11" s="38">
        <f>'主表1（成本）'!J33</f>
        <v>165</v>
      </c>
      <c r="K11" s="38">
        <f>'主表1（成本）'!K33</f>
        <v>132</v>
      </c>
      <c r="L11" s="38">
        <f>'主表1（成本）'!L33</f>
        <v>132</v>
      </c>
      <c r="M11" s="38">
        <f>'主表1（成本）'!M33</f>
        <v>99</v>
      </c>
      <c r="N11" s="38">
        <f>'主表1（成本）'!N33</f>
        <v>99</v>
      </c>
      <c r="O11" s="38">
        <f>'主表1（成本）'!O33</f>
        <v>82</v>
      </c>
      <c r="P11" s="38">
        <f>'主表1（成本）'!P33</f>
        <v>82</v>
      </c>
      <c r="Q11" s="38">
        <f>'主表1（成本）'!Q33</f>
        <v>0</v>
      </c>
      <c r="R11" s="38">
        <f>'主表1（成本）'!R33</f>
        <v>0</v>
      </c>
      <c r="S11" s="38">
        <f t="shared" si="0"/>
        <v>5488</v>
      </c>
      <c r="T11" s="35">
        <f>'主表1（成本）'!B33</f>
        <v>5488</v>
      </c>
      <c r="U11" s="40"/>
      <c r="V11" s="35"/>
      <c r="W11" s="35"/>
      <c r="X11" s="35"/>
    </row>
    <row r="12" spans="1:28" ht="24.95" hidden="1" customHeight="1" x14ac:dyDescent="0.3">
      <c r="A12" s="37">
        <v>8</v>
      </c>
      <c r="B12" s="48" t="s">
        <v>29</v>
      </c>
      <c r="C12" s="38">
        <f>'主表1（成本）'!C34</f>
        <v>0</v>
      </c>
      <c r="D12" s="38"/>
      <c r="E12" s="38"/>
      <c r="F12" s="38"/>
      <c r="G12" s="38"/>
      <c r="H12" s="38"/>
      <c r="I12" s="38"/>
      <c r="J12" s="38"/>
      <c r="K12" s="38"/>
      <c r="L12" s="38"/>
      <c r="M12" s="42">
        <f>'主表1（成本）'!M34</f>
        <v>0</v>
      </c>
      <c r="N12" s="42">
        <f>'主表1（成本）'!N34</f>
        <v>0</v>
      </c>
      <c r="O12" s="38">
        <f>'主表1（成本）'!O34</f>
        <v>0</v>
      </c>
      <c r="P12" s="38">
        <f>'主表1（成本）'!P34</f>
        <v>0</v>
      </c>
      <c r="Q12" s="38"/>
      <c r="R12" s="38"/>
      <c r="S12" s="38">
        <f t="shared" si="0"/>
        <v>0</v>
      </c>
      <c r="T12" s="35">
        <f>'主表1（成本）'!B34</f>
        <v>12470</v>
      </c>
      <c r="U12" s="40"/>
      <c r="V12" s="35"/>
      <c r="W12" s="35"/>
      <c r="X12" s="35"/>
    </row>
    <row r="13" spans="1:28" ht="24.95" customHeight="1" x14ac:dyDescent="0.3">
      <c r="A13" s="37">
        <v>9</v>
      </c>
      <c r="B13" s="48" t="s">
        <v>3</v>
      </c>
      <c r="C13" s="38" t="e">
        <f>C5-C6-C7-C8-C9-C10-C11-C12</f>
        <v>#REF!</v>
      </c>
      <c r="D13" s="38" t="e">
        <f t="shared" ref="D13:R13" si="1">D5-D6-D7-D8-D9-D10-D11-D12</f>
        <v>#REF!</v>
      </c>
      <c r="E13" s="38" t="e">
        <f t="shared" si="1"/>
        <v>#REF!</v>
      </c>
      <c r="F13" s="38" t="e">
        <f t="shared" si="1"/>
        <v>#REF!</v>
      </c>
      <c r="G13" s="38" t="e">
        <f t="shared" si="1"/>
        <v>#REF!</v>
      </c>
      <c r="H13" s="38" t="e">
        <f t="shared" si="1"/>
        <v>#REF!</v>
      </c>
      <c r="I13" s="38" t="e">
        <f t="shared" si="1"/>
        <v>#REF!</v>
      </c>
      <c r="J13" s="38" t="e">
        <f t="shared" si="1"/>
        <v>#REF!</v>
      </c>
      <c r="K13" s="38" t="e">
        <f t="shared" si="1"/>
        <v>#REF!</v>
      </c>
      <c r="L13" s="38" t="e">
        <f t="shared" si="1"/>
        <v>#REF!</v>
      </c>
      <c r="M13" s="38" t="e">
        <f t="shared" si="1"/>
        <v>#REF!</v>
      </c>
      <c r="N13" s="38" t="e">
        <f t="shared" si="1"/>
        <v>#REF!</v>
      </c>
      <c r="O13" s="38" t="e">
        <f t="shared" si="1"/>
        <v>#REF!</v>
      </c>
      <c r="P13" s="38" t="e">
        <f t="shared" si="1"/>
        <v>#REF!</v>
      </c>
      <c r="Q13" s="38" t="e">
        <f t="shared" si="1"/>
        <v>#REF!</v>
      </c>
      <c r="R13" s="38" t="e">
        <f t="shared" si="1"/>
        <v>#REF!</v>
      </c>
      <c r="S13" s="38" t="e">
        <f>SUM(C13:R13)</f>
        <v>#REF!</v>
      </c>
      <c r="T13" s="35"/>
      <c r="U13" s="39" t="e">
        <f>C13</f>
        <v>#REF!</v>
      </c>
      <c r="V13" s="39" t="e">
        <f>M13+C13</f>
        <v>#REF!</v>
      </c>
      <c r="W13" s="39" t="e">
        <f>N13+M13+C13</f>
        <v>#REF!</v>
      </c>
      <c r="X13" s="39"/>
      <c r="Y13" s="3"/>
      <c r="Z13" s="3"/>
    </row>
    <row r="14" spans="1:28" s="6" customFormat="1" ht="24.95" customHeight="1" x14ac:dyDescent="0.3">
      <c r="A14" s="37">
        <v>10</v>
      </c>
      <c r="B14" s="48" t="s">
        <v>31</v>
      </c>
      <c r="C14" s="38"/>
      <c r="D14" s="38"/>
      <c r="E14" s="38"/>
      <c r="F14" s="38" t="e">
        <f>IF((SUM($C$13:F13))&lt;0,0,IF(SUM($C$13:F13)&gt;=0,(SUM($C$13:F13)*基础数据!$C$42)))</f>
        <v>#REF!</v>
      </c>
      <c r="G14" s="38"/>
      <c r="H14" s="38"/>
      <c r="I14" s="38"/>
      <c r="J14" s="38" t="e">
        <f>IF((SUM($C$13:J13))&lt;0,0,IF(SUM($C$13:J13)&gt;=0,(SUM($C$13:J13)*基础数据!$C$42)))</f>
        <v>#REF!</v>
      </c>
      <c r="K14" s="38"/>
      <c r="L14" s="38"/>
      <c r="M14" s="38"/>
      <c r="N14" s="38" t="e">
        <f>IF((SUM($K$13:N13))&lt;0,0,IF(SUM($K$13:N13)&gt;=0,(SUM($K$13:N13)*基础数据!$C$42)))</f>
        <v>#REF!</v>
      </c>
      <c r="O14" s="38"/>
      <c r="P14" s="38"/>
      <c r="Q14" s="38"/>
      <c r="R14" s="38" t="e">
        <f>IF((SUM($O$13:R13))&lt;0,0,IF(SUM($O$13:R13)&gt;=0,(SUM($O$13:R13)*基础数据!$C$42)))</f>
        <v>#REF!</v>
      </c>
      <c r="S14" s="38" t="e">
        <f>SUM(C14:R14)</f>
        <v>#REF!</v>
      </c>
      <c r="T14" s="35"/>
      <c r="U14" s="35"/>
      <c r="V14" s="35"/>
      <c r="W14" s="35"/>
      <c r="X14" s="35"/>
    </row>
    <row r="15" spans="1:28" ht="24.95" customHeight="1" x14ac:dyDescent="0.3">
      <c r="A15" s="37">
        <v>11</v>
      </c>
      <c r="B15" s="48" t="s">
        <v>26</v>
      </c>
      <c r="C15" s="38" t="e">
        <f>C13-C14</f>
        <v>#REF!</v>
      </c>
      <c r="D15" s="38" t="e">
        <f t="shared" ref="D15:R15" si="2">D13-D14</f>
        <v>#REF!</v>
      </c>
      <c r="E15" s="38" t="e">
        <f t="shared" si="2"/>
        <v>#REF!</v>
      </c>
      <c r="F15" s="38" t="e">
        <f t="shared" si="2"/>
        <v>#REF!</v>
      </c>
      <c r="G15" s="38" t="e">
        <f t="shared" si="2"/>
        <v>#REF!</v>
      </c>
      <c r="H15" s="38" t="e">
        <f t="shared" si="2"/>
        <v>#REF!</v>
      </c>
      <c r="I15" s="38" t="e">
        <f t="shared" si="2"/>
        <v>#REF!</v>
      </c>
      <c r="J15" s="38" t="e">
        <f t="shared" si="2"/>
        <v>#REF!</v>
      </c>
      <c r="K15" s="38" t="e">
        <f t="shared" si="2"/>
        <v>#REF!</v>
      </c>
      <c r="L15" s="38" t="e">
        <f t="shared" si="2"/>
        <v>#REF!</v>
      </c>
      <c r="M15" s="38" t="e">
        <f t="shared" si="2"/>
        <v>#REF!</v>
      </c>
      <c r="N15" s="38" t="e">
        <f t="shared" si="2"/>
        <v>#REF!</v>
      </c>
      <c r="O15" s="38" t="e">
        <f t="shared" si="2"/>
        <v>#REF!</v>
      </c>
      <c r="P15" s="38" t="e">
        <f t="shared" si="2"/>
        <v>#REF!</v>
      </c>
      <c r="Q15" s="38" t="e">
        <f t="shared" si="2"/>
        <v>#REF!</v>
      </c>
      <c r="R15" s="38" t="e">
        <f t="shared" si="2"/>
        <v>#REF!</v>
      </c>
      <c r="S15" s="38" t="e">
        <f t="shared" si="0"/>
        <v>#REF!</v>
      </c>
      <c r="T15" s="35"/>
      <c r="U15" s="35"/>
      <c r="V15" s="35"/>
      <c r="W15" s="35"/>
      <c r="X15" s="35"/>
    </row>
    <row r="16" spans="1:28" ht="24.95" customHeight="1" x14ac:dyDescent="0.3">
      <c r="A16" s="37">
        <v>12</v>
      </c>
      <c r="B16" s="48" t="s">
        <v>103</v>
      </c>
      <c r="C16" s="38"/>
      <c r="D16" s="38" t="e">
        <f>C21</f>
        <v>#REF!</v>
      </c>
      <c r="E16" s="38" t="e">
        <f t="shared" ref="E16:R16" si="3">D21</f>
        <v>#REF!</v>
      </c>
      <c r="F16" s="38" t="e">
        <f t="shared" si="3"/>
        <v>#REF!</v>
      </c>
      <c r="G16" s="38" t="e">
        <f t="shared" si="3"/>
        <v>#REF!</v>
      </c>
      <c r="H16" s="38" t="e">
        <f t="shared" si="3"/>
        <v>#REF!</v>
      </c>
      <c r="I16" s="38" t="e">
        <f t="shared" si="3"/>
        <v>#REF!</v>
      </c>
      <c r="J16" s="38" t="e">
        <f t="shared" si="3"/>
        <v>#REF!</v>
      </c>
      <c r="K16" s="38" t="e">
        <f t="shared" si="3"/>
        <v>#REF!</v>
      </c>
      <c r="L16" s="38" t="e">
        <f t="shared" si="3"/>
        <v>#REF!</v>
      </c>
      <c r="M16" s="38" t="e">
        <f t="shared" si="3"/>
        <v>#REF!</v>
      </c>
      <c r="N16" s="38" t="e">
        <f t="shared" si="3"/>
        <v>#REF!</v>
      </c>
      <c r="O16" s="38" t="e">
        <f t="shared" si="3"/>
        <v>#REF!</v>
      </c>
      <c r="P16" s="38" t="e">
        <f t="shared" si="3"/>
        <v>#REF!</v>
      </c>
      <c r="Q16" s="38" t="e">
        <f t="shared" si="3"/>
        <v>#REF!</v>
      </c>
      <c r="R16" s="38" t="e">
        <f t="shared" si="3"/>
        <v>#REF!</v>
      </c>
      <c r="S16" s="38"/>
      <c r="T16" s="35"/>
      <c r="U16" s="35"/>
      <c r="V16" s="35"/>
      <c r="W16" s="35"/>
      <c r="X16" s="35"/>
    </row>
    <row r="17" spans="1:24" ht="24.95" customHeight="1" x14ac:dyDescent="0.3">
      <c r="A17" s="37">
        <v>13</v>
      </c>
      <c r="B17" s="48" t="s">
        <v>27</v>
      </c>
      <c r="C17" s="38" t="e">
        <f>C16+C15</f>
        <v>#REF!</v>
      </c>
      <c r="D17" s="38" t="e">
        <f t="shared" ref="D17:R17" si="4">D16+D15</f>
        <v>#REF!</v>
      </c>
      <c r="E17" s="38" t="e">
        <f t="shared" si="4"/>
        <v>#REF!</v>
      </c>
      <c r="F17" s="38" t="e">
        <f t="shared" si="4"/>
        <v>#REF!</v>
      </c>
      <c r="G17" s="38" t="e">
        <f t="shared" si="4"/>
        <v>#REF!</v>
      </c>
      <c r="H17" s="38" t="e">
        <f t="shared" si="4"/>
        <v>#REF!</v>
      </c>
      <c r="I17" s="38" t="e">
        <f t="shared" si="4"/>
        <v>#REF!</v>
      </c>
      <c r="J17" s="38" t="e">
        <f t="shared" si="4"/>
        <v>#REF!</v>
      </c>
      <c r="K17" s="38" t="e">
        <f t="shared" si="4"/>
        <v>#REF!</v>
      </c>
      <c r="L17" s="38" t="e">
        <f t="shared" si="4"/>
        <v>#REF!</v>
      </c>
      <c r="M17" s="38" t="e">
        <f t="shared" si="4"/>
        <v>#REF!</v>
      </c>
      <c r="N17" s="38" t="e">
        <f t="shared" si="4"/>
        <v>#REF!</v>
      </c>
      <c r="O17" s="38" t="e">
        <f t="shared" si="4"/>
        <v>#REF!</v>
      </c>
      <c r="P17" s="38" t="e">
        <f t="shared" si="4"/>
        <v>#REF!</v>
      </c>
      <c r="Q17" s="38" t="e">
        <f t="shared" si="4"/>
        <v>#REF!</v>
      </c>
      <c r="R17" s="38" t="e">
        <f t="shared" si="4"/>
        <v>#REF!</v>
      </c>
      <c r="S17" s="38"/>
      <c r="T17" s="35"/>
      <c r="U17" s="35"/>
      <c r="V17" s="35"/>
      <c r="W17" s="35"/>
      <c r="X17" s="35"/>
    </row>
    <row r="18" spans="1:24" s="6" customFormat="1" ht="24.95" customHeight="1" x14ac:dyDescent="0.3">
      <c r="A18" s="37">
        <v>14</v>
      </c>
      <c r="B18" s="48" t="s">
        <v>138</v>
      </c>
      <c r="C18" s="38"/>
      <c r="D18" s="38"/>
      <c r="E18" s="38"/>
      <c r="F18" s="38" t="e">
        <f>IF(SUM(C15:F15)&lt;0,0,IF(SUM(C15:F15)&gt;=0,SUM(C15:F15)*基础数据!$C$46))</f>
        <v>#REF!</v>
      </c>
      <c r="G18" s="38"/>
      <c r="H18" s="38"/>
      <c r="I18" s="38"/>
      <c r="J18" s="38" t="e">
        <f>IF(SUM(G15:J15)&lt;0,0,IF(SUM(G15:J15)&gt;=0,SUM(G15:J15)*基础数据!$C$46))</f>
        <v>#REF!</v>
      </c>
      <c r="K18" s="38"/>
      <c r="L18" s="38"/>
      <c r="M18" s="38"/>
      <c r="N18" s="38" t="e">
        <f>IF(SUM(K15:N15)&lt;0,0,IF(SUM(K15:N15)&gt;=0,SUM(K15:N15)*基础数据!$C$46))</f>
        <v>#REF!</v>
      </c>
      <c r="O18" s="38"/>
      <c r="P18" s="38"/>
      <c r="Q18" s="38"/>
      <c r="R18" s="38" t="e">
        <f>IF(SUM(O15:R15)&lt;0,0,IF(SUM(O15:R15)&gt;=0,SUM(O15:R15)*基础数据!$C$46))</f>
        <v>#REF!</v>
      </c>
      <c r="S18" s="38" t="e">
        <f t="shared" si="0"/>
        <v>#REF!</v>
      </c>
      <c r="T18" s="35"/>
      <c r="U18" s="35"/>
      <c r="V18" s="35"/>
      <c r="W18" s="35"/>
      <c r="X18" s="35"/>
    </row>
    <row r="19" spans="1:24" s="6" customFormat="1" ht="24.95" hidden="1" customHeight="1" x14ac:dyDescent="0.3">
      <c r="A19" s="37">
        <v>15</v>
      </c>
      <c r="B19" s="48"/>
      <c r="C19" s="38" t="e">
        <f>IF(C15&lt;0,0,IF(C15&gt;=0,C15*基础数据!$C$47))</f>
        <v>#REF!</v>
      </c>
      <c r="D19" s="38"/>
      <c r="E19" s="38"/>
      <c r="F19" s="38"/>
      <c r="G19" s="38"/>
      <c r="H19" s="38"/>
      <c r="I19" s="38"/>
      <c r="J19" s="38"/>
      <c r="K19" s="38"/>
      <c r="L19" s="38"/>
      <c r="M19" s="38" t="e">
        <f>IF(M15&lt;0,0,IF(M15&gt;=0,M15*基础数据!$C$47))</f>
        <v>#REF!</v>
      </c>
      <c r="N19" s="38" t="e">
        <f>IF(N15&lt;0,0,IF(N15&gt;=0,N15*基础数据!$C$47))</f>
        <v>#REF!</v>
      </c>
      <c r="O19" s="38" t="e">
        <f>IF(O15&lt;0,0,IF(O15&gt;=0,O15*基础数据!$C$47))</f>
        <v>#REF!</v>
      </c>
      <c r="P19" s="38" t="e">
        <f>IF(P15&lt;0,0,IF(P15&gt;=0,P15*基础数据!$C$47))</f>
        <v>#REF!</v>
      </c>
      <c r="Q19" s="38"/>
      <c r="R19" s="38"/>
      <c r="S19" s="38" t="e">
        <f t="shared" si="0"/>
        <v>#REF!</v>
      </c>
      <c r="T19" s="35"/>
      <c r="U19" s="35"/>
      <c r="V19" s="35"/>
      <c r="W19" s="35"/>
      <c r="X19" s="35"/>
    </row>
    <row r="20" spans="1:24" ht="24.95" hidden="1" customHeight="1" x14ac:dyDescent="0.3">
      <c r="A20" s="37">
        <v>16</v>
      </c>
      <c r="B20" s="48" t="s">
        <v>105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>
        <f>SUM(C20:Q20)</f>
        <v>0</v>
      </c>
      <c r="T20" s="35"/>
      <c r="U20" s="35"/>
      <c r="V20" s="35"/>
      <c r="W20" s="43" t="e">
        <f>S13/S5</f>
        <v>#REF!</v>
      </c>
      <c r="X20" s="35"/>
    </row>
    <row r="21" spans="1:24" ht="24.95" customHeight="1" x14ac:dyDescent="0.3">
      <c r="A21" s="37">
        <v>17</v>
      </c>
      <c r="B21" s="48" t="s">
        <v>28</v>
      </c>
      <c r="C21" s="38" t="e">
        <f>C17-C18-C20</f>
        <v>#REF!</v>
      </c>
      <c r="D21" s="38" t="e">
        <f t="shared" ref="D21:R21" si="5">D17-D18-D20</f>
        <v>#REF!</v>
      </c>
      <c r="E21" s="38" t="e">
        <f t="shared" si="5"/>
        <v>#REF!</v>
      </c>
      <c r="F21" s="38" t="e">
        <f>F17-F18-F20</f>
        <v>#REF!</v>
      </c>
      <c r="G21" s="38" t="e">
        <f t="shared" si="5"/>
        <v>#REF!</v>
      </c>
      <c r="H21" s="38" t="e">
        <f t="shared" si="5"/>
        <v>#REF!</v>
      </c>
      <c r="I21" s="38" t="e">
        <f t="shared" si="5"/>
        <v>#REF!</v>
      </c>
      <c r="J21" s="38" t="e">
        <f t="shared" si="5"/>
        <v>#REF!</v>
      </c>
      <c r="K21" s="38" t="e">
        <f t="shared" si="5"/>
        <v>#REF!</v>
      </c>
      <c r="L21" s="38" t="e">
        <f t="shared" si="5"/>
        <v>#REF!</v>
      </c>
      <c r="M21" s="38" t="e">
        <f t="shared" si="5"/>
        <v>#REF!</v>
      </c>
      <c r="N21" s="38" t="e">
        <f t="shared" si="5"/>
        <v>#REF!</v>
      </c>
      <c r="O21" s="38" t="e">
        <f t="shared" si="5"/>
        <v>#REF!</v>
      </c>
      <c r="P21" s="38" t="e">
        <f t="shared" si="5"/>
        <v>#REF!</v>
      </c>
      <c r="Q21" s="38" t="e">
        <f t="shared" si="5"/>
        <v>#REF!</v>
      </c>
      <c r="R21" s="38" t="e">
        <f t="shared" si="5"/>
        <v>#REF!</v>
      </c>
      <c r="S21" s="38"/>
      <c r="T21" s="35"/>
      <c r="U21" s="35"/>
      <c r="V21" s="35"/>
      <c r="W21" s="43">
        <f>结论表!J10</f>
        <v>0.13400000000000001</v>
      </c>
      <c r="X21" s="35"/>
    </row>
    <row r="24" spans="1:24" hidden="1" x14ac:dyDescent="0.25">
      <c r="B24" s="2" t="s">
        <v>73</v>
      </c>
      <c r="C24" s="4" t="e">
        <f>(S12+S13)/S12</f>
        <v>#REF!</v>
      </c>
      <c r="D24" s="4"/>
      <c r="E24" s="4"/>
      <c r="F24" s="4"/>
      <c r="G24" s="4"/>
      <c r="H24" s="4"/>
      <c r="I24" s="4"/>
      <c r="J24" s="4"/>
      <c r="K24" s="4"/>
      <c r="L24" s="4"/>
      <c r="M24" s="5" t="s">
        <v>74</v>
      </c>
    </row>
    <row r="25" spans="1:24" ht="18" x14ac:dyDescent="0.3">
      <c r="B25" s="23" t="s">
        <v>178</v>
      </c>
      <c r="C25" s="24">
        <v>0.05</v>
      </c>
      <c r="J25" s="3"/>
    </row>
  </sheetData>
  <mergeCells count="7">
    <mergeCell ref="A1:S1"/>
    <mergeCell ref="C2:P2"/>
    <mergeCell ref="Q2:S2"/>
    <mergeCell ref="C3:F3"/>
    <mergeCell ref="G3:J3"/>
    <mergeCell ref="K3:N3"/>
    <mergeCell ref="O3:R3"/>
  </mergeCells>
  <phoneticPr fontId="2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3" tint="0.59999389629810485"/>
  </sheetPr>
  <dimension ref="A1:T29"/>
  <sheetViews>
    <sheetView topLeftCell="F1" zoomScaleNormal="100" zoomScaleSheetLayoutView="115" workbookViewId="0">
      <selection activeCell="D18" sqref="D18:R18"/>
    </sheetView>
  </sheetViews>
  <sheetFormatPr defaultColWidth="11" defaultRowHeight="18" x14ac:dyDescent="0.3"/>
  <cols>
    <col min="1" max="1" width="4.625" style="26" customWidth="1"/>
    <col min="2" max="2" width="22.125" style="26" customWidth="1"/>
    <col min="3" max="17" width="9.625" style="26" customWidth="1"/>
    <col min="18" max="18" width="11" style="26" customWidth="1"/>
    <col min="19" max="19" width="8.875" style="26" customWidth="1"/>
    <col min="20" max="16384" width="11" style="26"/>
  </cols>
  <sheetData>
    <row r="1" spans="1:20" ht="24" customHeight="1" x14ac:dyDescent="0.3">
      <c r="A1" s="831" t="s">
        <v>12</v>
      </c>
      <c r="B1" s="831"/>
      <c r="C1" s="831"/>
      <c r="D1" s="831"/>
      <c r="E1" s="831"/>
      <c r="F1" s="831"/>
      <c r="G1" s="831"/>
      <c r="H1" s="831"/>
      <c r="I1" s="831"/>
      <c r="J1" s="831"/>
      <c r="K1" s="831"/>
      <c r="L1" s="831"/>
      <c r="M1" s="831"/>
      <c r="N1" s="831"/>
      <c r="O1" s="831"/>
      <c r="P1" s="831"/>
      <c r="Q1" s="831"/>
      <c r="R1" s="831"/>
      <c r="S1" s="46"/>
    </row>
    <row r="2" spans="1:20" ht="49.5" customHeight="1" x14ac:dyDescent="0.3">
      <c r="A2" s="27" t="s">
        <v>175</v>
      </c>
      <c r="B2" s="27"/>
      <c r="C2" s="832" t="str">
        <f>基础数据!C5</f>
        <v>北京市密云区檀营乡6005地块R2二类居住用地（编号：京土整储挂（密）[2021]026号）居住项目</v>
      </c>
      <c r="D2" s="832"/>
      <c r="E2" s="832"/>
      <c r="F2" s="832"/>
      <c r="G2" s="832"/>
      <c r="H2" s="832"/>
      <c r="I2" s="832"/>
      <c r="J2" s="832"/>
      <c r="K2" s="832"/>
      <c r="L2" s="832"/>
      <c r="M2" s="832"/>
      <c r="N2" s="832"/>
      <c r="O2" s="832"/>
      <c r="P2" s="832"/>
      <c r="Q2" s="832"/>
      <c r="R2" s="832"/>
      <c r="S2" s="46"/>
    </row>
    <row r="3" spans="1:20" ht="24" customHeight="1" x14ac:dyDescent="0.3">
      <c r="A3" s="28" t="s">
        <v>9</v>
      </c>
      <c r="B3" s="28" t="s">
        <v>81</v>
      </c>
      <c r="C3" s="833" t="str">
        <f>'主表1（成本）'!C3</f>
        <v>2021年</v>
      </c>
      <c r="D3" s="834"/>
      <c r="E3" s="834"/>
      <c r="F3" s="835"/>
      <c r="G3" s="833" t="str">
        <f>'主表1（成本）'!G3</f>
        <v>2022年</v>
      </c>
      <c r="H3" s="834"/>
      <c r="I3" s="834"/>
      <c r="J3" s="835"/>
      <c r="K3" s="833" t="str">
        <f>'主表1（成本）'!K3</f>
        <v>2023年</v>
      </c>
      <c r="L3" s="834"/>
      <c r="M3" s="834"/>
      <c r="N3" s="835"/>
      <c r="O3" s="833" t="str">
        <f>'主表1（成本）'!O3</f>
        <v>2024年</v>
      </c>
      <c r="P3" s="834"/>
      <c r="Q3" s="834"/>
      <c r="R3" s="835"/>
      <c r="S3" s="28" t="s">
        <v>34</v>
      </c>
    </row>
    <row r="4" spans="1:20" ht="24" customHeight="1" x14ac:dyDescent="0.3">
      <c r="A4" s="28"/>
      <c r="B4" s="28"/>
      <c r="C4" s="28" t="str">
        <f>'主表1（成本）'!C4</f>
        <v>Q1</v>
      </c>
      <c r="D4" s="28" t="str">
        <f>'主表1（成本）'!D4</f>
        <v>Q2</v>
      </c>
      <c r="E4" s="28" t="str">
        <f>'主表1（成本）'!E4</f>
        <v>Q3</v>
      </c>
      <c r="F4" s="28" t="str">
        <f>'主表1（成本）'!F4</f>
        <v>Q4</v>
      </c>
      <c r="G4" s="28" t="str">
        <f>'主表1（成本）'!G4</f>
        <v>Q1</v>
      </c>
      <c r="H4" s="28" t="str">
        <f>'主表1（成本）'!H4</f>
        <v>Q2</v>
      </c>
      <c r="I4" s="28" t="str">
        <f>'主表1（成本）'!I4</f>
        <v>Q3</v>
      </c>
      <c r="J4" s="28" t="str">
        <f>'主表1（成本）'!J4</f>
        <v>Q4</v>
      </c>
      <c r="K4" s="28" t="str">
        <f>'主表1（成本）'!K4</f>
        <v>Q1</v>
      </c>
      <c r="L4" s="28" t="str">
        <f>'主表1（成本）'!L4</f>
        <v>Q2</v>
      </c>
      <c r="M4" s="28" t="str">
        <f>'主表1（成本）'!M4</f>
        <v>Q3</v>
      </c>
      <c r="N4" s="28" t="str">
        <f>'主表1（成本）'!N4</f>
        <v>Q4</v>
      </c>
      <c r="O4" s="28" t="str">
        <f>'主表1（成本）'!O4</f>
        <v>Q1</v>
      </c>
      <c r="P4" s="28" t="str">
        <f>'主表1（成本）'!P4</f>
        <v>Q2</v>
      </c>
      <c r="Q4" s="28" t="str">
        <f>'主表1（成本）'!Q4</f>
        <v>Q3</v>
      </c>
      <c r="R4" s="28" t="str">
        <f>'主表1（成本）'!R4</f>
        <v>Q4</v>
      </c>
      <c r="S4" s="28"/>
    </row>
    <row r="5" spans="1:20" ht="24" customHeight="1" x14ac:dyDescent="0.3">
      <c r="A5" s="28">
        <v>1</v>
      </c>
      <c r="B5" s="28" t="s">
        <v>13</v>
      </c>
      <c r="C5" s="29" t="e">
        <f t="shared" ref="C5:R5" si="0">SUM(C6:C9)</f>
        <v>#REF!</v>
      </c>
      <c r="D5" s="29" t="e">
        <f t="shared" si="0"/>
        <v>#REF!</v>
      </c>
      <c r="E5" s="29" t="e">
        <f t="shared" si="0"/>
        <v>#REF!</v>
      </c>
      <c r="F5" s="29" t="e">
        <f t="shared" si="0"/>
        <v>#REF!</v>
      </c>
      <c r="G5" s="29" t="e">
        <f t="shared" si="0"/>
        <v>#REF!</v>
      </c>
      <c r="H5" s="29" t="e">
        <f t="shared" si="0"/>
        <v>#REF!</v>
      </c>
      <c r="I5" s="29" t="e">
        <f t="shared" si="0"/>
        <v>#REF!</v>
      </c>
      <c r="J5" s="29" t="e">
        <f t="shared" si="0"/>
        <v>#REF!</v>
      </c>
      <c r="K5" s="29" t="e">
        <f t="shared" si="0"/>
        <v>#REF!</v>
      </c>
      <c r="L5" s="29" t="e">
        <f t="shared" si="0"/>
        <v>#REF!</v>
      </c>
      <c r="M5" s="29" t="e">
        <f t="shared" si="0"/>
        <v>#REF!</v>
      </c>
      <c r="N5" s="29" t="e">
        <f t="shared" si="0"/>
        <v>#REF!</v>
      </c>
      <c r="O5" s="29" t="e">
        <f t="shared" si="0"/>
        <v>#REF!</v>
      </c>
      <c r="P5" s="29" t="e">
        <f t="shared" si="0"/>
        <v>#REF!</v>
      </c>
      <c r="Q5" s="29" t="e">
        <f t="shared" si="0"/>
        <v>#REF!</v>
      </c>
      <c r="R5" s="29" t="e">
        <f t="shared" si="0"/>
        <v>#REF!</v>
      </c>
      <c r="S5" s="29" t="e">
        <f t="shared" ref="S5:S17" si="1">SUM(C5:R5)</f>
        <v>#REF!</v>
      </c>
    </row>
    <row r="6" spans="1:20" ht="24" customHeight="1" x14ac:dyDescent="0.3">
      <c r="A6" s="28">
        <v>2</v>
      </c>
      <c r="B6" s="28" t="s">
        <v>2</v>
      </c>
      <c r="C6" s="47" t="e">
        <f>ROUND('底表1（销售）'!F27,0)*(1+$C$29)</f>
        <v>#REF!</v>
      </c>
      <c r="D6" s="47" t="e">
        <f>ROUND('底表1（销售）'!G27,0)*(1+$C$29)</f>
        <v>#REF!</v>
      </c>
      <c r="E6" s="47" t="e">
        <f>ROUND('底表1（销售）'!H27,0)*(1+$C$29)</f>
        <v>#REF!</v>
      </c>
      <c r="F6" s="47" t="e">
        <f>ROUND('底表1（销售）'!I27,0)*(1+$C$29)</f>
        <v>#REF!</v>
      </c>
      <c r="G6" s="47" t="e">
        <f>ROUND('底表1（销售）'!J27,0)*(1+$C$29)</f>
        <v>#REF!</v>
      </c>
      <c r="H6" s="47" t="e">
        <f>ROUND('底表1（销售）'!K27,0)*(1+$C$29)</f>
        <v>#REF!</v>
      </c>
      <c r="I6" s="47" t="e">
        <f>ROUND('底表1（销售）'!L27,0)*(1+$C$29)</f>
        <v>#REF!</v>
      </c>
      <c r="J6" s="47" t="e">
        <f>ROUND('底表1（销售）'!M27,0)*(1+$C$29)</f>
        <v>#REF!</v>
      </c>
      <c r="K6" s="47" t="e">
        <f>ROUND('底表1（销售）'!N27,0)*(1+$C$29)</f>
        <v>#REF!</v>
      </c>
      <c r="L6" s="47" t="e">
        <f>ROUND('底表1（销售）'!O27,0)*(1+$C$29)</f>
        <v>#REF!</v>
      </c>
      <c r="M6" s="47" t="e">
        <f>ROUND('底表1（销售）'!P27,0)*(1+$C$29)</f>
        <v>#REF!</v>
      </c>
      <c r="N6" s="47" t="e">
        <f>ROUND('底表1（销售）'!Q27,0)*(1+$C$29)</f>
        <v>#REF!</v>
      </c>
      <c r="O6" s="47" t="e">
        <f>ROUND('底表1（销售）'!R27,0)*(1+$C$29)</f>
        <v>#REF!</v>
      </c>
      <c r="P6" s="47" t="e">
        <f>ROUND('底表1（销售）'!S27,0)*(1+$C$29)</f>
        <v>#REF!</v>
      </c>
      <c r="Q6" s="47" t="e">
        <f>ROUND('底表1（销售）'!T27,0)*(1+$C$29)</f>
        <v>#REF!</v>
      </c>
      <c r="R6" s="47" t="e">
        <f>ROUND('底表1（销售）'!U27,0)*(1+$C$29)</f>
        <v>#REF!</v>
      </c>
      <c r="S6" s="29" t="e">
        <f t="shared" si="1"/>
        <v>#REF!</v>
      </c>
      <c r="T6" s="26" t="e">
        <f>'底表1（销售）'!BS6*(1+$C$29)</f>
        <v>#REF!</v>
      </c>
    </row>
    <row r="7" spans="1:20" ht="24" hidden="1" customHeight="1" x14ac:dyDescent="0.3">
      <c r="A7" s="28">
        <v>3</v>
      </c>
      <c r="B7" s="30" t="s">
        <v>10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>
        <f t="shared" si="1"/>
        <v>0</v>
      </c>
    </row>
    <row r="8" spans="1:20" ht="24" hidden="1" customHeight="1" x14ac:dyDescent="0.3">
      <c r="A8" s="28">
        <v>4</v>
      </c>
      <c r="B8" s="28" t="s">
        <v>14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>
        <f t="shared" si="1"/>
        <v>0</v>
      </c>
    </row>
    <row r="9" spans="1:20" ht="24" hidden="1" customHeight="1" x14ac:dyDescent="0.3">
      <c r="A9" s="28">
        <v>5</v>
      </c>
      <c r="B9" s="28" t="s">
        <v>0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>
        <f t="shared" si="1"/>
        <v>0</v>
      </c>
    </row>
    <row r="10" spans="1:20" ht="24" customHeight="1" x14ac:dyDescent="0.3">
      <c r="A10" s="28">
        <v>6</v>
      </c>
      <c r="B10" s="28" t="s">
        <v>15</v>
      </c>
      <c r="C10" s="29" t="e">
        <f t="shared" ref="C10:R10" si="2">SUM(C11:C16)</f>
        <v>#REF!</v>
      </c>
      <c r="D10" s="29" t="e">
        <f t="shared" si="2"/>
        <v>#REF!</v>
      </c>
      <c r="E10" s="29" t="e">
        <f t="shared" si="2"/>
        <v>#REF!</v>
      </c>
      <c r="F10" s="29" t="e">
        <f t="shared" si="2"/>
        <v>#REF!</v>
      </c>
      <c r="G10" s="29" t="e">
        <f t="shared" si="2"/>
        <v>#REF!</v>
      </c>
      <c r="H10" s="29" t="e">
        <f t="shared" si="2"/>
        <v>#REF!</v>
      </c>
      <c r="I10" s="29" t="e">
        <f t="shared" si="2"/>
        <v>#REF!</v>
      </c>
      <c r="J10" s="29" t="e">
        <f t="shared" si="2"/>
        <v>#REF!</v>
      </c>
      <c r="K10" s="29" t="e">
        <f t="shared" si="2"/>
        <v>#REF!</v>
      </c>
      <c r="L10" s="29" t="e">
        <f t="shared" si="2"/>
        <v>#REF!</v>
      </c>
      <c r="M10" s="29" t="e">
        <f t="shared" si="2"/>
        <v>#REF!</v>
      </c>
      <c r="N10" s="29" t="e">
        <f t="shared" si="2"/>
        <v>#REF!</v>
      </c>
      <c r="O10" s="29" t="e">
        <f t="shared" si="2"/>
        <v>#REF!</v>
      </c>
      <c r="P10" s="29" t="e">
        <f t="shared" si="2"/>
        <v>#REF!</v>
      </c>
      <c r="Q10" s="29" t="e">
        <f t="shared" si="2"/>
        <v>#REF!</v>
      </c>
      <c r="R10" s="29" t="e">
        <f t="shared" si="2"/>
        <v>#REF!</v>
      </c>
      <c r="S10" s="29" t="e">
        <f t="shared" si="1"/>
        <v>#REF!</v>
      </c>
    </row>
    <row r="11" spans="1:20" ht="24" customHeight="1" x14ac:dyDescent="0.3">
      <c r="A11" s="28">
        <v>7</v>
      </c>
      <c r="B11" s="28" t="s">
        <v>16</v>
      </c>
      <c r="C11" s="29">
        <f>ROUND('主表1（成本）'!C39*$C$25,0)</f>
        <v>0</v>
      </c>
      <c r="D11" s="29">
        <f>ROUND('主表1（成本）'!D39*$C$25,0)</f>
        <v>179014</v>
      </c>
      <c r="E11" s="29">
        <f>ROUND('主表1（成本）'!E39*$C$25,0)</f>
        <v>24438</v>
      </c>
      <c r="F11" s="29">
        <f>ROUND('主表1（成本）'!F39*$C$25,0)</f>
        <v>14028</v>
      </c>
      <c r="G11" s="29">
        <f>ROUND('主表1（成本）'!G39*$C$25,0)</f>
        <v>9527</v>
      </c>
      <c r="H11" s="29">
        <f>ROUND('主表1（成本）'!H39*$C$25,0)</f>
        <v>9716</v>
      </c>
      <c r="I11" s="29">
        <f>ROUND('主表1（成本）'!I39*$C$25,0)</f>
        <v>9680</v>
      </c>
      <c r="J11" s="29">
        <f>ROUND('主表1（成本）'!J39*$C$25,0)</f>
        <v>9394</v>
      </c>
      <c r="K11" s="29">
        <f>ROUND('主表1（成本）'!K39*$C$25,0)</f>
        <v>7578</v>
      </c>
      <c r="L11" s="29">
        <f>ROUND('主表1（成本）'!L39*$C$25,0)</f>
        <v>7302</v>
      </c>
      <c r="M11" s="29">
        <f>ROUND('主表1（成本）'!M39*$C$25,0)</f>
        <v>5413</v>
      </c>
      <c r="N11" s="29">
        <f>ROUND('主表1（成本）'!N39*$C$25,0)</f>
        <v>5381</v>
      </c>
      <c r="O11" s="29">
        <f>ROUND('主表1（成本）'!O39*$C$25,0)</f>
        <v>4367</v>
      </c>
      <c r="P11" s="29">
        <f>ROUND('主表1（成本）'!P39*$C$25,0)</f>
        <v>4285</v>
      </c>
      <c r="Q11" s="29">
        <f>ROUND('主表1（成本）'!Q39*$C$25,0)</f>
        <v>0</v>
      </c>
      <c r="R11" s="29">
        <f>ROUND('主表1（成本）'!R39*$C$25,0)</f>
        <v>0</v>
      </c>
      <c r="S11" s="29">
        <f t="shared" si="1"/>
        <v>290123</v>
      </c>
      <c r="T11" s="26">
        <f>'主表1（成本）'!B39</f>
        <v>290123</v>
      </c>
    </row>
    <row r="12" spans="1:20" ht="24" hidden="1" customHeight="1" x14ac:dyDescent="0.3">
      <c r="A12" s="28">
        <v>8</v>
      </c>
      <c r="B12" s="28" t="s">
        <v>17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>
        <f t="shared" si="1"/>
        <v>0</v>
      </c>
    </row>
    <row r="13" spans="1:20" ht="24" customHeight="1" x14ac:dyDescent="0.3">
      <c r="A13" s="28">
        <v>9</v>
      </c>
      <c r="B13" s="28" t="s">
        <v>137</v>
      </c>
      <c r="C13" s="29" t="e">
        <f>ROUND('底表1（销售）'!F28,0)*(1+$C$29)</f>
        <v>#REF!</v>
      </c>
      <c r="D13" s="29" t="e">
        <f>ROUND('底表1（销售）'!G28,0)*(1+$C$29)</f>
        <v>#REF!</v>
      </c>
      <c r="E13" s="29" t="e">
        <f>ROUND('底表1（销售）'!H28,0)*(1+$C$29)</f>
        <v>#REF!</v>
      </c>
      <c r="F13" s="29" t="e">
        <f>ROUND('底表1（销售）'!I28,0)*(1+$C$29)</f>
        <v>#REF!</v>
      </c>
      <c r="G13" s="29" t="e">
        <f>ROUND('底表1（销售）'!J28,0)*(1+$C$29)</f>
        <v>#REF!</v>
      </c>
      <c r="H13" s="29" t="e">
        <f>ROUND('底表1（销售）'!K28,0)*(1+$C$29)</f>
        <v>#REF!</v>
      </c>
      <c r="I13" s="29" t="e">
        <f>ROUND('底表1（销售）'!L28,0)*(1+$C$29)</f>
        <v>#REF!</v>
      </c>
      <c r="J13" s="29" t="e">
        <f>ROUND('底表1（销售）'!M28,0)*(1+$C$29)</f>
        <v>#REF!</v>
      </c>
      <c r="K13" s="29" t="e">
        <f>ROUND('底表1（销售）'!N28,0)*(1+$C$29)</f>
        <v>#REF!</v>
      </c>
      <c r="L13" s="29" t="e">
        <f>ROUND('底表1（销售）'!O28,0)*(1+$C$29)</f>
        <v>#REF!</v>
      </c>
      <c r="M13" s="29" t="e">
        <f>ROUND('底表1（销售）'!P28,0)*(1+$C$29)</f>
        <v>#REF!</v>
      </c>
      <c r="N13" s="29" t="e">
        <f>ROUND('底表1（销售）'!Q28,0)*(1+$C$29)</f>
        <v>#REF!</v>
      </c>
      <c r="O13" s="29" t="e">
        <f>ROUND('底表1（销售）'!R28,0)*(1+$C$29)</f>
        <v>#REF!</v>
      </c>
      <c r="P13" s="29" t="e">
        <f>ROUND('底表1（销售）'!S28,0)*(1+$C$29)</f>
        <v>#REF!</v>
      </c>
      <c r="Q13" s="29" t="e">
        <f>ROUND('底表1（销售）'!T28,0)*(1+$C$29)</f>
        <v>#REF!</v>
      </c>
      <c r="R13" s="29" t="e">
        <f>ROUND('底表1（销售）'!U28,0)*(1+$C$29)</f>
        <v>#REF!</v>
      </c>
      <c r="S13" s="29" t="e">
        <f t="shared" si="1"/>
        <v>#REF!</v>
      </c>
      <c r="T13" s="26" t="e">
        <f>'底表1（销售）'!BS13*(1+$C$29)</f>
        <v>#REF!</v>
      </c>
    </row>
    <row r="14" spans="1:20" ht="24" customHeight="1" x14ac:dyDescent="0.3">
      <c r="A14" s="28">
        <v>10</v>
      </c>
      <c r="B14" s="28" t="s">
        <v>19</v>
      </c>
      <c r="C14" s="29">
        <f>'主表4-1（敏感性分析 销售+10%）'!C9</f>
        <v>0</v>
      </c>
      <c r="D14" s="29">
        <f>'主表4-1（敏感性分析 销售+10%）'!D9</f>
        <v>0</v>
      </c>
      <c r="E14" s="29">
        <f>'主表4-1（敏感性分析 销售+10%）'!E9</f>
        <v>0</v>
      </c>
      <c r="F14" s="29">
        <f>'主表4-1（敏感性分析 销售+10%）'!F9</f>
        <v>0</v>
      </c>
      <c r="G14" s="29">
        <f>'主表4-1（敏感性分析 销售+10%）'!G9</f>
        <v>1246</v>
      </c>
      <c r="H14" s="29">
        <f>'主表4-1（敏感性分析 销售+10%）'!H9</f>
        <v>1984</v>
      </c>
      <c r="I14" s="29">
        <f>'主表4-1（敏感性分析 销售+10%）'!I9</f>
        <v>1581</v>
      </c>
      <c r="J14" s="29">
        <f>'主表4-1（敏感性分析 销售+10%）'!J9</f>
        <v>1437</v>
      </c>
      <c r="K14" s="29">
        <f>'主表4-1（敏感性分析 销售+10%）'!K9</f>
        <v>1037</v>
      </c>
      <c r="L14" s="29">
        <f>'主表4-1（敏感性分析 销售+10%）'!L9</f>
        <v>0</v>
      </c>
      <c r="M14" s="29">
        <f>'主表4-1（敏感性分析 销售+10%）'!M9</f>
        <v>0</v>
      </c>
      <c r="N14" s="29">
        <f>'主表4-1（敏感性分析 销售+10%）'!N9</f>
        <v>0</v>
      </c>
      <c r="O14" s="29">
        <f>'主表4-1（敏感性分析 销售+10%）'!O9</f>
        <v>0</v>
      </c>
      <c r="P14" s="29">
        <f>'主表4-1（敏感性分析 销售+10%）'!P9</f>
        <v>0</v>
      </c>
      <c r="Q14" s="29">
        <f>'主表4-1（敏感性分析 销售+10%）'!Q9</f>
        <v>0</v>
      </c>
      <c r="R14" s="29">
        <f>'主表4-1（敏感性分析 销售+10%）'!R9</f>
        <v>0</v>
      </c>
      <c r="S14" s="29">
        <f t="shared" si="1"/>
        <v>7285</v>
      </c>
      <c r="T14" s="26">
        <f>'主表4-1（敏感性分析 销售-5%）'!T9</f>
        <v>6292</v>
      </c>
    </row>
    <row r="15" spans="1:20" ht="24" customHeight="1" x14ac:dyDescent="0.3">
      <c r="A15" s="28">
        <v>11</v>
      </c>
      <c r="B15" s="28" t="s">
        <v>11</v>
      </c>
      <c r="C15" s="29">
        <f>'主表4-1（敏感性分析 销售+10%）'!C14</f>
        <v>0</v>
      </c>
      <c r="D15" s="29">
        <f>'主表4-1（敏感性分析 销售+10%）'!D14</f>
        <v>0</v>
      </c>
      <c r="E15" s="29">
        <f>'主表4-1（敏感性分析 销售+10%）'!E14</f>
        <v>0</v>
      </c>
      <c r="F15" s="29" t="e">
        <f>'主表4-1（敏感性分析 销售+10%）'!F14</f>
        <v>#REF!</v>
      </c>
      <c r="G15" s="29">
        <f>'主表4-1（敏感性分析 销售+10%）'!G14</f>
        <v>0</v>
      </c>
      <c r="H15" s="29">
        <f>'主表4-1（敏感性分析 销售+10%）'!H14</f>
        <v>0</v>
      </c>
      <c r="I15" s="29">
        <f>'主表4-1（敏感性分析 销售+10%）'!I14</f>
        <v>0</v>
      </c>
      <c r="J15" s="29" t="e">
        <f>'主表4-1（敏感性分析 销售+10%）'!J14</f>
        <v>#REF!</v>
      </c>
      <c r="K15" s="29">
        <f>'主表4-1（敏感性分析 销售+10%）'!K14</f>
        <v>0</v>
      </c>
      <c r="L15" s="29">
        <f>'主表4-1（敏感性分析 销售+10%）'!L14</f>
        <v>0</v>
      </c>
      <c r="M15" s="29">
        <f>'主表4-1（敏感性分析 销售+10%）'!M14</f>
        <v>0</v>
      </c>
      <c r="N15" s="29" t="e">
        <f>'主表4-1（敏感性分析 销售+10%）'!N14</f>
        <v>#REF!</v>
      </c>
      <c r="O15" s="29">
        <f>'主表4-1（敏感性分析 销售+10%）'!O14</f>
        <v>0</v>
      </c>
      <c r="P15" s="29">
        <f>'主表4-1（敏感性分析 销售+10%）'!P14</f>
        <v>0</v>
      </c>
      <c r="Q15" s="29">
        <f>'主表4-1（敏感性分析 销售+10%）'!Q14</f>
        <v>0</v>
      </c>
      <c r="R15" s="29" t="e">
        <f>'主表4-1（敏感性分析 销售+10%）'!R14</f>
        <v>#REF!</v>
      </c>
      <c r="S15" s="29" t="e">
        <f t="shared" si="1"/>
        <v>#REF!</v>
      </c>
      <c r="T15" s="26" t="e">
        <f>'主表4-1（敏感性分析 销售-10%）'!S14</f>
        <v>#REF!</v>
      </c>
    </row>
    <row r="16" spans="1:20" ht="24" customHeight="1" x14ac:dyDescent="0.3">
      <c r="A16" s="28">
        <v>12</v>
      </c>
      <c r="B16" s="28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>
        <f t="shared" si="1"/>
        <v>0</v>
      </c>
    </row>
    <row r="17" spans="1:19" ht="24" customHeight="1" x14ac:dyDescent="0.3">
      <c r="A17" s="28">
        <v>13</v>
      </c>
      <c r="B17" s="28" t="s">
        <v>20</v>
      </c>
      <c r="C17" s="29" t="e">
        <f t="shared" ref="C17:R17" si="3">C5-C10</f>
        <v>#REF!</v>
      </c>
      <c r="D17" s="29" t="e">
        <f t="shared" si="3"/>
        <v>#REF!</v>
      </c>
      <c r="E17" s="29" t="e">
        <f t="shared" si="3"/>
        <v>#REF!</v>
      </c>
      <c r="F17" s="29" t="e">
        <f t="shared" si="3"/>
        <v>#REF!</v>
      </c>
      <c r="G17" s="29" t="e">
        <f t="shared" si="3"/>
        <v>#REF!</v>
      </c>
      <c r="H17" s="29" t="e">
        <f t="shared" si="3"/>
        <v>#REF!</v>
      </c>
      <c r="I17" s="29" t="e">
        <f t="shared" si="3"/>
        <v>#REF!</v>
      </c>
      <c r="J17" s="29" t="e">
        <f t="shared" si="3"/>
        <v>#REF!</v>
      </c>
      <c r="K17" s="29" t="e">
        <f t="shared" si="3"/>
        <v>#REF!</v>
      </c>
      <c r="L17" s="29" t="e">
        <f t="shared" si="3"/>
        <v>#REF!</v>
      </c>
      <c r="M17" s="29" t="e">
        <f t="shared" si="3"/>
        <v>#REF!</v>
      </c>
      <c r="N17" s="29" t="e">
        <f t="shared" si="3"/>
        <v>#REF!</v>
      </c>
      <c r="O17" s="29" t="e">
        <f t="shared" si="3"/>
        <v>#REF!</v>
      </c>
      <c r="P17" s="29" t="e">
        <f t="shared" si="3"/>
        <v>#REF!</v>
      </c>
      <c r="Q17" s="29" t="e">
        <f t="shared" si="3"/>
        <v>#REF!</v>
      </c>
      <c r="R17" s="29" t="e">
        <f t="shared" si="3"/>
        <v>#REF!</v>
      </c>
      <c r="S17" s="29" t="e">
        <f t="shared" si="1"/>
        <v>#REF!</v>
      </c>
    </row>
    <row r="18" spans="1:19" ht="24" customHeight="1" x14ac:dyDescent="0.3">
      <c r="A18" s="28">
        <v>14</v>
      </c>
      <c r="B18" s="28" t="s">
        <v>21</v>
      </c>
      <c r="C18" s="29" t="e">
        <f>C17</f>
        <v>#REF!</v>
      </c>
      <c r="D18" s="29" t="e">
        <f>D17+C18</f>
        <v>#REF!</v>
      </c>
      <c r="E18" s="29" t="e">
        <f t="shared" ref="E18:R18" si="4">E17+D18</f>
        <v>#REF!</v>
      </c>
      <c r="F18" s="29" t="e">
        <f t="shared" si="4"/>
        <v>#REF!</v>
      </c>
      <c r="G18" s="29" t="e">
        <f t="shared" si="4"/>
        <v>#REF!</v>
      </c>
      <c r="H18" s="29" t="e">
        <f t="shared" si="4"/>
        <v>#REF!</v>
      </c>
      <c r="I18" s="29" t="e">
        <f t="shared" si="4"/>
        <v>#REF!</v>
      </c>
      <c r="J18" s="29" t="e">
        <f t="shared" si="4"/>
        <v>#REF!</v>
      </c>
      <c r="K18" s="29" t="e">
        <f t="shared" si="4"/>
        <v>#REF!</v>
      </c>
      <c r="L18" s="29" t="e">
        <f t="shared" si="4"/>
        <v>#REF!</v>
      </c>
      <c r="M18" s="29" t="e">
        <f t="shared" si="4"/>
        <v>#REF!</v>
      </c>
      <c r="N18" s="29" t="e">
        <f t="shared" si="4"/>
        <v>#REF!</v>
      </c>
      <c r="O18" s="29" t="e">
        <f t="shared" si="4"/>
        <v>#REF!</v>
      </c>
      <c r="P18" s="29" t="e">
        <f t="shared" si="4"/>
        <v>#REF!</v>
      </c>
      <c r="Q18" s="29" t="e">
        <f t="shared" si="4"/>
        <v>#REF!</v>
      </c>
      <c r="R18" s="29" t="e">
        <f t="shared" si="4"/>
        <v>#REF!</v>
      </c>
      <c r="S18" s="29"/>
    </row>
    <row r="19" spans="1:19" ht="24" customHeight="1" x14ac:dyDescent="0.3">
      <c r="A19" s="28">
        <v>15</v>
      </c>
      <c r="B19" s="28" t="s">
        <v>30</v>
      </c>
      <c r="C19" s="29" t="e">
        <f>C17/(1+$C$22)^C27</f>
        <v>#REF!</v>
      </c>
      <c r="D19" s="29" t="e">
        <f t="shared" ref="D19:R19" si="5">D17/(1+$C$22)^D27</f>
        <v>#REF!</v>
      </c>
      <c r="E19" s="29" t="e">
        <f t="shared" si="5"/>
        <v>#REF!</v>
      </c>
      <c r="F19" s="29" t="e">
        <f t="shared" si="5"/>
        <v>#REF!</v>
      </c>
      <c r="G19" s="29" t="e">
        <f t="shared" si="5"/>
        <v>#REF!</v>
      </c>
      <c r="H19" s="29" t="e">
        <f t="shared" si="5"/>
        <v>#REF!</v>
      </c>
      <c r="I19" s="29" t="e">
        <f t="shared" si="5"/>
        <v>#REF!</v>
      </c>
      <c r="J19" s="29" t="e">
        <f t="shared" si="5"/>
        <v>#REF!</v>
      </c>
      <c r="K19" s="29" t="e">
        <f t="shared" si="5"/>
        <v>#REF!</v>
      </c>
      <c r="L19" s="29" t="e">
        <f t="shared" si="5"/>
        <v>#REF!</v>
      </c>
      <c r="M19" s="29" t="e">
        <f t="shared" si="5"/>
        <v>#REF!</v>
      </c>
      <c r="N19" s="29" t="e">
        <f t="shared" si="5"/>
        <v>#REF!</v>
      </c>
      <c r="O19" s="29" t="e">
        <f t="shared" si="5"/>
        <v>#REF!</v>
      </c>
      <c r="P19" s="29" t="e">
        <f t="shared" si="5"/>
        <v>#REF!</v>
      </c>
      <c r="Q19" s="29" t="e">
        <f t="shared" si="5"/>
        <v>#REF!</v>
      </c>
      <c r="R19" s="29" t="e">
        <f t="shared" si="5"/>
        <v>#REF!</v>
      </c>
      <c r="S19" s="29" t="e">
        <f>SUM(C19:R19)</f>
        <v>#REF!</v>
      </c>
    </row>
    <row r="20" spans="1:19" ht="24" customHeight="1" x14ac:dyDescent="0.3">
      <c r="A20" s="28">
        <v>16</v>
      </c>
      <c r="B20" s="28" t="s">
        <v>22</v>
      </c>
      <c r="C20" s="29" t="e">
        <f>C19</f>
        <v>#REF!</v>
      </c>
      <c r="D20" s="29" t="e">
        <f>D19+C20</f>
        <v>#REF!</v>
      </c>
      <c r="E20" s="29" t="e">
        <f t="shared" ref="E20:R20" si="6">E19+D20</f>
        <v>#REF!</v>
      </c>
      <c r="F20" s="29" t="e">
        <f t="shared" si="6"/>
        <v>#REF!</v>
      </c>
      <c r="G20" s="29" t="e">
        <f t="shared" si="6"/>
        <v>#REF!</v>
      </c>
      <c r="H20" s="29" t="e">
        <f t="shared" si="6"/>
        <v>#REF!</v>
      </c>
      <c r="I20" s="29" t="e">
        <f t="shared" si="6"/>
        <v>#REF!</v>
      </c>
      <c r="J20" s="29" t="e">
        <f t="shared" si="6"/>
        <v>#REF!</v>
      </c>
      <c r="K20" s="29" t="e">
        <f t="shared" si="6"/>
        <v>#REF!</v>
      </c>
      <c r="L20" s="29" t="e">
        <f t="shared" si="6"/>
        <v>#REF!</v>
      </c>
      <c r="M20" s="29" t="e">
        <f t="shared" si="6"/>
        <v>#REF!</v>
      </c>
      <c r="N20" s="29" t="e">
        <f t="shared" si="6"/>
        <v>#REF!</v>
      </c>
      <c r="O20" s="29" t="e">
        <f t="shared" si="6"/>
        <v>#REF!</v>
      </c>
      <c r="P20" s="29" t="e">
        <f t="shared" si="6"/>
        <v>#REF!</v>
      </c>
      <c r="Q20" s="29" t="e">
        <f t="shared" si="6"/>
        <v>#REF!</v>
      </c>
      <c r="R20" s="29" t="e">
        <f t="shared" si="6"/>
        <v>#REF!</v>
      </c>
      <c r="S20" s="29" t="s">
        <v>0</v>
      </c>
    </row>
    <row r="21" spans="1:19" x14ac:dyDescent="0.3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</row>
    <row r="22" spans="1:19" x14ac:dyDescent="0.3">
      <c r="A22" s="46" t="s">
        <v>187</v>
      </c>
      <c r="B22" s="46"/>
      <c r="C22" s="49">
        <f>10%/4</f>
        <v>2.5000000000000001E-2</v>
      </c>
      <c r="D22" s="31"/>
      <c r="E22" s="31"/>
      <c r="F22" s="31"/>
      <c r="G22" s="31"/>
      <c r="H22" s="830" t="s">
        <v>87</v>
      </c>
      <c r="I22" s="830"/>
      <c r="J22" s="830"/>
      <c r="K22" s="32" t="e">
        <f>NPV(C22,C17:R17)</f>
        <v>#REF!</v>
      </c>
      <c r="L22" s="46" t="s">
        <v>53</v>
      </c>
      <c r="M22" s="46"/>
      <c r="N22" s="46"/>
      <c r="O22" s="46"/>
      <c r="P22" s="46"/>
      <c r="S22" s="46"/>
    </row>
    <row r="23" spans="1:19" x14ac:dyDescent="0.3">
      <c r="A23" s="46" t="s">
        <v>188</v>
      </c>
      <c r="B23" s="46"/>
      <c r="C23" s="33" t="e">
        <f>IRR(C17:R17)</f>
        <v>#VALUE!</v>
      </c>
      <c r="D23" s="33"/>
      <c r="E23" s="33"/>
      <c r="F23" s="33"/>
      <c r="G23" s="33"/>
      <c r="H23" s="830" t="s">
        <v>176</v>
      </c>
      <c r="I23" s="830"/>
      <c r="J23" s="830"/>
      <c r="K23" s="50">
        <f>(9*3-1)/12</f>
        <v>2.17</v>
      </c>
      <c r="L23" s="46" t="s">
        <v>54</v>
      </c>
      <c r="M23" s="46"/>
      <c r="N23" s="46"/>
      <c r="O23" s="46"/>
      <c r="P23" s="46"/>
      <c r="S23" s="46"/>
    </row>
    <row r="25" spans="1:19" x14ac:dyDescent="0.3">
      <c r="B25" s="26" t="s">
        <v>110</v>
      </c>
      <c r="C25" s="26">
        <v>1</v>
      </c>
    </row>
    <row r="26" spans="1:19" x14ac:dyDescent="0.3">
      <c r="B26" s="26" t="s">
        <v>111</v>
      </c>
      <c r="C26" s="26">
        <v>1</v>
      </c>
    </row>
    <row r="27" spans="1:19" x14ac:dyDescent="0.3">
      <c r="C27" s="26">
        <v>0</v>
      </c>
      <c r="D27" s="26">
        <v>0</v>
      </c>
      <c r="E27" s="26">
        <v>0.25</v>
      </c>
      <c r="F27" s="26">
        <f>E27+0.25</f>
        <v>0.5</v>
      </c>
      <c r="G27" s="26">
        <f t="shared" ref="G27:R27" si="7">F27+0.25</f>
        <v>0.75</v>
      </c>
      <c r="H27" s="26">
        <f t="shared" si="7"/>
        <v>1</v>
      </c>
      <c r="I27" s="26">
        <f t="shared" si="7"/>
        <v>1.25</v>
      </c>
      <c r="J27" s="26">
        <f t="shared" si="7"/>
        <v>1.5</v>
      </c>
      <c r="K27" s="26">
        <f t="shared" si="7"/>
        <v>1.75</v>
      </c>
      <c r="L27" s="26">
        <f t="shared" si="7"/>
        <v>2</v>
      </c>
      <c r="M27" s="26">
        <f t="shared" si="7"/>
        <v>2.25</v>
      </c>
      <c r="N27" s="26">
        <f t="shared" si="7"/>
        <v>2.5</v>
      </c>
      <c r="O27" s="26">
        <f t="shared" si="7"/>
        <v>2.75</v>
      </c>
      <c r="P27" s="26">
        <f t="shared" si="7"/>
        <v>3</v>
      </c>
      <c r="Q27" s="26">
        <f t="shared" si="7"/>
        <v>3.25</v>
      </c>
      <c r="R27" s="26">
        <f t="shared" si="7"/>
        <v>3.5</v>
      </c>
    </row>
    <row r="29" spans="1:19" x14ac:dyDescent="0.3">
      <c r="B29" s="23" t="s">
        <v>178</v>
      </c>
      <c r="C29" s="24">
        <v>0.1</v>
      </c>
    </row>
  </sheetData>
  <mergeCells count="8">
    <mergeCell ref="H22:J22"/>
    <mergeCell ref="H23:J23"/>
    <mergeCell ref="A1:R1"/>
    <mergeCell ref="C2:R2"/>
    <mergeCell ref="C3:F3"/>
    <mergeCell ref="G3:J3"/>
    <mergeCell ref="K3:N3"/>
    <mergeCell ref="O3:R3"/>
  </mergeCells>
  <phoneticPr fontId="19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8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3"/>
  </sheetPr>
  <dimension ref="A1:G49"/>
  <sheetViews>
    <sheetView view="pageBreakPreview" zoomScaleNormal="100" zoomScaleSheetLayoutView="100" workbookViewId="0">
      <selection activeCell="D13" sqref="D13"/>
    </sheetView>
  </sheetViews>
  <sheetFormatPr defaultColWidth="11" defaultRowHeight="18" customHeight="1" x14ac:dyDescent="0.15"/>
  <cols>
    <col min="1" max="1" width="10.875" style="210" customWidth="1"/>
    <col min="2" max="2" width="19.125" style="210" customWidth="1"/>
    <col min="3" max="4" width="14" style="243" customWidth="1"/>
    <col min="5" max="5" width="14" style="210" customWidth="1"/>
    <col min="6" max="6" width="25.125" style="210" customWidth="1"/>
    <col min="7" max="10" width="11" style="210"/>
    <col min="11" max="11" width="21.375" style="210" customWidth="1"/>
    <col min="12" max="12" width="11" style="210"/>
    <col min="13" max="13" width="15.375" style="210" customWidth="1"/>
    <col min="14" max="16384" width="11" style="210"/>
  </cols>
  <sheetData>
    <row r="1" spans="1:7" ht="18" customHeight="1" x14ac:dyDescent="0.15">
      <c r="A1" s="314"/>
      <c r="B1" s="313"/>
      <c r="C1" s="313" t="s">
        <v>61</v>
      </c>
      <c r="D1" s="313"/>
      <c r="E1" s="313"/>
      <c r="F1" s="350"/>
    </row>
    <row r="2" spans="1:7" ht="18" customHeight="1" x14ac:dyDescent="0.15">
      <c r="A2" s="402"/>
      <c r="B2" s="235" t="s">
        <v>497</v>
      </c>
      <c r="C2" s="404"/>
      <c r="D2" s="404"/>
      <c r="E2" s="404"/>
      <c r="F2" s="403"/>
    </row>
    <row r="3" spans="1:7" s="222" customFormat="1" ht="18" customHeight="1" x14ac:dyDescent="0.15">
      <c r="A3" s="351" t="s">
        <v>43</v>
      </c>
      <c r="B3" s="436" t="s">
        <v>492</v>
      </c>
      <c r="C3" s="435"/>
      <c r="D3" s="295" t="s">
        <v>493</v>
      </c>
      <c r="E3" s="295"/>
      <c r="F3" s="352" t="s">
        <v>494</v>
      </c>
    </row>
    <row r="4" spans="1:7" ht="18" customHeight="1" x14ac:dyDescent="0.15">
      <c r="A4" s="353">
        <v>1</v>
      </c>
      <c r="B4" s="353" t="s">
        <v>58</v>
      </c>
      <c r="C4" s="399">
        <f>规划指标!B5</f>
        <v>0</v>
      </c>
      <c r="D4" s="401"/>
      <c r="E4" s="400"/>
      <c r="F4" s="354"/>
    </row>
    <row r="5" spans="1:7" ht="36" customHeight="1" x14ac:dyDescent="0.15">
      <c r="A5" s="353">
        <v>2</v>
      </c>
      <c r="B5" s="353" t="s">
        <v>478</v>
      </c>
      <c r="C5" s="399" t="str">
        <f>规划指标!A1</f>
        <v>北京市密云区檀营乡6005地块R2二类居住用地（编号：京土整储挂（密）[2021]026号）居住项目</v>
      </c>
      <c r="D5" s="401"/>
      <c r="E5" s="400"/>
      <c r="F5" s="355"/>
    </row>
    <row r="6" spans="1:7" ht="18" customHeight="1" x14ac:dyDescent="0.15">
      <c r="A6" s="353">
        <v>3</v>
      </c>
      <c r="B6" s="353" t="s">
        <v>60</v>
      </c>
      <c r="C6" s="356">
        <f>规划指标!G25</f>
        <v>58351.58</v>
      </c>
      <c r="D6" s="356"/>
      <c r="E6" s="357"/>
      <c r="F6" s="353"/>
    </row>
    <row r="7" spans="1:7" ht="18" customHeight="1" x14ac:dyDescent="0.15">
      <c r="A7" s="353">
        <v>4</v>
      </c>
      <c r="B7" s="353" t="s">
        <v>59</v>
      </c>
      <c r="C7" s="358">
        <f>规划指标!G24</f>
        <v>196279</v>
      </c>
      <c r="D7" s="358"/>
      <c r="E7" s="359"/>
      <c r="F7" s="353"/>
    </row>
    <row r="8" spans="1:7" ht="18" customHeight="1" x14ac:dyDescent="0.15">
      <c r="A8" s="353">
        <v>5</v>
      </c>
      <c r="B8" s="353" t="s">
        <v>47</v>
      </c>
      <c r="C8" s="637">
        <v>2021</v>
      </c>
      <c r="D8" s="360"/>
      <c r="E8" s="361"/>
      <c r="F8" s="353"/>
    </row>
    <row r="9" spans="1:7" ht="18" customHeight="1" x14ac:dyDescent="0.15">
      <c r="A9" s="353">
        <v>6</v>
      </c>
      <c r="B9" s="353" t="s">
        <v>490</v>
      </c>
      <c r="C9" s="362"/>
      <c r="D9" s="362"/>
      <c r="E9" s="363"/>
      <c r="F9" s="353"/>
    </row>
    <row r="10" spans="1:7" ht="18" customHeight="1" x14ac:dyDescent="0.15">
      <c r="A10" s="353">
        <v>7</v>
      </c>
      <c r="B10" s="353" t="s">
        <v>491</v>
      </c>
      <c r="C10" s="360"/>
      <c r="D10" s="360"/>
      <c r="E10" s="361"/>
      <c r="F10" s="353"/>
    </row>
    <row r="11" spans="1:7" ht="18" customHeight="1" x14ac:dyDescent="0.15">
      <c r="A11" s="376">
        <v>8</v>
      </c>
      <c r="B11" s="376" t="s">
        <v>477</v>
      </c>
      <c r="C11" s="391"/>
      <c r="D11" s="391"/>
      <c r="E11" s="392"/>
      <c r="F11" s="393"/>
      <c r="G11" s="296"/>
    </row>
    <row r="12" spans="1:7" ht="18" customHeight="1" x14ac:dyDescent="0.15">
      <c r="A12" s="703" t="s">
        <v>641</v>
      </c>
      <c r="B12" s="748" t="s">
        <v>686</v>
      </c>
      <c r="C12" s="395" t="s">
        <v>476</v>
      </c>
      <c r="D12" s="396">
        <v>13518</v>
      </c>
      <c r="E12" s="567"/>
      <c r="F12" s="397" t="s">
        <v>479</v>
      </c>
      <c r="G12" s="296"/>
    </row>
    <row r="13" spans="1:7" ht="18" customHeight="1" x14ac:dyDescent="0.15">
      <c r="A13" s="703" t="s">
        <v>642</v>
      </c>
      <c r="B13" s="748" t="s">
        <v>687</v>
      </c>
      <c r="C13" s="733">
        <v>0.12</v>
      </c>
      <c r="D13" s="396">
        <v>121660</v>
      </c>
      <c r="E13" s="745">
        <v>2</v>
      </c>
      <c r="F13" s="397"/>
      <c r="G13" s="296"/>
    </row>
    <row r="14" spans="1:7" ht="18" customHeight="1" x14ac:dyDescent="0.15">
      <c r="A14" s="703" t="s">
        <v>643</v>
      </c>
      <c r="B14" s="748" t="s">
        <v>688</v>
      </c>
      <c r="C14" s="733">
        <v>0</v>
      </c>
      <c r="D14" s="396">
        <v>0</v>
      </c>
      <c r="E14" s="567"/>
      <c r="F14" s="397"/>
      <c r="G14" s="296"/>
    </row>
    <row r="15" spans="1:7" ht="18" customHeight="1" x14ac:dyDescent="0.15">
      <c r="A15" s="703" t="s">
        <v>644</v>
      </c>
      <c r="B15" s="748" t="s">
        <v>689</v>
      </c>
      <c r="C15" s="398">
        <v>0</v>
      </c>
      <c r="D15" s="396">
        <v>0</v>
      </c>
      <c r="E15" s="567"/>
      <c r="F15" s="397"/>
      <c r="G15" s="296"/>
    </row>
    <row r="16" spans="1:7" ht="18" customHeight="1" x14ac:dyDescent="0.15">
      <c r="A16" s="704" t="s">
        <v>645</v>
      </c>
      <c r="B16" s="749" t="str">
        <f>'[1]主表6-负债偿还预测'!B18</f>
        <v>其他</v>
      </c>
      <c r="C16" s="394" t="s">
        <v>470</v>
      </c>
      <c r="D16" s="389"/>
      <c r="E16" s="568"/>
      <c r="F16" s="390"/>
      <c r="G16" s="296"/>
    </row>
    <row r="17" spans="1:6" ht="18" customHeight="1" x14ac:dyDescent="0.15">
      <c r="A17" s="353">
        <v>9</v>
      </c>
      <c r="B17" s="353" t="s">
        <v>484</v>
      </c>
      <c r="C17" s="364">
        <v>0.1</v>
      </c>
      <c r="D17" s="365"/>
      <c r="E17" s="366"/>
      <c r="F17" s="367" t="s">
        <v>482</v>
      </c>
    </row>
    <row r="18" spans="1:6" ht="18" customHeight="1" x14ac:dyDescent="0.15">
      <c r="A18" s="353">
        <v>10</v>
      </c>
      <c r="B18" s="353" t="s">
        <v>45</v>
      </c>
      <c r="C18" s="368"/>
      <c r="D18" s="368"/>
      <c r="E18" s="369"/>
      <c r="F18" s="327" t="s">
        <v>259</v>
      </c>
    </row>
    <row r="19" spans="1:6" ht="18" customHeight="1" x14ac:dyDescent="0.15">
      <c r="A19" s="353">
        <v>11</v>
      </c>
      <c r="B19" s="353" t="s">
        <v>46</v>
      </c>
      <c r="C19" s="360"/>
      <c r="D19" s="360"/>
      <c r="E19" s="361"/>
      <c r="F19" s="327" t="s">
        <v>76</v>
      </c>
    </row>
    <row r="20" spans="1:6" ht="18" customHeight="1" x14ac:dyDescent="0.15">
      <c r="A20" s="353">
        <v>12</v>
      </c>
      <c r="B20" s="353" t="s">
        <v>44</v>
      </c>
      <c r="C20" s="370"/>
      <c r="D20" s="370"/>
      <c r="E20" s="367"/>
      <c r="F20" s="353"/>
    </row>
    <row r="21" spans="1:6" ht="18" customHeight="1" x14ac:dyDescent="0.15">
      <c r="A21" s="353">
        <v>13</v>
      </c>
      <c r="B21" s="353" t="s">
        <v>115</v>
      </c>
      <c r="C21" s="371"/>
      <c r="D21" s="371"/>
      <c r="E21" s="372"/>
      <c r="F21" s="353"/>
    </row>
    <row r="22" spans="1:6" ht="18" customHeight="1" x14ac:dyDescent="0.15">
      <c r="A22" s="353">
        <v>14</v>
      </c>
      <c r="B22" s="353" t="s">
        <v>119</v>
      </c>
      <c r="C22" s="373">
        <v>0.09</v>
      </c>
      <c r="D22" s="373">
        <v>0.03</v>
      </c>
      <c r="E22" s="374"/>
      <c r="F22" s="367" t="s">
        <v>625</v>
      </c>
    </row>
    <row r="23" spans="1:6" ht="18" customHeight="1" x14ac:dyDescent="0.15">
      <c r="A23" s="353">
        <v>15</v>
      </c>
      <c r="B23" s="353" t="s">
        <v>116</v>
      </c>
      <c r="C23" s="373">
        <v>0.03</v>
      </c>
      <c r="D23" s="373"/>
      <c r="E23" s="374"/>
      <c r="F23" s="367"/>
    </row>
    <row r="24" spans="1:6" ht="18" customHeight="1" x14ac:dyDescent="0.15">
      <c r="A24" s="353">
        <v>16</v>
      </c>
      <c r="B24" s="353" t="s">
        <v>112</v>
      </c>
      <c r="C24" s="373">
        <v>0.02</v>
      </c>
      <c r="D24" s="373"/>
      <c r="E24" s="374"/>
      <c r="F24" s="367"/>
    </row>
    <row r="25" spans="1:6" ht="18" customHeight="1" x14ac:dyDescent="0.15">
      <c r="A25" s="353">
        <v>17</v>
      </c>
      <c r="B25" s="353" t="s">
        <v>117</v>
      </c>
      <c r="C25" s="375">
        <v>7.0000000000000007E-2</v>
      </c>
      <c r="D25" s="373"/>
      <c r="E25" s="374"/>
      <c r="F25" s="367" t="s">
        <v>486</v>
      </c>
    </row>
    <row r="26" spans="1:6" ht="18" customHeight="1" x14ac:dyDescent="0.15">
      <c r="A26" s="376">
        <v>18</v>
      </c>
      <c r="B26" s="376" t="s">
        <v>483</v>
      </c>
      <c r="C26" s="381"/>
      <c r="D26" s="382"/>
      <c r="E26" s="383"/>
      <c r="F26" s="384"/>
    </row>
    <row r="27" spans="1:6" ht="18" customHeight="1" x14ac:dyDescent="0.15">
      <c r="A27" s="703">
        <v>18.100000000000001</v>
      </c>
      <c r="B27" s="377" t="str">
        <f>'底表1（销售计划）'!B112</f>
        <v>小高层</v>
      </c>
      <c r="C27" s="755">
        <v>0.03</v>
      </c>
      <c r="D27" s="386"/>
      <c r="E27" s="387"/>
      <c r="F27" s="388" t="s">
        <v>626</v>
      </c>
    </row>
    <row r="28" spans="1:6" ht="18" customHeight="1" x14ac:dyDescent="0.15">
      <c r="A28" s="703" t="s">
        <v>627</v>
      </c>
      <c r="B28" s="377" t="str">
        <f>'底表1（销售计划）'!B113</f>
        <v>洋房</v>
      </c>
      <c r="C28" s="755">
        <v>0.03</v>
      </c>
      <c r="D28" s="386"/>
      <c r="E28" s="387"/>
      <c r="F28" s="388"/>
    </row>
    <row r="29" spans="1:6" ht="18" customHeight="1" x14ac:dyDescent="0.15">
      <c r="A29" s="703" t="s">
        <v>628</v>
      </c>
      <c r="B29" s="377" t="str">
        <f>'底表1（销售计划）'!B114</f>
        <v>商业</v>
      </c>
      <c r="C29" s="755">
        <v>0.03</v>
      </c>
      <c r="D29" s="386"/>
      <c r="E29" s="387"/>
      <c r="F29" s="388"/>
    </row>
    <row r="30" spans="1:6" ht="18" customHeight="1" x14ac:dyDescent="0.15">
      <c r="A30" s="703" t="s">
        <v>629</v>
      </c>
      <c r="B30" s="377" t="str">
        <f>'底表1（销售计划）'!B115</f>
        <v>储藏室</v>
      </c>
      <c r="C30" s="755">
        <v>0.03</v>
      </c>
      <c r="D30" s="386"/>
      <c r="E30" s="387"/>
      <c r="F30" s="388"/>
    </row>
    <row r="31" spans="1:6" ht="18" customHeight="1" x14ac:dyDescent="0.15">
      <c r="A31" s="703" t="s">
        <v>630</v>
      </c>
      <c r="B31" s="377" t="str">
        <f>'底表1（销售计划）'!B116</f>
        <v>非人防地下车库</v>
      </c>
      <c r="C31" s="755">
        <v>0.03</v>
      </c>
      <c r="D31" s="386"/>
      <c r="E31" s="387"/>
      <c r="F31" s="388"/>
    </row>
    <row r="32" spans="1:6" ht="18" customHeight="1" x14ac:dyDescent="0.15">
      <c r="A32" s="703" t="s">
        <v>631</v>
      </c>
      <c r="B32" s="377">
        <f>'底表1（销售计划）'!B117</f>
        <v>0</v>
      </c>
      <c r="C32" s="385"/>
      <c r="D32" s="386"/>
      <c r="E32" s="387"/>
      <c r="F32" s="388"/>
    </row>
    <row r="33" spans="1:6" ht="18" customHeight="1" x14ac:dyDescent="0.15">
      <c r="A33" s="703" t="s">
        <v>632</v>
      </c>
      <c r="B33" s="377">
        <f>'底表1（销售计划）'!B118</f>
        <v>0</v>
      </c>
      <c r="C33" s="385"/>
      <c r="D33" s="386"/>
      <c r="E33" s="387"/>
      <c r="F33" s="388"/>
    </row>
    <row r="34" spans="1:6" ht="18" customHeight="1" x14ac:dyDescent="0.15">
      <c r="A34" s="703" t="s">
        <v>633</v>
      </c>
      <c r="B34" s="377">
        <f>'底表1（销售计划）'!B119</f>
        <v>0</v>
      </c>
      <c r="C34" s="385"/>
      <c r="D34" s="386"/>
      <c r="E34" s="387"/>
      <c r="F34" s="388"/>
    </row>
    <row r="35" spans="1:6" ht="18" customHeight="1" x14ac:dyDescent="0.15">
      <c r="A35" s="703" t="s">
        <v>634</v>
      </c>
      <c r="B35" s="377">
        <f>'底表1（销售计划）'!B120</f>
        <v>0</v>
      </c>
      <c r="C35" s="385"/>
      <c r="D35" s="386"/>
      <c r="E35" s="387"/>
      <c r="F35" s="388"/>
    </row>
    <row r="36" spans="1:6" ht="18" customHeight="1" x14ac:dyDescent="0.15">
      <c r="A36" s="703" t="s">
        <v>635</v>
      </c>
      <c r="B36" s="377">
        <f>'底表1（销售计划）'!B121</f>
        <v>0</v>
      </c>
      <c r="C36" s="385"/>
      <c r="D36" s="386"/>
      <c r="E36" s="387"/>
      <c r="F36" s="388"/>
    </row>
    <row r="37" spans="1:6" s="633" customFormat="1" ht="18" customHeight="1" x14ac:dyDescent="0.15">
      <c r="A37" s="703" t="s">
        <v>636</v>
      </c>
      <c r="B37" s="377">
        <f>'底表1（销售计划）'!B122</f>
        <v>0</v>
      </c>
      <c r="C37" s="385"/>
      <c r="D37" s="386"/>
      <c r="E37" s="387"/>
      <c r="F37" s="388"/>
    </row>
    <row r="38" spans="1:6" s="633" customFormat="1" ht="18" customHeight="1" x14ac:dyDescent="0.15">
      <c r="A38" s="703" t="s">
        <v>637</v>
      </c>
      <c r="B38" s="377">
        <f>'底表1（销售计划）'!B123</f>
        <v>0</v>
      </c>
      <c r="C38" s="385"/>
      <c r="D38" s="386"/>
      <c r="E38" s="387"/>
      <c r="F38" s="388"/>
    </row>
    <row r="39" spans="1:6" s="633" customFormat="1" ht="18" customHeight="1" x14ac:dyDescent="0.15">
      <c r="A39" s="703" t="s">
        <v>638</v>
      </c>
      <c r="B39" s="377">
        <f>'底表1（销售计划）'!B124</f>
        <v>0</v>
      </c>
      <c r="C39" s="385"/>
      <c r="D39" s="386"/>
      <c r="E39" s="387"/>
      <c r="F39" s="388"/>
    </row>
    <row r="40" spans="1:6" s="633" customFormat="1" ht="18" customHeight="1" x14ac:dyDescent="0.15">
      <c r="A40" s="703" t="s">
        <v>639</v>
      </c>
      <c r="B40" s="377">
        <f>'底表1（销售计划）'!B125</f>
        <v>0</v>
      </c>
      <c r="C40" s="385"/>
      <c r="D40" s="386"/>
      <c r="E40" s="387"/>
      <c r="F40" s="388"/>
    </row>
    <row r="41" spans="1:6" ht="18" customHeight="1" x14ac:dyDescent="0.15">
      <c r="A41" s="704" t="s">
        <v>640</v>
      </c>
      <c r="B41" s="377">
        <f>'底表1（销售计划）'!B126</f>
        <v>0</v>
      </c>
      <c r="C41" s="720"/>
      <c r="D41" s="378"/>
      <c r="E41" s="379"/>
      <c r="F41" s="380"/>
    </row>
    <row r="42" spans="1:6" ht="18" customHeight="1" x14ac:dyDescent="0.15">
      <c r="A42" s="353">
        <v>19</v>
      </c>
      <c r="B42" s="353" t="s">
        <v>118</v>
      </c>
      <c r="C42" s="373">
        <v>0.25</v>
      </c>
      <c r="D42" s="373"/>
      <c r="E42" s="374"/>
      <c r="F42" s="367"/>
    </row>
    <row r="43" spans="1:6" ht="18" customHeight="1" x14ac:dyDescent="0.15">
      <c r="A43" s="353">
        <v>20</v>
      </c>
      <c r="B43" s="353" t="s">
        <v>120</v>
      </c>
      <c r="C43" s="370">
        <f>规划指标!G19/规划指标!G24</f>
        <v>0.59</v>
      </c>
      <c r="D43" s="370"/>
      <c r="E43" s="367"/>
      <c r="F43" s="353"/>
    </row>
    <row r="44" spans="1:6" ht="18" customHeight="1" x14ac:dyDescent="0.15">
      <c r="A44" s="353">
        <v>21</v>
      </c>
      <c r="B44" s="353" t="s">
        <v>121</v>
      </c>
      <c r="C44" s="370"/>
      <c r="D44" s="370"/>
      <c r="E44" s="367"/>
      <c r="F44" s="353"/>
    </row>
    <row r="45" spans="1:6" ht="18" customHeight="1" x14ac:dyDescent="0.15">
      <c r="A45" s="353">
        <v>22</v>
      </c>
      <c r="B45" s="353" t="s">
        <v>49</v>
      </c>
      <c r="C45" s="564" t="s">
        <v>530</v>
      </c>
      <c r="D45" s="340"/>
      <c r="E45" s="327"/>
      <c r="F45" s="353" t="s">
        <v>48</v>
      </c>
    </row>
    <row r="46" spans="1:6" ht="18" customHeight="1" x14ac:dyDescent="0.15">
      <c r="A46" s="353">
        <v>23</v>
      </c>
      <c r="B46" s="327" t="s">
        <v>50</v>
      </c>
      <c r="C46" s="337">
        <v>0.1</v>
      </c>
      <c r="D46" s="337"/>
      <c r="E46" s="329"/>
      <c r="F46" s="327" t="s">
        <v>113</v>
      </c>
    </row>
    <row r="47" spans="1:6" ht="18" customHeight="1" x14ac:dyDescent="0.15">
      <c r="A47" s="353">
        <v>24</v>
      </c>
      <c r="B47" s="327" t="s">
        <v>51</v>
      </c>
      <c r="C47" s="337">
        <v>0</v>
      </c>
      <c r="D47" s="337"/>
      <c r="E47" s="329"/>
      <c r="F47" s="327" t="s">
        <v>114</v>
      </c>
    </row>
    <row r="49" s="174" customFormat="1" ht="10.5" customHeight="1" x14ac:dyDescent="0.25"/>
  </sheetData>
  <customSheetViews>
    <customSheetView guid="{62777320-11E7-11D4-8B3D-00E098726125}" showRuler="0" topLeftCell="A20">
      <selection activeCell="C32" sqref="C32"/>
      <pageMargins left="0.75" right="0.75" top="1" bottom="1" header="0.5" footer="0.5"/>
      <pageSetup paperSize="9" orientation="portrait" horizontalDpi="360" verticalDpi="360" copies="0"/>
      <headerFooter alignWithMargins="0"/>
    </customSheetView>
    <customSheetView guid="{33FE80C0-0EDF-11D4-8B3D-001060002050}" showPageBreaks="1" showRuler="0" topLeftCell="A20">
      <selection activeCell="C32" sqref="C32"/>
      <pageMargins left="0.75" right="0.75" top="1" bottom="1" header="0.5" footer="0.5"/>
      <pageSetup paperSize="9" orientation="portrait" horizontalDpi="360" verticalDpi="360" copies="0"/>
      <headerFooter alignWithMargins="0"/>
    </customSheetView>
  </customSheetViews>
  <phoneticPr fontId="4" type="noConversion"/>
  <pageMargins left="0.75" right="0.75" top="1" bottom="1" header="0.5" footer="0.5"/>
  <pageSetup paperSize="9" scale="78" orientation="portrait" horizontalDpi="360" verticalDpi="36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3" tint="0.59999389629810485"/>
  </sheetPr>
  <dimension ref="A1:AB25"/>
  <sheetViews>
    <sheetView view="pageBreakPreview" zoomScale="85" zoomScaleNormal="75" zoomScaleSheetLayoutView="85" workbookViewId="0">
      <pane xSplit="2" ySplit="4" topLeftCell="K5" activePane="bottomRight" state="frozen"/>
      <selection pane="topRight" activeCell="C1" sqref="C1"/>
      <selection pane="bottomLeft" activeCell="A5" sqref="A5"/>
      <selection pane="bottomRight" activeCell="K9" sqref="K9"/>
    </sheetView>
  </sheetViews>
  <sheetFormatPr defaultColWidth="11" defaultRowHeight="15.75" x14ac:dyDescent="0.25"/>
  <cols>
    <col min="1" max="1" width="4.625" style="1" customWidth="1"/>
    <col min="2" max="2" width="27" style="1" customWidth="1"/>
    <col min="3" max="19" width="13.125" style="1" customWidth="1"/>
    <col min="20" max="20" width="9.125" style="1" bestFit="1" customWidth="1"/>
    <col min="21" max="21" width="9.875" style="1" bestFit="1" customWidth="1"/>
    <col min="22" max="24" width="9.125" style="1" bestFit="1" customWidth="1"/>
    <col min="25" max="16384" width="11" style="1"/>
  </cols>
  <sheetData>
    <row r="1" spans="1:28" ht="27.75" customHeight="1" x14ac:dyDescent="0.3">
      <c r="A1" s="836" t="s">
        <v>90</v>
      </c>
      <c r="B1" s="836"/>
      <c r="C1" s="836"/>
      <c r="D1" s="836"/>
      <c r="E1" s="836"/>
      <c r="F1" s="836"/>
      <c r="G1" s="836"/>
      <c r="H1" s="836"/>
      <c r="I1" s="836"/>
      <c r="J1" s="836"/>
      <c r="K1" s="836"/>
      <c r="L1" s="836"/>
      <c r="M1" s="836"/>
      <c r="N1" s="836"/>
      <c r="O1" s="836"/>
      <c r="P1" s="836"/>
      <c r="Q1" s="836"/>
      <c r="R1" s="836"/>
      <c r="S1" s="836"/>
      <c r="T1" s="35"/>
      <c r="U1" s="35"/>
      <c r="V1" s="35"/>
      <c r="W1" s="35"/>
      <c r="X1" s="35"/>
    </row>
    <row r="2" spans="1:28" ht="68.25" customHeight="1" x14ac:dyDescent="0.3">
      <c r="A2" s="36" t="s">
        <v>91</v>
      </c>
      <c r="B2" s="36"/>
      <c r="C2" s="837" t="str">
        <f>基础数据!C5</f>
        <v>北京市密云区檀营乡6005地块R2二类居住用地（编号：京土整储挂（密）[2021]026号）居住项目</v>
      </c>
      <c r="D2" s="837"/>
      <c r="E2" s="837"/>
      <c r="F2" s="837"/>
      <c r="G2" s="837"/>
      <c r="H2" s="837"/>
      <c r="I2" s="837"/>
      <c r="J2" s="837"/>
      <c r="K2" s="837"/>
      <c r="L2" s="837"/>
      <c r="M2" s="837"/>
      <c r="N2" s="837"/>
      <c r="O2" s="837"/>
      <c r="P2" s="837"/>
      <c r="Q2" s="838" t="s">
        <v>8</v>
      </c>
      <c r="R2" s="838"/>
      <c r="S2" s="838"/>
      <c r="T2" s="35"/>
      <c r="U2" s="35"/>
      <c r="V2" s="35"/>
      <c r="W2" s="35"/>
      <c r="X2" s="35"/>
    </row>
    <row r="3" spans="1:28" ht="24.95" customHeight="1" x14ac:dyDescent="0.3">
      <c r="A3" s="48" t="s">
        <v>9</v>
      </c>
      <c r="B3" s="37" t="s">
        <v>81</v>
      </c>
      <c r="C3" s="839" t="str">
        <f>'主表1（成本）'!C3</f>
        <v>2021年</v>
      </c>
      <c r="D3" s="840"/>
      <c r="E3" s="840"/>
      <c r="F3" s="841"/>
      <c r="G3" s="839" t="str">
        <f>'主表1（成本）'!G3</f>
        <v>2022年</v>
      </c>
      <c r="H3" s="840"/>
      <c r="I3" s="840"/>
      <c r="J3" s="841"/>
      <c r="K3" s="839" t="str">
        <f>'主表1（成本）'!K3</f>
        <v>2023年</v>
      </c>
      <c r="L3" s="840"/>
      <c r="M3" s="840"/>
      <c r="N3" s="841"/>
      <c r="O3" s="839" t="str">
        <f>'主表1（成本）'!O3</f>
        <v>2024年</v>
      </c>
      <c r="P3" s="840"/>
      <c r="Q3" s="840"/>
      <c r="R3" s="841"/>
      <c r="S3" s="37" t="s">
        <v>93</v>
      </c>
      <c r="T3" s="35"/>
      <c r="U3" s="35"/>
      <c r="V3" s="35"/>
      <c r="W3" s="35"/>
      <c r="X3" s="35"/>
    </row>
    <row r="4" spans="1:28" ht="24.95" customHeight="1" x14ac:dyDescent="0.3">
      <c r="A4" s="48"/>
      <c r="B4" s="37"/>
      <c r="C4" s="37" t="str">
        <f>'主表1（成本）'!C4</f>
        <v>Q1</v>
      </c>
      <c r="D4" s="37" t="str">
        <f>'主表1（成本）'!D4</f>
        <v>Q2</v>
      </c>
      <c r="E4" s="37" t="str">
        <f>'主表1（成本）'!E4</f>
        <v>Q3</v>
      </c>
      <c r="F4" s="37" t="str">
        <f>'主表1（成本）'!F4</f>
        <v>Q4</v>
      </c>
      <c r="G4" s="37" t="str">
        <f>'主表1（成本）'!G4</f>
        <v>Q1</v>
      </c>
      <c r="H4" s="37" t="str">
        <f>'主表1（成本）'!H4</f>
        <v>Q2</v>
      </c>
      <c r="I4" s="37" t="str">
        <f>'主表1（成本）'!I4</f>
        <v>Q3</v>
      </c>
      <c r="J4" s="37" t="str">
        <f>'主表1（成本）'!J4</f>
        <v>Q4</v>
      </c>
      <c r="K4" s="37" t="str">
        <f>'主表1（成本）'!K4</f>
        <v>Q1</v>
      </c>
      <c r="L4" s="37" t="str">
        <f>'主表1（成本）'!L4</f>
        <v>Q2</v>
      </c>
      <c r="M4" s="37" t="str">
        <f>'主表1（成本）'!M4</f>
        <v>Q3</v>
      </c>
      <c r="N4" s="37" t="str">
        <f>'主表1（成本）'!N4</f>
        <v>Q4</v>
      </c>
      <c r="O4" s="37" t="str">
        <f>'主表1（成本）'!O4</f>
        <v>Q1</v>
      </c>
      <c r="P4" s="37" t="str">
        <f>'主表1（成本）'!P4</f>
        <v>Q2</v>
      </c>
      <c r="Q4" s="37" t="str">
        <f>'主表1（成本）'!Q4</f>
        <v>Q3</v>
      </c>
      <c r="R4" s="37" t="str">
        <f>'主表1（成本）'!R4</f>
        <v>Q4</v>
      </c>
      <c r="S4" s="37"/>
      <c r="T4" s="35"/>
      <c r="U4" s="35"/>
      <c r="V4" s="35"/>
      <c r="W4" s="35"/>
      <c r="X4" s="35"/>
    </row>
    <row r="5" spans="1:28" ht="24.95" customHeight="1" x14ac:dyDescent="0.3">
      <c r="A5" s="37">
        <v>1</v>
      </c>
      <c r="B5" s="48" t="s">
        <v>2</v>
      </c>
      <c r="C5" s="38" t="e">
        <f>ROUND('底表1（销售）'!F27,0)*(1+$C$25)</f>
        <v>#REF!</v>
      </c>
      <c r="D5" s="38" t="e">
        <f>ROUND('底表1（销售）'!G27,0)*(1+$C$25)</f>
        <v>#REF!</v>
      </c>
      <c r="E5" s="38" t="e">
        <f>ROUND('底表1（销售）'!H27,0)*(1+$C$25)</f>
        <v>#REF!</v>
      </c>
      <c r="F5" s="38" t="e">
        <f>ROUND('底表1（销售）'!I27,0)*(1+$C$25)</f>
        <v>#REF!</v>
      </c>
      <c r="G5" s="38" t="e">
        <f>ROUND('底表1（销售）'!J27,0)*(1+$C$25)</f>
        <v>#REF!</v>
      </c>
      <c r="H5" s="38" t="e">
        <f>ROUND('底表1（销售）'!K27,0)*(1+$C$25)</f>
        <v>#REF!</v>
      </c>
      <c r="I5" s="38" t="e">
        <f>ROUND('底表1（销售）'!L27,0)*(1+$C$25)</f>
        <v>#REF!</v>
      </c>
      <c r="J5" s="38" t="e">
        <f>ROUND('底表1（销售）'!M27,0)*(1+$C$25)</f>
        <v>#REF!</v>
      </c>
      <c r="K5" s="38" t="e">
        <f>ROUND('底表1（销售）'!N27,0)*(1+$C$25)</f>
        <v>#REF!</v>
      </c>
      <c r="L5" s="38" t="e">
        <f>ROUND('底表1（销售）'!O27,0)*(1+$C$25)</f>
        <v>#REF!</v>
      </c>
      <c r="M5" s="38" t="e">
        <f>ROUND('底表1（销售）'!P27,0)*(1+$C$25)</f>
        <v>#REF!</v>
      </c>
      <c r="N5" s="38" t="e">
        <f>ROUND('底表1（销售）'!Q27,0)*(1+$C$25)</f>
        <v>#REF!</v>
      </c>
      <c r="O5" s="38" t="e">
        <f>ROUND('底表1（销售）'!R27,0)*(1+$C$25)</f>
        <v>#REF!</v>
      </c>
      <c r="P5" s="38" t="e">
        <f>ROUND('底表1（销售）'!S27,0)*(1+$C$25)</f>
        <v>#REF!</v>
      </c>
      <c r="Q5" s="38" t="e">
        <f>ROUND('底表1（销售）'!T27,0)*(1+$C$25)</f>
        <v>#REF!</v>
      </c>
      <c r="R5" s="38" t="e">
        <f>ROUND('底表1（销售）'!U27,0)*(1+$C$25)</f>
        <v>#REF!</v>
      </c>
      <c r="S5" s="38" t="e">
        <f>SUM(C5:R5)</f>
        <v>#REF!</v>
      </c>
      <c r="T5" s="35" t="e">
        <f>'底表1（销售）'!BS6*(1+$C$25)</f>
        <v>#REF!</v>
      </c>
      <c r="U5" s="35"/>
      <c r="V5" s="35"/>
      <c r="W5" s="35"/>
      <c r="X5" s="35"/>
    </row>
    <row r="6" spans="1:28" ht="24.95" customHeight="1" x14ac:dyDescent="0.3">
      <c r="A6" s="37">
        <v>2</v>
      </c>
      <c r="B6" s="48" t="s">
        <v>69</v>
      </c>
      <c r="C6" s="38" t="e">
        <f>C5/$S$5*'主表1（成本）'!$B$37</f>
        <v>#REF!</v>
      </c>
      <c r="D6" s="38" t="e">
        <f>D5/$S$5*'主表1（成本）'!$B$37</f>
        <v>#REF!</v>
      </c>
      <c r="E6" s="38" t="e">
        <f>E5/$S$5*'主表1（成本）'!$B$37</f>
        <v>#REF!</v>
      </c>
      <c r="F6" s="38" t="e">
        <f>F5/$S$5*'主表1（成本）'!$B$37</f>
        <v>#REF!</v>
      </c>
      <c r="G6" s="38" t="e">
        <f>G5/$S$5*'主表1（成本）'!$B$37</f>
        <v>#REF!</v>
      </c>
      <c r="H6" s="38" t="e">
        <f>H5/$S$5*'主表1（成本）'!$B$37</f>
        <v>#REF!</v>
      </c>
      <c r="I6" s="38" t="e">
        <f>I5/$S$5*'主表1（成本）'!$B$37</f>
        <v>#REF!</v>
      </c>
      <c r="J6" s="38" t="e">
        <f>J5/$S$5*'主表1（成本）'!$B$37</f>
        <v>#REF!</v>
      </c>
      <c r="K6" s="38" t="e">
        <f>K5/$S$5*'主表1（成本）'!$B$37</f>
        <v>#REF!</v>
      </c>
      <c r="L6" s="38" t="e">
        <f>L5/$S$5*'主表1（成本）'!$B$37</f>
        <v>#REF!</v>
      </c>
      <c r="M6" s="38" t="e">
        <f>M5/$S$5*'主表1（成本）'!$B$37</f>
        <v>#REF!</v>
      </c>
      <c r="N6" s="38" t="e">
        <f>N5/$S$5*'主表1（成本）'!$B$37</f>
        <v>#REF!</v>
      </c>
      <c r="O6" s="38" t="e">
        <f>O5/$S$5*'主表1（成本）'!$B$37</f>
        <v>#REF!</v>
      </c>
      <c r="P6" s="38" t="e">
        <f>P5/$S$5*'主表1（成本）'!$B$37</f>
        <v>#REF!</v>
      </c>
      <c r="Q6" s="38" t="e">
        <f>Q5/$S$5*'主表1（成本）'!$B$37</f>
        <v>#REF!</v>
      </c>
      <c r="R6" s="38" t="e">
        <f>R5/$S$5*'主表1（成本）'!$B$37</f>
        <v>#REF!</v>
      </c>
      <c r="S6" s="38" t="e">
        <f>SUM(C6:R6)</f>
        <v>#REF!</v>
      </c>
      <c r="T6" s="35">
        <f>'主表1（成本）'!B37</f>
        <v>277553</v>
      </c>
      <c r="U6" s="35" t="e">
        <f>T6*'底表1（销售）'!BU17/'底表1（销售）'!BU16</f>
        <v>#DIV/0!</v>
      </c>
      <c r="V6" s="35"/>
      <c r="W6" s="35"/>
      <c r="X6" s="35"/>
    </row>
    <row r="7" spans="1:28" ht="24.95" customHeight="1" x14ac:dyDescent="0.3">
      <c r="A7" s="37">
        <v>3</v>
      </c>
      <c r="B7" s="48" t="s">
        <v>137</v>
      </c>
      <c r="C7" s="38" t="e">
        <f>ROUND('底表1（销售）'!F28,0)*(1+$C$25)</f>
        <v>#REF!</v>
      </c>
      <c r="D7" s="38" t="e">
        <f>ROUND('底表1（销售）'!G28,0)*(1+$C$25)</f>
        <v>#REF!</v>
      </c>
      <c r="E7" s="38" t="e">
        <f>ROUND('底表1（销售）'!H28,0)*(1+$C$25)</f>
        <v>#REF!</v>
      </c>
      <c r="F7" s="38" t="e">
        <f>ROUND('底表1（销售）'!I28,0)*(1+$C$25)</f>
        <v>#REF!</v>
      </c>
      <c r="G7" s="38" t="e">
        <f>ROUND('底表1（销售）'!J28,0)*(1+$C$25)</f>
        <v>#REF!</v>
      </c>
      <c r="H7" s="38" t="e">
        <f>ROUND('底表1（销售）'!K28,0)*(1+$C$25)</f>
        <v>#REF!</v>
      </c>
      <c r="I7" s="38" t="e">
        <f>ROUND('底表1（销售）'!L28,0)*(1+$C$25)</f>
        <v>#REF!</v>
      </c>
      <c r="J7" s="38" t="e">
        <f>ROUND('底表1（销售）'!M28,0)*(1+$C$25)</f>
        <v>#REF!</v>
      </c>
      <c r="K7" s="38" t="e">
        <f>ROUND('底表1（销售）'!N28,0)*(1+$C$25)</f>
        <v>#REF!</v>
      </c>
      <c r="L7" s="38" t="e">
        <f>ROUND('底表1（销售）'!O28,0)*(1+$C$25)</f>
        <v>#REF!</v>
      </c>
      <c r="M7" s="38" t="e">
        <f>ROUND('底表1（销售）'!P28,0)*(1+$C$25)</f>
        <v>#REF!</v>
      </c>
      <c r="N7" s="38" t="e">
        <f>ROUND('底表1（销售）'!Q28,0)*(1+$C$25)</f>
        <v>#REF!</v>
      </c>
      <c r="O7" s="38" t="e">
        <f>ROUND('底表1（销售）'!R28,0)*(1+$C$25)</f>
        <v>#REF!</v>
      </c>
      <c r="P7" s="38" t="e">
        <f>ROUND('底表1（销售）'!S28,0)*(1+$C$25)</f>
        <v>#REF!</v>
      </c>
      <c r="Q7" s="38" t="e">
        <f>ROUND('底表1（销售）'!T28,0)*(1+$C$25)</f>
        <v>#REF!</v>
      </c>
      <c r="R7" s="38" t="e">
        <f>ROUND('底表1（销售）'!U28,0)*(1+$C$25)</f>
        <v>#REF!</v>
      </c>
      <c r="S7" s="38" t="e">
        <f>SUM(C7:R7)</f>
        <v>#REF!</v>
      </c>
      <c r="T7" s="35" t="e">
        <f>'底表1（销售）'!BS13*(1+$C$25)</f>
        <v>#REF!</v>
      </c>
      <c r="U7" s="35"/>
      <c r="V7" s="35"/>
      <c r="W7" s="35"/>
      <c r="X7" s="35"/>
    </row>
    <row r="8" spans="1:28" ht="24.95" hidden="1" customHeight="1" x14ac:dyDescent="0.3">
      <c r="A8" s="37">
        <v>4</v>
      </c>
      <c r="B8" s="48" t="s">
        <v>18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>
        <f>SUM(C8:Q8)</f>
        <v>0</v>
      </c>
      <c r="T8" s="35"/>
      <c r="U8" s="35"/>
      <c r="V8" s="35"/>
      <c r="W8" s="35"/>
      <c r="X8" s="35"/>
    </row>
    <row r="9" spans="1:28" s="6" customFormat="1" ht="24.95" customHeight="1" x14ac:dyDescent="0.3">
      <c r="A9" s="37">
        <v>5</v>
      </c>
      <c r="B9" s="48" t="s">
        <v>19</v>
      </c>
      <c r="C9" s="38">
        <f>ROUND(('底表1（销售）'!F21+'底表1（销售）'!F22+'底表1（销售）'!F23)*2%,0)*(1+$C$25)</f>
        <v>0</v>
      </c>
      <c r="D9" s="38">
        <f>ROUND(('底表1（销售）'!G21+'底表1（销售）'!G22+'底表1（销售）'!G23)*2%,0)*(1+$C$25)</f>
        <v>0</v>
      </c>
      <c r="E9" s="38">
        <f>ROUND(('底表1（销售）'!H21+'底表1（销售）'!H22+'底表1（销售）'!H23)*2%,0)*(1+$C$25)</f>
        <v>0</v>
      </c>
      <c r="F9" s="38">
        <f>ROUND(('底表1（销售）'!I21+'底表1（销售）'!I22+'底表1（销售）'!I23)*2%,0)*(1+$C$25)</f>
        <v>0</v>
      </c>
      <c r="G9" s="38">
        <f>ROUND(('底表1（销售）'!J21+'底表1（销售）'!J22+'底表1（销售）'!J23)*2%,0)*(1+$C$25)</f>
        <v>1246</v>
      </c>
      <c r="H9" s="38">
        <f>ROUND(('底表1（销售）'!K21+'底表1（销售）'!K22+'底表1（销售）'!K23)*2%,0)*(1+$C$25)</f>
        <v>1984</v>
      </c>
      <c r="I9" s="38">
        <f>ROUND(('底表1（销售）'!L21+'底表1（销售）'!L22+'底表1（销售）'!L23)*2%,0)*(1+$C$25)</f>
        <v>1581</v>
      </c>
      <c r="J9" s="38">
        <f>ROUND(('底表1（销售）'!M21+'底表1（销售）'!M22+'底表1（销售）'!M23)*2%,0)*(1+$C$25)</f>
        <v>1437</v>
      </c>
      <c r="K9" s="38">
        <f>ROUND(('底表1（销售）'!N21+'底表1（销售）'!N22+'底表1（销售）'!N23)*2%,0)*(1+$C$25)</f>
        <v>1037</v>
      </c>
      <c r="L9" s="38">
        <f>ROUND(('底表1（销售）'!O21+'底表1（销售）'!O22+'底表1（销售）'!O23)*2%,0)*(1+$C$25)</f>
        <v>0</v>
      </c>
      <c r="M9" s="38">
        <f>ROUND(('底表1（销售）'!P21+'底表1（销售）'!P22+'底表1（销售）'!P23)*2%,0)*(1+$C$25)</f>
        <v>0</v>
      </c>
      <c r="N9" s="38">
        <f>ROUND(('底表1（销售）'!Q21+'底表1（销售）'!Q22+'底表1（销售）'!Q23)*2%,0)*(1+$C$25)</f>
        <v>0</v>
      </c>
      <c r="O9" s="38">
        <f>ROUND(('底表1（销售）'!R21+'底表1（销售）'!R22+'底表1（销售）'!R23)*2%,0)*(1+$C$25)</f>
        <v>0</v>
      </c>
      <c r="P9" s="38">
        <f>ROUND(('底表1（销售）'!S21+'底表1（销售）'!S22+'底表1（销售）'!S23)*2%,0)*(1+$C$25)</f>
        <v>0</v>
      </c>
      <c r="Q9" s="38">
        <f>ROUND(('底表1（销售）'!T21+'底表1（销售）'!T22+'底表1（销售）'!T23)*2%,0)*(1+$C$25)</f>
        <v>0</v>
      </c>
      <c r="R9" s="38">
        <f>ROUND(('底表1（销售）'!U21+'底表1（销售）'!U22+'底表1（销售）'!U23)*2%,0)*(1+$C$25)</f>
        <v>0</v>
      </c>
      <c r="S9" s="38">
        <f t="shared" ref="S9:S19" si="0">SUM(C9:R9)</f>
        <v>7285</v>
      </c>
      <c r="T9" s="39">
        <f>S9</f>
        <v>7285</v>
      </c>
      <c r="U9" s="40"/>
      <c r="V9" s="35"/>
      <c r="W9" s="34" t="s">
        <v>170</v>
      </c>
      <c r="X9" s="34" t="s">
        <v>171</v>
      </c>
      <c r="Y9" s="19"/>
      <c r="Z9" s="19" t="s">
        <v>172</v>
      </c>
      <c r="AA9" s="19" t="s">
        <v>173</v>
      </c>
      <c r="AB9" s="19" t="s">
        <v>174</v>
      </c>
    </row>
    <row r="10" spans="1:28" ht="24.95" customHeight="1" x14ac:dyDescent="0.3">
      <c r="A10" s="37">
        <v>6</v>
      </c>
      <c r="B10" s="48" t="s">
        <v>42</v>
      </c>
      <c r="C10" s="38">
        <f>'主表1（成本）'!C32*(1+$C$25)</f>
        <v>0</v>
      </c>
      <c r="D10" s="38">
        <f>'主表1（成本）'!D32*(1+$C$25)</f>
        <v>0</v>
      </c>
      <c r="E10" s="38">
        <f>'主表1（成本）'!E32*(1+$C$25)</f>
        <v>0</v>
      </c>
      <c r="F10" s="38">
        <f>'主表1（成本）'!F32*(1+$C$25)</f>
        <v>1103</v>
      </c>
      <c r="G10" s="38">
        <f>'主表1（成本）'!G32*(1+$C$25)</f>
        <v>1093</v>
      </c>
      <c r="H10" s="38">
        <f>'主表1（成本）'!H32*(1+$C$25)</f>
        <v>1301</v>
      </c>
      <c r="I10" s="38">
        <f>'主表1（成本）'!I32*(1+$C$25)</f>
        <v>1262</v>
      </c>
      <c r="J10" s="38">
        <f>'主表1（成本）'!J32*(1+$C$25)</f>
        <v>947</v>
      </c>
      <c r="K10" s="38">
        <f>'主表1（成本）'!K32*(1+$C$25)</f>
        <v>826</v>
      </c>
      <c r="L10" s="38">
        <f>'主表1（成本）'!L32*(1+$C$25)</f>
        <v>523</v>
      </c>
      <c r="M10" s="38">
        <f>'主表1（成本）'!M32*(1+$C$25)</f>
        <v>323</v>
      </c>
      <c r="N10" s="38">
        <f>'主表1（成本）'!N32*(1+$C$25)</f>
        <v>288</v>
      </c>
      <c r="O10" s="38">
        <f>'主表1（成本）'!O32*(1+$C$25)</f>
        <v>111</v>
      </c>
      <c r="P10" s="38">
        <f>'主表1（成本）'!P32*(1+$C$25)</f>
        <v>12</v>
      </c>
      <c r="Q10" s="38">
        <f>'主表1（成本）'!Q32*(1+$C$25)</f>
        <v>0</v>
      </c>
      <c r="R10" s="38">
        <f>'主表1（成本）'!R32*(1+$C$25)</f>
        <v>0</v>
      </c>
      <c r="S10" s="38">
        <f t="shared" si="0"/>
        <v>7789</v>
      </c>
      <c r="T10" s="35">
        <f>'主表1（成本）'!B32</f>
        <v>7082</v>
      </c>
      <c r="U10" s="40"/>
      <c r="V10" s="35"/>
      <c r="W10" s="34" t="e">
        <f>ROUND(S6+'底表1（销售）'!BS13+'主表4-1（敏感性分析 销售+10%）'!S6*20%,0)</f>
        <v>#REF!</v>
      </c>
      <c r="X10" s="41" t="e">
        <f>S5/1.09-W10</f>
        <v>#REF!</v>
      </c>
      <c r="Y10" s="20"/>
      <c r="Z10" s="21" t="e">
        <f>X10/W10</f>
        <v>#REF!</v>
      </c>
      <c r="AA10" s="22">
        <v>0.3</v>
      </c>
      <c r="AB10" s="22">
        <v>0</v>
      </c>
    </row>
    <row r="11" spans="1:28" ht="24.95" customHeight="1" x14ac:dyDescent="0.3">
      <c r="A11" s="37">
        <v>7</v>
      </c>
      <c r="B11" s="48" t="s">
        <v>68</v>
      </c>
      <c r="C11" s="38">
        <f>'主表1（成本）'!C33</f>
        <v>0</v>
      </c>
      <c r="D11" s="38">
        <f>'主表1（成本）'!D33</f>
        <v>3476</v>
      </c>
      <c r="E11" s="38">
        <f>'主表1（成本）'!E33</f>
        <v>474</v>
      </c>
      <c r="F11" s="38">
        <f>'主表1（成本）'!F33</f>
        <v>252</v>
      </c>
      <c r="G11" s="38">
        <f>'主表1（成本）'!G33</f>
        <v>165</v>
      </c>
      <c r="H11" s="38">
        <f>'主表1（成本）'!H33</f>
        <v>165</v>
      </c>
      <c r="I11" s="38">
        <f>'主表1（成本）'!I33</f>
        <v>165</v>
      </c>
      <c r="J11" s="38">
        <f>'主表1（成本）'!J33</f>
        <v>165</v>
      </c>
      <c r="K11" s="38">
        <f>'主表1（成本）'!K33</f>
        <v>132</v>
      </c>
      <c r="L11" s="38">
        <f>'主表1（成本）'!L33</f>
        <v>132</v>
      </c>
      <c r="M11" s="38">
        <f>'主表1（成本）'!M33</f>
        <v>99</v>
      </c>
      <c r="N11" s="38">
        <f>'主表1（成本）'!N33</f>
        <v>99</v>
      </c>
      <c r="O11" s="38">
        <f>'主表1（成本）'!O33</f>
        <v>82</v>
      </c>
      <c r="P11" s="38">
        <f>'主表1（成本）'!P33</f>
        <v>82</v>
      </c>
      <c r="Q11" s="38">
        <f>'主表1（成本）'!Q33</f>
        <v>0</v>
      </c>
      <c r="R11" s="38">
        <f>'主表1（成本）'!R33</f>
        <v>0</v>
      </c>
      <c r="S11" s="38">
        <f t="shared" si="0"/>
        <v>5488</v>
      </c>
      <c r="T11" s="35">
        <f>'主表1（成本）'!B33</f>
        <v>5488</v>
      </c>
      <c r="U11" s="40"/>
      <c r="V11" s="35"/>
      <c r="W11" s="35"/>
      <c r="X11" s="35"/>
    </row>
    <row r="12" spans="1:28" ht="24.95" hidden="1" customHeight="1" x14ac:dyDescent="0.3">
      <c r="A12" s="37">
        <v>8</v>
      </c>
      <c r="B12" s="48" t="s">
        <v>29</v>
      </c>
      <c r="C12" s="38">
        <f>'主表1（成本）'!C34</f>
        <v>0</v>
      </c>
      <c r="D12" s="38"/>
      <c r="E12" s="38"/>
      <c r="F12" s="38"/>
      <c r="G12" s="38"/>
      <c r="H12" s="38"/>
      <c r="I12" s="38"/>
      <c r="J12" s="38"/>
      <c r="K12" s="38"/>
      <c r="L12" s="38"/>
      <c r="M12" s="42">
        <f>'主表1（成本）'!M34</f>
        <v>0</v>
      </c>
      <c r="N12" s="42">
        <f>'主表1（成本）'!N34</f>
        <v>0</v>
      </c>
      <c r="O12" s="38">
        <f>'主表1（成本）'!O34</f>
        <v>0</v>
      </c>
      <c r="P12" s="38">
        <f>'主表1（成本）'!P34</f>
        <v>0</v>
      </c>
      <c r="Q12" s="38"/>
      <c r="R12" s="38"/>
      <c r="S12" s="38">
        <f t="shared" si="0"/>
        <v>0</v>
      </c>
      <c r="T12" s="35">
        <f>'主表1（成本）'!B34</f>
        <v>12470</v>
      </c>
      <c r="U12" s="40"/>
      <c r="V12" s="35"/>
      <c r="W12" s="35"/>
      <c r="X12" s="35"/>
    </row>
    <row r="13" spans="1:28" ht="24.95" customHeight="1" x14ac:dyDescent="0.3">
      <c r="A13" s="37">
        <v>9</v>
      </c>
      <c r="B13" s="48" t="s">
        <v>3</v>
      </c>
      <c r="C13" s="38" t="e">
        <f>C5-C6-C7-C8-C9-C10-C11-C12</f>
        <v>#REF!</v>
      </c>
      <c r="D13" s="38" t="e">
        <f t="shared" ref="D13:R13" si="1">D5-D6-D7-D8-D9-D10-D11-D12</f>
        <v>#REF!</v>
      </c>
      <c r="E13" s="38" t="e">
        <f t="shared" si="1"/>
        <v>#REF!</v>
      </c>
      <c r="F13" s="38" t="e">
        <f t="shared" si="1"/>
        <v>#REF!</v>
      </c>
      <c r="G13" s="38" t="e">
        <f t="shared" si="1"/>
        <v>#REF!</v>
      </c>
      <c r="H13" s="38" t="e">
        <f t="shared" si="1"/>
        <v>#REF!</v>
      </c>
      <c r="I13" s="38" t="e">
        <f t="shared" si="1"/>
        <v>#REF!</v>
      </c>
      <c r="J13" s="38" t="e">
        <f t="shared" si="1"/>
        <v>#REF!</v>
      </c>
      <c r="K13" s="38" t="e">
        <f t="shared" si="1"/>
        <v>#REF!</v>
      </c>
      <c r="L13" s="38" t="e">
        <f t="shared" si="1"/>
        <v>#REF!</v>
      </c>
      <c r="M13" s="38" t="e">
        <f t="shared" si="1"/>
        <v>#REF!</v>
      </c>
      <c r="N13" s="38" t="e">
        <f t="shared" si="1"/>
        <v>#REF!</v>
      </c>
      <c r="O13" s="38" t="e">
        <f t="shared" si="1"/>
        <v>#REF!</v>
      </c>
      <c r="P13" s="38" t="e">
        <f t="shared" si="1"/>
        <v>#REF!</v>
      </c>
      <c r="Q13" s="38" t="e">
        <f t="shared" si="1"/>
        <v>#REF!</v>
      </c>
      <c r="R13" s="38" t="e">
        <f t="shared" si="1"/>
        <v>#REF!</v>
      </c>
      <c r="S13" s="38" t="e">
        <f>SUM(C13:R13)</f>
        <v>#REF!</v>
      </c>
      <c r="T13" s="35"/>
      <c r="U13" s="39" t="e">
        <f>C13</f>
        <v>#REF!</v>
      </c>
      <c r="V13" s="39" t="e">
        <f>M13+C13</f>
        <v>#REF!</v>
      </c>
      <c r="W13" s="39" t="e">
        <f>N13+M13+C13</f>
        <v>#REF!</v>
      </c>
      <c r="X13" s="39"/>
      <c r="Y13" s="3"/>
      <c r="Z13" s="3"/>
    </row>
    <row r="14" spans="1:28" s="6" customFormat="1" ht="24.95" customHeight="1" x14ac:dyDescent="0.3">
      <c r="A14" s="37">
        <v>10</v>
      </c>
      <c r="B14" s="48" t="s">
        <v>31</v>
      </c>
      <c r="C14" s="38"/>
      <c r="D14" s="38"/>
      <c r="E14" s="38"/>
      <c r="F14" s="38" t="e">
        <f>IF((SUM($C$13:F13))&lt;0,0,IF(SUM($C$13:F13)&gt;=0,(SUM($C$13:F13)*基础数据!$C$42)))</f>
        <v>#REF!</v>
      </c>
      <c r="G14" s="38"/>
      <c r="H14" s="38"/>
      <c r="I14" s="38"/>
      <c r="J14" s="38" t="e">
        <f>IF((SUM($C$13:J13))&lt;0,0,IF(SUM($C$13:J13)&gt;=0,(SUM($C$13:J13)*基础数据!$C$42)))</f>
        <v>#REF!</v>
      </c>
      <c r="K14" s="38"/>
      <c r="L14" s="38"/>
      <c r="M14" s="38"/>
      <c r="N14" s="38" t="e">
        <f>IF((SUM($K$13:N13))&lt;0,0,IF(SUM($K$13:N13)&gt;=0,(SUM($K$13:N13)*基础数据!$C$42)))</f>
        <v>#REF!</v>
      </c>
      <c r="O14" s="38"/>
      <c r="P14" s="38"/>
      <c r="Q14" s="38"/>
      <c r="R14" s="38" t="e">
        <f>IF((SUM($O$13:R13))&lt;0,0,IF(SUM($O$13:R13)&gt;=0,(SUM($O$13:R13)*基础数据!$C$42)))</f>
        <v>#REF!</v>
      </c>
      <c r="S14" s="38" t="e">
        <f>SUM(C14:R14)</f>
        <v>#REF!</v>
      </c>
      <c r="T14" s="35"/>
      <c r="U14" s="35"/>
      <c r="V14" s="35"/>
      <c r="W14" s="35"/>
      <c r="X14" s="35"/>
    </row>
    <row r="15" spans="1:28" ht="24.95" customHeight="1" x14ac:dyDescent="0.3">
      <c r="A15" s="37">
        <v>11</v>
      </c>
      <c r="B15" s="48" t="s">
        <v>26</v>
      </c>
      <c r="C15" s="38" t="e">
        <f>C13-C14</f>
        <v>#REF!</v>
      </c>
      <c r="D15" s="38" t="e">
        <f t="shared" ref="D15:R15" si="2">D13-D14</f>
        <v>#REF!</v>
      </c>
      <c r="E15" s="38" t="e">
        <f t="shared" si="2"/>
        <v>#REF!</v>
      </c>
      <c r="F15" s="38" t="e">
        <f t="shared" si="2"/>
        <v>#REF!</v>
      </c>
      <c r="G15" s="38" t="e">
        <f t="shared" si="2"/>
        <v>#REF!</v>
      </c>
      <c r="H15" s="38" t="e">
        <f t="shared" si="2"/>
        <v>#REF!</v>
      </c>
      <c r="I15" s="38" t="e">
        <f t="shared" si="2"/>
        <v>#REF!</v>
      </c>
      <c r="J15" s="38" t="e">
        <f t="shared" si="2"/>
        <v>#REF!</v>
      </c>
      <c r="K15" s="38" t="e">
        <f t="shared" si="2"/>
        <v>#REF!</v>
      </c>
      <c r="L15" s="38" t="e">
        <f t="shared" si="2"/>
        <v>#REF!</v>
      </c>
      <c r="M15" s="38" t="e">
        <f t="shared" si="2"/>
        <v>#REF!</v>
      </c>
      <c r="N15" s="38" t="e">
        <f t="shared" si="2"/>
        <v>#REF!</v>
      </c>
      <c r="O15" s="38" t="e">
        <f t="shared" si="2"/>
        <v>#REF!</v>
      </c>
      <c r="P15" s="38" t="e">
        <f t="shared" si="2"/>
        <v>#REF!</v>
      </c>
      <c r="Q15" s="38" t="e">
        <f t="shared" si="2"/>
        <v>#REF!</v>
      </c>
      <c r="R15" s="38" t="e">
        <f t="shared" si="2"/>
        <v>#REF!</v>
      </c>
      <c r="S15" s="38" t="e">
        <f t="shared" si="0"/>
        <v>#REF!</v>
      </c>
      <c r="T15" s="35"/>
      <c r="U15" s="35"/>
      <c r="V15" s="35"/>
      <c r="W15" s="35"/>
      <c r="X15" s="35"/>
    </row>
    <row r="16" spans="1:28" ht="24.95" customHeight="1" x14ac:dyDescent="0.3">
      <c r="A16" s="37">
        <v>12</v>
      </c>
      <c r="B16" s="48" t="s">
        <v>103</v>
      </c>
      <c r="C16" s="38"/>
      <c r="D16" s="38" t="e">
        <f>C21</f>
        <v>#REF!</v>
      </c>
      <c r="E16" s="38" t="e">
        <f t="shared" ref="E16:R16" si="3">D21</f>
        <v>#REF!</v>
      </c>
      <c r="F16" s="38" t="e">
        <f t="shared" si="3"/>
        <v>#REF!</v>
      </c>
      <c r="G16" s="38" t="e">
        <f t="shared" si="3"/>
        <v>#REF!</v>
      </c>
      <c r="H16" s="38" t="e">
        <f t="shared" si="3"/>
        <v>#REF!</v>
      </c>
      <c r="I16" s="38" t="e">
        <f t="shared" si="3"/>
        <v>#REF!</v>
      </c>
      <c r="J16" s="38" t="e">
        <f t="shared" si="3"/>
        <v>#REF!</v>
      </c>
      <c r="K16" s="38" t="e">
        <f t="shared" si="3"/>
        <v>#REF!</v>
      </c>
      <c r="L16" s="38" t="e">
        <f t="shared" si="3"/>
        <v>#REF!</v>
      </c>
      <c r="M16" s="38" t="e">
        <f t="shared" si="3"/>
        <v>#REF!</v>
      </c>
      <c r="N16" s="38" t="e">
        <f t="shared" si="3"/>
        <v>#REF!</v>
      </c>
      <c r="O16" s="38" t="e">
        <f t="shared" si="3"/>
        <v>#REF!</v>
      </c>
      <c r="P16" s="38" t="e">
        <f t="shared" si="3"/>
        <v>#REF!</v>
      </c>
      <c r="Q16" s="38" t="e">
        <f t="shared" si="3"/>
        <v>#REF!</v>
      </c>
      <c r="R16" s="38" t="e">
        <f t="shared" si="3"/>
        <v>#REF!</v>
      </c>
      <c r="S16" s="38"/>
      <c r="T16" s="35"/>
      <c r="U16" s="35"/>
      <c r="V16" s="35"/>
      <c r="W16" s="35"/>
      <c r="X16" s="35"/>
    </row>
    <row r="17" spans="1:24" ht="24.95" customHeight="1" x14ac:dyDescent="0.3">
      <c r="A17" s="37">
        <v>13</v>
      </c>
      <c r="B17" s="48" t="s">
        <v>27</v>
      </c>
      <c r="C17" s="38" t="e">
        <f>C16+C15</f>
        <v>#REF!</v>
      </c>
      <c r="D17" s="38" t="e">
        <f t="shared" ref="D17:R17" si="4">D16+D15</f>
        <v>#REF!</v>
      </c>
      <c r="E17" s="38" t="e">
        <f t="shared" si="4"/>
        <v>#REF!</v>
      </c>
      <c r="F17" s="38" t="e">
        <f t="shared" si="4"/>
        <v>#REF!</v>
      </c>
      <c r="G17" s="38" t="e">
        <f t="shared" si="4"/>
        <v>#REF!</v>
      </c>
      <c r="H17" s="38" t="e">
        <f t="shared" si="4"/>
        <v>#REF!</v>
      </c>
      <c r="I17" s="38" t="e">
        <f t="shared" si="4"/>
        <v>#REF!</v>
      </c>
      <c r="J17" s="38" t="e">
        <f t="shared" si="4"/>
        <v>#REF!</v>
      </c>
      <c r="K17" s="38" t="e">
        <f t="shared" si="4"/>
        <v>#REF!</v>
      </c>
      <c r="L17" s="38" t="e">
        <f t="shared" si="4"/>
        <v>#REF!</v>
      </c>
      <c r="M17" s="38" t="e">
        <f t="shared" si="4"/>
        <v>#REF!</v>
      </c>
      <c r="N17" s="38" t="e">
        <f t="shared" si="4"/>
        <v>#REF!</v>
      </c>
      <c r="O17" s="38" t="e">
        <f t="shared" si="4"/>
        <v>#REF!</v>
      </c>
      <c r="P17" s="38" t="e">
        <f t="shared" si="4"/>
        <v>#REF!</v>
      </c>
      <c r="Q17" s="38" t="e">
        <f t="shared" si="4"/>
        <v>#REF!</v>
      </c>
      <c r="R17" s="38" t="e">
        <f t="shared" si="4"/>
        <v>#REF!</v>
      </c>
      <c r="S17" s="38"/>
      <c r="T17" s="35"/>
      <c r="U17" s="35"/>
      <c r="V17" s="35"/>
      <c r="W17" s="35"/>
      <c r="X17" s="35"/>
    </row>
    <row r="18" spans="1:24" s="6" customFormat="1" ht="24.95" customHeight="1" x14ac:dyDescent="0.3">
      <c r="A18" s="37">
        <v>14</v>
      </c>
      <c r="B18" s="48" t="s">
        <v>138</v>
      </c>
      <c r="C18" s="38"/>
      <c r="D18" s="38"/>
      <c r="E18" s="38"/>
      <c r="F18" s="38" t="e">
        <f>IF(SUM(C15:F15)&lt;0,0,IF(SUM(C15:F15)&gt;=0,SUM(C15:F15)*基础数据!$C$46))</f>
        <v>#REF!</v>
      </c>
      <c r="G18" s="38"/>
      <c r="H18" s="38"/>
      <c r="I18" s="38"/>
      <c r="J18" s="38" t="e">
        <f>IF(SUM(G15:J15)&lt;0,0,IF(SUM(G15:J15)&gt;=0,SUM(G15:J15)*基础数据!$C$46))</f>
        <v>#REF!</v>
      </c>
      <c r="K18" s="38"/>
      <c r="L18" s="38"/>
      <c r="M18" s="38"/>
      <c r="N18" s="38" t="e">
        <f>IF(SUM(K15:N15)&lt;0,0,IF(SUM(K15:N15)&gt;=0,SUM(K15:N15)*基础数据!$C$46))</f>
        <v>#REF!</v>
      </c>
      <c r="O18" s="38"/>
      <c r="P18" s="38"/>
      <c r="Q18" s="38"/>
      <c r="R18" s="38" t="e">
        <f>IF(SUM(O15:R15)&lt;0,0,IF(SUM(O15:R15)&gt;=0,SUM(O15:R15)*基础数据!$C$46))</f>
        <v>#REF!</v>
      </c>
      <c r="S18" s="38" t="e">
        <f t="shared" si="0"/>
        <v>#REF!</v>
      </c>
      <c r="T18" s="35"/>
      <c r="U18" s="35"/>
      <c r="V18" s="35"/>
      <c r="W18" s="35"/>
      <c r="X18" s="35"/>
    </row>
    <row r="19" spans="1:24" s="6" customFormat="1" ht="24.95" hidden="1" customHeight="1" x14ac:dyDescent="0.3">
      <c r="A19" s="37">
        <v>15</v>
      </c>
      <c r="B19" s="48"/>
      <c r="C19" s="38" t="e">
        <f>IF(C15&lt;0,0,IF(C15&gt;=0,C15*基础数据!$C$47))</f>
        <v>#REF!</v>
      </c>
      <c r="D19" s="38"/>
      <c r="E19" s="38"/>
      <c r="F19" s="38"/>
      <c r="G19" s="38"/>
      <c r="H19" s="38"/>
      <c r="I19" s="38"/>
      <c r="J19" s="38"/>
      <c r="K19" s="38"/>
      <c r="L19" s="38"/>
      <c r="M19" s="38" t="e">
        <f>IF(M15&lt;0,0,IF(M15&gt;=0,M15*基础数据!$C$47))</f>
        <v>#REF!</v>
      </c>
      <c r="N19" s="38" t="e">
        <f>IF(N15&lt;0,0,IF(N15&gt;=0,N15*基础数据!$C$47))</f>
        <v>#REF!</v>
      </c>
      <c r="O19" s="38" t="e">
        <f>IF(O15&lt;0,0,IF(O15&gt;=0,O15*基础数据!$C$47))</f>
        <v>#REF!</v>
      </c>
      <c r="P19" s="38" t="e">
        <f>IF(P15&lt;0,0,IF(P15&gt;=0,P15*基础数据!$C$47))</f>
        <v>#REF!</v>
      </c>
      <c r="Q19" s="38"/>
      <c r="R19" s="38"/>
      <c r="S19" s="38" t="e">
        <f t="shared" si="0"/>
        <v>#REF!</v>
      </c>
      <c r="T19" s="35"/>
      <c r="U19" s="35"/>
      <c r="V19" s="35"/>
      <c r="W19" s="35"/>
      <c r="X19" s="35"/>
    </row>
    <row r="20" spans="1:24" ht="24.95" hidden="1" customHeight="1" x14ac:dyDescent="0.3">
      <c r="A20" s="37">
        <v>16</v>
      </c>
      <c r="B20" s="48" t="s">
        <v>105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>
        <f>SUM(C20:Q20)</f>
        <v>0</v>
      </c>
      <c r="T20" s="35"/>
      <c r="U20" s="35"/>
      <c r="V20" s="35"/>
      <c r="W20" s="43" t="e">
        <f>S13/S5</f>
        <v>#REF!</v>
      </c>
      <c r="X20" s="35"/>
    </row>
    <row r="21" spans="1:24" ht="24.95" customHeight="1" x14ac:dyDescent="0.3">
      <c r="A21" s="37">
        <v>17</v>
      </c>
      <c r="B21" s="48" t="s">
        <v>28</v>
      </c>
      <c r="C21" s="38" t="e">
        <f>C17-C18-C20</f>
        <v>#REF!</v>
      </c>
      <c r="D21" s="38" t="e">
        <f t="shared" ref="D21:R21" si="5">D17-D18-D20</f>
        <v>#REF!</v>
      </c>
      <c r="E21" s="38" t="e">
        <f t="shared" si="5"/>
        <v>#REF!</v>
      </c>
      <c r="F21" s="38" t="e">
        <f>F17-F18-F20</f>
        <v>#REF!</v>
      </c>
      <c r="G21" s="38" t="e">
        <f t="shared" si="5"/>
        <v>#REF!</v>
      </c>
      <c r="H21" s="38" t="e">
        <f t="shared" si="5"/>
        <v>#REF!</v>
      </c>
      <c r="I21" s="38" t="e">
        <f t="shared" si="5"/>
        <v>#REF!</v>
      </c>
      <c r="J21" s="38" t="e">
        <f t="shared" si="5"/>
        <v>#REF!</v>
      </c>
      <c r="K21" s="38" t="e">
        <f t="shared" si="5"/>
        <v>#REF!</v>
      </c>
      <c r="L21" s="38" t="e">
        <f t="shared" si="5"/>
        <v>#REF!</v>
      </c>
      <c r="M21" s="38" t="e">
        <f t="shared" si="5"/>
        <v>#REF!</v>
      </c>
      <c r="N21" s="38" t="e">
        <f t="shared" si="5"/>
        <v>#REF!</v>
      </c>
      <c r="O21" s="38" t="e">
        <f t="shared" si="5"/>
        <v>#REF!</v>
      </c>
      <c r="P21" s="38" t="e">
        <f t="shared" si="5"/>
        <v>#REF!</v>
      </c>
      <c r="Q21" s="38" t="e">
        <f t="shared" si="5"/>
        <v>#REF!</v>
      </c>
      <c r="R21" s="38" t="e">
        <f t="shared" si="5"/>
        <v>#REF!</v>
      </c>
      <c r="S21" s="38"/>
      <c r="T21" s="35"/>
      <c r="U21" s="35"/>
      <c r="V21" s="35"/>
      <c r="W21" s="43">
        <f>结论表!J10</f>
        <v>0.13400000000000001</v>
      </c>
      <c r="X21" s="35"/>
    </row>
    <row r="24" spans="1:24" hidden="1" x14ac:dyDescent="0.25">
      <c r="B24" s="2" t="s">
        <v>73</v>
      </c>
      <c r="C24" s="4" t="e">
        <f>(S12+S13)/S12</f>
        <v>#REF!</v>
      </c>
      <c r="D24" s="4"/>
      <c r="E24" s="4"/>
      <c r="F24" s="4"/>
      <c r="G24" s="4"/>
      <c r="H24" s="4"/>
      <c r="I24" s="4"/>
      <c r="J24" s="4"/>
      <c r="K24" s="4"/>
      <c r="L24" s="4"/>
      <c r="M24" s="5" t="s">
        <v>74</v>
      </c>
    </row>
    <row r="25" spans="1:24" ht="18" x14ac:dyDescent="0.3">
      <c r="B25" s="23" t="s">
        <v>178</v>
      </c>
      <c r="C25" s="24">
        <v>0.1</v>
      </c>
      <c r="J25" s="3"/>
    </row>
  </sheetData>
  <mergeCells count="7">
    <mergeCell ref="A1:S1"/>
    <mergeCell ref="C2:P2"/>
    <mergeCell ref="Q2:S2"/>
    <mergeCell ref="C3:F3"/>
    <mergeCell ref="G3:J3"/>
    <mergeCell ref="K3:N3"/>
    <mergeCell ref="O3:R3"/>
  </mergeCells>
  <phoneticPr fontId="19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theme="3" tint="0.79998168889431442"/>
  </sheetPr>
  <dimension ref="A1:T29"/>
  <sheetViews>
    <sheetView view="pageBreakPreview" topLeftCell="G1" zoomScale="115" zoomScaleNormal="100" zoomScaleSheetLayoutView="115" workbookViewId="0">
      <selection activeCell="D18" sqref="D18:R18"/>
    </sheetView>
  </sheetViews>
  <sheetFormatPr defaultColWidth="11" defaultRowHeight="18" x14ac:dyDescent="0.3"/>
  <cols>
    <col min="1" max="1" width="4.625" style="26" customWidth="1"/>
    <col min="2" max="2" width="22.125" style="26" customWidth="1"/>
    <col min="3" max="17" width="9.625" style="26" customWidth="1"/>
    <col min="18" max="18" width="11" style="26" customWidth="1"/>
    <col min="19" max="19" width="8.875" style="26" customWidth="1"/>
    <col min="20" max="16384" width="11" style="26"/>
  </cols>
  <sheetData>
    <row r="1" spans="1:20" ht="24" customHeight="1" x14ac:dyDescent="0.3">
      <c r="A1" s="831" t="s">
        <v>12</v>
      </c>
      <c r="B1" s="831"/>
      <c r="C1" s="831"/>
      <c r="D1" s="831"/>
      <c r="E1" s="831"/>
      <c r="F1" s="831"/>
      <c r="G1" s="831"/>
      <c r="H1" s="831"/>
      <c r="I1" s="831"/>
      <c r="J1" s="831"/>
      <c r="K1" s="831"/>
      <c r="L1" s="831"/>
      <c r="M1" s="831"/>
      <c r="N1" s="831"/>
      <c r="O1" s="831"/>
      <c r="P1" s="831"/>
      <c r="Q1" s="831"/>
      <c r="R1" s="831"/>
      <c r="S1" s="46"/>
    </row>
    <row r="2" spans="1:20" ht="49.5" customHeight="1" x14ac:dyDescent="0.3">
      <c r="A2" s="27" t="s">
        <v>175</v>
      </c>
      <c r="B2" s="27"/>
      <c r="C2" s="832" t="str">
        <f>基础数据!C5</f>
        <v>北京市密云区檀营乡6005地块R2二类居住用地（编号：京土整储挂（密）[2021]026号）居住项目</v>
      </c>
      <c r="D2" s="832"/>
      <c r="E2" s="832"/>
      <c r="F2" s="832"/>
      <c r="G2" s="832"/>
      <c r="H2" s="832"/>
      <c r="I2" s="832"/>
      <c r="J2" s="832"/>
      <c r="K2" s="832"/>
      <c r="L2" s="832"/>
      <c r="M2" s="832"/>
      <c r="N2" s="832"/>
      <c r="O2" s="832"/>
      <c r="P2" s="832"/>
      <c r="Q2" s="832"/>
      <c r="R2" s="832"/>
      <c r="S2" s="46"/>
    </row>
    <row r="3" spans="1:20" ht="24" customHeight="1" x14ac:dyDescent="0.3">
      <c r="A3" s="28" t="s">
        <v>9</v>
      </c>
      <c r="B3" s="28" t="s">
        <v>81</v>
      </c>
      <c r="C3" s="833" t="str">
        <f>'主表1（成本）'!C3</f>
        <v>2021年</v>
      </c>
      <c r="D3" s="834"/>
      <c r="E3" s="834"/>
      <c r="F3" s="835"/>
      <c r="G3" s="833" t="str">
        <f>'主表1（成本）'!G3</f>
        <v>2022年</v>
      </c>
      <c r="H3" s="834"/>
      <c r="I3" s="834"/>
      <c r="J3" s="835"/>
      <c r="K3" s="833" t="str">
        <f>'主表1（成本）'!K3</f>
        <v>2023年</v>
      </c>
      <c r="L3" s="834"/>
      <c r="M3" s="834"/>
      <c r="N3" s="835"/>
      <c r="O3" s="833" t="str">
        <f>'主表1（成本）'!O3</f>
        <v>2024年</v>
      </c>
      <c r="P3" s="834"/>
      <c r="Q3" s="834"/>
      <c r="R3" s="835"/>
      <c r="S3" s="28" t="s">
        <v>34</v>
      </c>
    </row>
    <row r="4" spans="1:20" ht="24" customHeight="1" x14ac:dyDescent="0.3">
      <c r="A4" s="28"/>
      <c r="B4" s="28"/>
      <c r="C4" s="28" t="str">
        <f>'主表1（成本）'!C4</f>
        <v>Q1</v>
      </c>
      <c r="D4" s="28" t="str">
        <f>'主表1（成本）'!D4</f>
        <v>Q2</v>
      </c>
      <c r="E4" s="28" t="str">
        <f>'主表1（成本）'!E4</f>
        <v>Q3</v>
      </c>
      <c r="F4" s="28" t="str">
        <f>'主表1（成本）'!F4</f>
        <v>Q4</v>
      </c>
      <c r="G4" s="28" t="str">
        <f>'主表1（成本）'!G4</f>
        <v>Q1</v>
      </c>
      <c r="H4" s="28" t="str">
        <f>'主表1（成本）'!H4</f>
        <v>Q2</v>
      </c>
      <c r="I4" s="28" t="str">
        <f>'主表1（成本）'!I4</f>
        <v>Q3</v>
      </c>
      <c r="J4" s="28" t="str">
        <f>'主表1（成本）'!J4</f>
        <v>Q4</v>
      </c>
      <c r="K4" s="28" t="str">
        <f>'主表1（成本）'!K4</f>
        <v>Q1</v>
      </c>
      <c r="L4" s="28" t="str">
        <f>'主表1（成本）'!L4</f>
        <v>Q2</v>
      </c>
      <c r="M4" s="28" t="str">
        <f>'主表1（成本）'!M4</f>
        <v>Q3</v>
      </c>
      <c r="N4" s="28" t="str">
        <f>'主表1（成本）'!N4</f>
        <v>Q4</v>
      </c>
      <c r="O4" s="28" t="str">
        <f>'主表1（成本）'!O4</f>
        <v>Q1</v>
      </c>
      <c r="P4" s="28" t="str">
        <f>'主表1（成本）'!P4</f>
        <v>Q2</v>
      </c>
      <c r="Q4" s="28" t="str">
        <f>'主表1（成本）'!Q4</f>
        <v>Q3</v>
      </c>
      <c r="R4" s="28" t="str">
        <f>'主表1（成本）'!R4</f>
        <v>Q4</v>
      </c>
      <c r="S4" s="28"/>
    </row>
    <row r="5" spans="1:20" ht="24" customHeight="1" x14ac:dyDescent="0.3">
      <c r="A5" s="28">
        <v>1</v>
      </c>
      <c r="B5" s="28" t="s">
        <v>13</v>
      </c>
      <c r="C5" s="29" t="e">
        <f t="shared" ref="C5:R5" si="0">SUM(C6:C9)</f>
        <v>#REF!</v>
      </c>
      <c r="D5" s="29" t="e">
        <f t="shared" si="0"/>
        <v>#REF!</v>
      </c>
      <c r="E5" s="29" t="e">
        <f t="shared" si="0"/>
        <v>#REF!</v>
      </c>
      <c r="F5" s="29" t="e">
        <f t="shared" si="0"/>
        <v>#REF!</v>
      </c>
      <c r="G5" s="29" t="e">
        <f t="shared" si="0"/>
        <v>#REF!</v>
      </c>
      <c r="H5" s="29" t="e">
        <f t="shared" si="0"/>
        <v>#REF!</v>
      </c>
      <c r="I5" s="29" t="e">
        <f t="shared" si="0"/>
        <v>#REF!</v>
      </c>
      <c r="J5" s="29" t="e">
        <f t="shared" si="0"/>
        <v>#REF!</v>
      </c>
      <c r="K5" s="29" t="e">
        <f t="shared" si="0"/>
        <v>#REF!</v>
      </c>
      <c r="L5" s="29" t="e">
        <f t="shared" si="0"/>
        <v>#REF!</v>
      </c>
      <c r="M5" s="29" t="e">
        <f t="shared" si="0"/>
        <v>#REF!</v>
      </c>
      <c r="N5" s="29" t="e">
        <f t="shared" si="0"/>
        <v>#REF!</v>
      </c>
      <c r="O5" s="29" t="e">
        <f t="shared" si="0"/>
        <v>#REF!</v>
      </c>
      <c r="P5" s="29" t="e">
        <f t="shared" si="0"/>
        <v>#REF!</v>
      </c>
      <c r="Q5" s="29" t="e">
        <f t="shared" si="0"/>
        <v>#REF!</v>
      </c>
      <c r="R5" s="29" t="e">
        <f t="shared" si="0"/>
        <v>#REF!</v>
      </c>
      <c r="S5" s="29" t="e">
        <f t="shared" ref="S5:S17" si="1">SUM(C5:R5)</f>
        <v>#REF!</v>
      </c>
    </row>
    <row r="6" spans="1:20" ht="24" customHeight="1" x14ac:dyDescent="0.3">
      <c r="A6" s="28">
        <v>2</v>
      </c>
      <c r="B6" s="28" t="s">
        <v>2</v>
      </c>
      <c r="C6" s="47" t="e">
        <f>ROUND('底表1（销售）'!F27,0)</f>
        <v>#REF!</v>
      </c>
      <c r="D6" s="47" t="e">
        <f>ROUND('底表1（销售）'!G27,0)</f>
        <v>#REF!</v>
      </c>
      <c r="E6" s="47" t="e">
        <f>ROUND('底表1（销售）'!H27,0)</f>
        <v>#REF!</v>
      </c>
      <c r="F6" s="47" t="e">
        <f>ROUND('底表1（销售）'!I27,0)</f>
        <v>#REF!</v>
      </c>
      <c r="G6" s="47" t="e">
        <f>ROUND('底表1（销售）'!J27,0)</f>
        <v>#REF!</v>
      </c>
      <c r="H6" s="47" t="e">
        <f>ROUND('底表1（销售）'!K27,0)</f>
        <v>#REF!</v>
      </c>
      <c r="I6" s="47" t="e">
        <f>ROUND('底表1（销售）'!L27,0)</f>
        <v>#REF!</v>
      </c>
      <c r="J6" s="47" t="e">
        <f>ROUND('底表1（销售）'!M27,0)</f>
        <v>#REF!</v>
      </c>
      <c r="K6" s="47" t="e">
        <f>ROUND('底表1（销售）'!N27,0)</f>
        <v>#REF!</v>
      </c>
      <c r="L6" s="47" t="e">
        <f>ROUND('底表1（销售）'!O27,0)</f>
        <v>#REF!</v>
      </c>
      <c r="M6" s="47" t="e">
        <f>ROUND('底表1（销售）'!P27,0)</f>
        <v>#REF!</v>
      </c>
      <c r="N6" s="47" t="e">
        <f>ROUND('底表1（销售）'!Q27,0)</f>
        <v>#REF!</v>
      </c>
      <c r="O6" s="47" t="e">
        <f>ROUND('底表1（销售）'!R27,0)</f>
        <v>#REF!</v>
      </c>
      <c r="P6" s="47" t="e">
        <f>ROUND('底表1（销售）'!S27,0)</f>
        <v>#REF!</v>
      </c>
      <c r="Q6" s="47" t="e">
        <f>ROUND('底表1（销售）'!T27,0)</f>
        <v>#REF!</v>
      </c>
      <c r="R6" s="47" t="e">
        <f>ROUND('底表1（销售）'!U27,0)</f>
        <v>#REF!</v>
      </c>
      <c r="S6" s="29" t="e">
        <f t="shared" si="1"/>
        <v>#REF!</v>
      </c>
      <c r="T6" s="26" t="e">
        <f>'底表1（销售）'!BS6</f>
        <v>#REF!</v>
      </c>
    </row>
    <row r="7" spans="1:20" ht="24" hidden="1" customHeight="1" x14ac:dyDescent="0.3">
      <c r="A7" s="28">
        <v>3</v>
      </c>
      <c r="B7" s="30" t="s">
        <v>10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>
        <f t="shared" si="1"/>
        <v>0</v>
      </c>
    </row>
    <row r="8" spans="1:20" ht="24" hidden="1" customHeight="1" x14ac:dyDescent="0.3">
      <c r="A8" s="28">
        <v>4</v>
      </c>
      <c r="B8" s="28" t="s">
        <v>14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>
        <f t="shared" si="1"/>
        <v>0</v>
      </c>
    </row>
    <row r="9" spans="1:20" ht="24" hidden="1" customHeight="1" x14ac:dyDescent="0.3">
      <c r="A9" s="28">
        <v>5</v>
      </c>
      <c r="B9" s="28" t="s">
        <v>0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>
        <f t="shared" si="1"/>
        <v>0</v>
      </c>
    </row>
    <row r="10" spans="1:20" ht="24" customHeight="1" x14ac:dyDescent="0.3">
      <c r="A10" s="28">
        <v>6</v>
      </c>
      <c r="B10" s="28" t="s">
        <v>15</v>
      </c>
      <c r="C10" s="29" t="e">
        <f t="shared" ref="C10:R10" si="2">SUM(C11:C16)</f>
        <v>#REF!</v>
      </c>
      <c r="D10" s="29" t="e">
        <f t="shared" si="2"/>
        <v>#REF!</v>
      </c>
      <c r="E10" s="29" t="e">
        <f t="shared" si="2"/>
        <v>#REF!</v>
      </c>
      <c r="F10" s="29" t="e">
        <f t="shared" si="2"/>
        <v>#REF!</v>
      </c>
      <c r="G10" s="29" t="e">
        <f t="shared" si="2"/>
        <v>#REF!</v>
      </c>
      <c r="H10" s="29" t="e">
        <f t="shared" si="2"/>
        <v>#REF!</v>
      </c>
      <c r="I10" s="29" t="e">
        <f t="shared" si="2"/>
        <v>#REF!</v>
      </c>
      <c r="J10" s="29" t="e">
        <f t="shared" si="2"/>
        <v>#REF!</v>
      </c>
      <c r="K10" s="29" t="e">
        <f t="shared" si="2"/>
        <v>#REF!</v>
      </c>
      <c r="L10" s="29" t="e">
        <f t="shared" si="2"/>
        <v>#REF!</v>
      </c>
      <c r="M10" s="29" t="e">
        <f t="shared" si="2"/>
        <v>#REF!</v>
      </c>
      <c r="N10" s="29" t="e">
        <f t="shared" si="2"/>
        <v>#REF!</v>
      </c>
      <c r="O10" s="29" t="e">
        <f t="shared" si="2"/>
        <v>#REF!</v>
      </c>
      <c r="P10" s="29" t="e">
        <f t="shared" si="2"/>
        <v>#REF!</v>
      </c>
      <c r="Q10" s="29" t="e">
        <f t="shared" si="2"/>
        <v>#REF!</v>
      </c>
      <c r="R10" s="29" t="e">
        <f t="shared" si="2"/>
        <v>#REF!</v>
      </c>
      <c r="S10" s="29" t="e">
        <f t="shared" si="1"/>
        <v>#REF!</v>
      </c>
    </row>
    <row r="11" spans="1:20" ht="24" customHeight="1" x14ac:dyDescent="0.3">
      <c r="A11" s="51">
        <v>7</v>
      </c>
      <c r="B11" s="51" t="s">
        <v>16</v>
      </c>
      <c r="C11" s="52">
        <f>ROUND('主表1（成本）'!C39*$C$25,0)*(1+$C$29)</f>
        <v>0</v>
      </c>
      <c r="D11" s="52">
        <f>ROUND('主表1（成本）'!D39*$C$25,0)*(1+$C$29)</f>
        <v>187965</v>
      </c>
      <c r="E11" s="52">
        <f>ROUND('主表1（成本）'!E39*$C$25,0)*(1+$C$29)</f>
        <v>25660</v>
      </c>
      <c r="F11" s="52">
        <f>ROUND('主表1（成本）'!F39*$C$25,0)*(1+$C$29)</f>
        <v>14729</v>
      </c>
      <c r="G11" s="52">
        <f>ROUND('主表1（成本）'!G39*$C$25,0)*(1+$C$29)</f>
        <v>10003</v>
      </c>
      <c r="H11" s="52">
        <f>ROUND('主表1（成本）'!H39*$C$25,0)*(1+$C$29)</f>
        <v>10202</v>
      </c>
      <c r="I11" s="52">
        <f>ROUND('主表1（成本）'!I39*$C$25,0)*(1+$C$29)</f>
        <v>10164</v>
      </c>
      <c r="J11" s="52">
        <f>ROUND('主表1（成本）'!J39*$C$25,0)*(1+$C$29)</f>
        <v>9864</v>
      </c>
      <c r="K11" s="52">
        <f>ROUND('主表1（成本）'!K39*$C$25,0)*(1+$C$29)</f>
        <v>7957</v>
      </c>
      <c r="L11" s="52">
        <f>ROUND('主表1（成本）'!L39*$C$25,0)*(1+$C$29)</f>
        <v>7667</v>
      </c>
      <c r="M11" s="52">
        <f>ROUND('主表1（成本）'!M39*$C$25,0)*(1+$C$29)</f>
        <v>5684</v>
      </c>
      <c r="N11" s="52">
        <f>ROUND('主表1（成本）'!N39*$C$25,0)*(1+$C$29)</f>
        <v>5650</v>
      </c>
      <c r="O11" s="52">
        <f>ROUND('主表1（成本）'!O39*$C$25,0)*(1+$C$29)</f>
        <v>4585</v>
      </c>
      <c r="P11" s="52">
        <f>ROUND('主表1（成本）'!P39*$C$25,0)*(1+$C$29)</f>
        <v>4499</v>
      </c>
      <c r="Q11" s="52">
        <f>ROUND('主表1（成本）'!Q39*$C$25,0)*(1+$C$29)</f>
        <v>0</v>
      </c>
      <c r="R11" s="52">
        <f>ROUND('主表1（成本）'!R39*$C$25,0)*(1+$C$29)</f>
        <v>0</v>
      </c>
      <c r="S11" s="52">
        <f t="shared" si="1"/>
        <v>304629</v>
      </c>
      <c r="T11" s="26">
        <f>'主表1（成本）'!B39*(1+C29)</f>
        <v>304629.15000000002</v>
      </c>
    </row>
    <row r="12" spans="1:20" ht="24" hidden="1" customHeight="1" x14ac:dyDescent="0.3">
      <c r="A12" s="28">
        <v>8</v>
      </c>
      <c r="B12" s="28" t="s">
        <v>17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>
        <f t="shared" si="1"/>
        <v>0</v>
      </c>
    </row>
    <row r="13" spans="1:20" ht="24" customHeight="1" x14ac:dyDescent="0.3">
      <c r="A13" s="28">
        <v>9</v>
      </c>
      <c r="B13" s="28" t="s">
        <v>137</v>
      </c>
      <c r="C13" s="29" t="e">
        <f>ROUND('底表1（销售）'!F28,0)</f>
        <v>#REF!</v>
      </c>
      <c r="D13" s="29" t="e">
        <f>ROUND('底表1（销售）'!G28,0)</f>
        <v>#REF!</v>
      </c>
      <c r="E13" s="29" t="e">
        <f>ROUND('底表1（销售）'!H28,0)</f>
        <v>#REF!</v>
      </c>
      <c r="F13" s="29" t="e">
        <f>ROUND('底表1（销售）'!I28,0)</f>
        <v>#REF!</v>
      </c>
      <c r="G13" s="29" t="e">
        <f>ROUND('底表1（销售）'!J28,0)</f>
        <v>#REF!</v>
      </c>
      <c r="H13" s="29" t="e">
        <f>ROUND('底表1（销售）'!K28,0)</f>
        <v>#REF!</v>
      </c>
      <c r="I13" s="29" t="e">
        <f>ROUND('底表1（销售）'!L28,0)</f>
        <v>#REF!</v>
      </c>
      <c r="J13" s="29" t="e">
        <f>ROUND('底表1（销售）'!M28,0)</f>
        <v>#REF!</v>
      </c>
      <c r="K13" s="29" t="e">
        <f>ROUND('底表1（销售）'!N28,0)</f>
        <v>#REF!</v>
      </c>
      <c r="L13" s="29" t="e">
        <f>ROUND('底表1（销售）'!O28,0)</f>
        <v>#REF!</v>
      </c>
      <c r="M13" s="29" t="e">
        <f>ROUND('底表1（销售）'!P28,0)</f>
        <v>#REF!</v>
      </c>
      <c r="N13" s="29" t="e">
        <f>ROUND('底表1（销售）'!Q28,0)</f>
        <v>#REF!</v>
      </c>
      <c r="O13" s="29" t="e">
        <f>ROUND('底表1（销售）'!R28,0)</f>
        <v>#REF!</v>
      </c>
      <c r="P13" s="29" t="e">
        <f>ROUND('底表1（销售）'!S28,0)</f>
        <v>#REF!</v>
      </c>
      <c r="Q13" s="29" t="e">
        <f>ROUND('底表1（销售）'!T28,0)</f>
        <v>#REF!</v>
      </c>
      <c r="R13" s="29" t="e">
        <f>ROUND('底表1（销售）'!U28,0)</f>
        <v>#REF!</v>
      </c>
      <c r="S13" s="29" t="e">
        <f t="shared" si="1"/>
        <v>#REF!</v>
      </c>
      <c r="T13" s="26" t="e">
        <f>'底表1（销售）'!BS13</f>
        <v>#REF!</v>
      </c>
    </row>
    <row r="14" spans="1:20" ht="24" customHeight="1" x14ac:dyDescent="0.3">
      <c r="A14" s="28">
        <v>10</v>
      </c>
      <c r="B14" s="28" t="s">
        <v>19</v>
      </c>
      <c r="C14" s="29" t="e">
        <f>#REF!</f>
        <v>#REF!</v>
      </c>
      <c r="D14" s="29" t="e">
        <f>#REF!</f>
        <v>#REF!</v>
      </c>
      <c r="E14" s="29" t="e">
        <f>#REF!</f>
        <v>#REF!</v>
      </c>
      <c r="F14" s="29" t="e">
        <f>#REF!</f>
        <v>#REF!</v>
      </c>
      <c r="G14" s="29" t="e">
        <f>#REF!</f>
        <v>#REF!</v>
      </c>
      <c r="H14" s="29" t="e">
        <f>#REF!</f>
        <v>#REF!</v>
      </c>
      <c r="I14" s="29" t="e">
        <f>#REF!</f>
        <v>#REF!</v>
      </c>
      <c r="J14" s="29" t="e">
        <f>#REF!</f>
        <v>#REF!</v>
      </c>
      <c r="K14" s="29" t="e">
        <f>#REF!</f>
        <v>#REF!</v>
      </c>
      <c r="L14" s="29" t="e">
        <f>#REF!</f>
        <v>#REF!</v>
      </c>
      <c r="M14" s="29" t="e">
        <f>#REF!</f>
        <v>#REF!</v>
      </c>
      <c r="N14" s="29" t="e">
        <f>#REF!</f>
        <v>#REF!</v>
      </c>
      <c r="O14" s="29" t="e">
        <f>#REF!</f>
        <v>#REF!</v>
      </c>
      <c r="P14" s="29" t="e">
        <f>#REF!</f>
        <v>#REF!</v>
      </c>
      <c r="Q14" s="29" t="e">
        <f>#REF!</f>
        <v>#REF!</v>
      </c>
      <c r="R14" s="29" t="e">
        <f>#REF!</f>
        <v>#REF!</v>
      </c>
      <c r="S14" s="29" t="e">
        <f t="shared" si="1"/>
        <v>#REF!</v>
      </c>
      <c r="T14" s="26">
        <f>'主表3（损益表）'!C10</f>
        <v>0</v>
      </c>
    </row>
    <row r="15" spans="1:20" ht="24" customHeight="1" x14ac:dyDescent="0.3">
      <c r="A15" s="28">
        <v>11</v>
      </c>
      <c r="B15" s="28" t="s">
        <v>11</v>
      </c>
      <c r="C15" s="29" t="e">
        <f>#REF!</f>
        <v>#REF!</v>
      </c>
      <c r="D15" s="29" t="e">
        <f>#REF!</f>
        <v>#REF!</v>
      </c>
      <c r="E15" s="29" t="e">
        <f>#REF!</f>
        <v>#REF!</v>
      </c>
      <c r="F15" s="29" t="e">
        <f>#REF!</f>
        <v>#REF!</v>
      </c>
      <c r="G15" s="29" t="e">
        <f>#REF!</f>
        <v>#REF!</v>
      </c>
      <c r="H15" s="29" t="e">
        <f>#REF!</f>
        <v>#REF!</v>
      </c>
      <c r="I15" s="29" t="e">
        <f>#REF!</f>
        <v>#REF!</v>
      </c>
      <c r="J15" s="29" t="e">
        <f>#REF!</f>
        <v>#REF!</v>
      </c>
      <c r="K15" s="29" t="e">
        <f>#REF!</f>
        <v>#REF!</v>
      </c>
      <c r="L15" s="29" t="e">
        <f>#REF!</f>
        <v>#REF!</v>
      </c>
      <c r="M15" s="29" t="e">
        <f>#REF!</f>
        <v>#REF!</v>
      </c>
      <c r="N15" s="29" t="e">
        <f>#REF!</f>
        <v>#REF!</v>
      </c>
      <c r="O15" s="29" t="e">
        <f>#REF!</f>
        <v>#REF!</v>
      </c>
      <c r="P15" s="29" t="e">
        <f>#REF!</f>
        <v>#REF!</v>
      </c>
      <c r="Q15" s="29" t="e">
        <f>#REF!</f>
        <v>#REF!</v>
      </c>
      <c r="R15" s="29" t="e">
        <f>#REF!</f>
        <v>#REF!</v>
      </c>
      <c r="S15" s="29" t="e">
        <f t="shared" si="1"/>
        <v>#REF!</v>
      </c>
      <c r="T15" s="26">
        <f>'主表3（损益表）'!C15</f>
        <v>10153</v>
      </c>
    </row>
    <row r="16" spans="1:20" ht="24" customHeight="1" x14ac:dyDescent="0.3">
      <c r="A16" s="28">
        <v>12</v>
      </c>
      <c r="B16" s="28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>
        <f t="shared" si="1"/>
        <v>0</v>
      </c>
    </row>
    <row r="17" spans="1:19" ht="24" customHeight="1" x14ac:dyDescent="0.3">
      <c r="A17" s="28">
        <v>13</v>
      </c>
      <c r="B17" s="28" t="s">
        <v>20</v>
      </c>
      <c r="C17" s="29" t="e">
        <f t="shared" ref="C17:R17" si="3">C5-C10</f>
        <v>#REF!</v>
      </c>
      <c r="D17" s="29" t="e">
        <f t="shared" si="3"/>
        <v>#REF!</v>
      </c>
      <c r="E17" s="29" t="e">
        <f t="shared" si="3"/>
        <v>#REF!</v>
      </c>
      <c r="F17" s="29" t="e">
        <f t="shared" si="3"/>
        <v>#REF!</v>
      </c>
      <c r="G17" s="29" t="e">
        <f t="shared" si="3"/>
        <v>#REF!</v>
      </c>
      <c r="H17" s="29" t="e">
        <f t="shared" si="3"/>
        <v>#REF!</v>
      </c>
      <c r="I17" s="29" t="e">
        <f t="shared" si="3"/>
        <v>#REF!</v>
      </c>
      <c r="J17" s="29" t="e">
        <f t="shared" si="3"/>
        <v>#REF!</v>
      </c>
      <c r="K17" s="29" t="e">
        <f t="shared" si="3"/>
        <v>#REF!</v>
      </c>
      <c r="L17" s="29" t="e">
        <f t="shared" si="3"/>
        <v>#REF!</v>
      </c>
      <c r="M17" s="29" t="e">
        <f t="shared" si="3"/>
        <v>#REF!</v>
      </c>
      <c r="N17" s="29" t="e">
        <f t="shared" si="3"/>
        <v>#REF!</v>
      </c>
      <c r="O17" s="29" t="e">
        <f t="shared" si="3"/>
        <v>#REF!</v>
      </c>
      <c r="P17" s="29" t="e">
        <f t="shared" si="3"/>
        <v>#REF!</v>
      </c>
      <c r="Q17" s="29" t="e">
        <f t="shared" si="3"/>
        <v>#REF!</v>
      </c>
      <c r="R17" s="29" t="e">
        <f t="shared" si="3"/>
        <v>#REF!</v>
      </c>
      <c r="S17" s="29" t="e">
        <f t="shared" si="1"/>
        <v>#REF!</v>
      </c>
    </row>
    <row r="18" spans="1:19" ht="24" customHeight="1" x14ac:dyDescent="0.3">
      <c r="A18" s="28">
        <v>14</v>
      </c>
      <c r="B18" s="28" t="s">
        <v>21</v>
      </c>
      <c r="C18" s="29" t="e">
        <f>C17</f>
        <v>#REF!</v>
      </c>
      <c r="D18" s="29" t="e">
        <f>D17+C18</f>
        <v>#REF!</v>
      </c>
      <c r="E18" s="29" t="e">
        <f t="shared" ref="E18:R18" si="4">E17+D18</f>
        <v>#REF!</v>
      </c>
      <c r="F18" s="29" t="e">
        <f t="shared" si="4"/>
        <v>#REF!</v>
      </c>
      <c r="G18" s="29" t="e">
        <f t="shared" si="4"/>
        <v>#REF!</v>
      </c>
      <c r="H18" s="29" t="e">
        <f t="shared" si="4"/>
        <v>#REF!</v>
      </c>
      <c r="I18" s="29" t="e">
        <f t="shared" si="4"/>
        <v>#REF!</v>
      </c>
      <c r="J18" s="29" t="e">
        <f t="shared" si="4"/>
        <v>#REF!</v>
      </c>
      <c r="K18" s="29" t="e">
        <f t="shared" si="4"/>
        <v>#REF!</v>
      </c>
      <c r="L18" s="29" t="e">
        <f t="shared" si="4"/>
        <v>#REF!</v>
      </c>
      <c r="M18" s="29" t="e">
        <f t="shared" si="4"/>
        <v>#REF!</v>
      </c>
      <c r="N18" s="29" t="e">
        <f t="shared" si="4"/>
        <v>#REF!</v>
      </c>
      <c r="O18" s="29" t="e">
        <f t="shared" si="4"/>
        <v>#REF!</v>
      </c>
      <c r="P18" s="29" t="e">
        <f t="shared" si="4"/>
        <v>#REF!</v>
      </c>
      <c r="Q18" s="29" t="e">
        <f t="shared" si="4"/>
        <v>#REF!</v>
      </c>
      <c r="R18" s="29" t="e">
        <f t="shared" si="4"/>
        <v>#REF!</v>
      </c>
      <c r="S18" s="29"/>
    </row>
    <row r="19" spans="1:19" ht="24" customHeight="1" x14ac:dyDescent="0.3">
      <c r="A19" s="28">
        <v>15</v>
      </c>
      <c r="B19" s="28" t="s">
        <v>30</v>
      </c>
      <c r="C19" s="29" t="e">
        <f>C17/(1+$C$22)^C27</f>
        <v>#REF!</v>
      </c>
      <c r="D19" s="29" t="e">
        <f t="shared" ref="D19:R19" si="5">D17/(1+$C$22)^D27</f>
        <v>#REF!</v>
      </c>
      <c r="E19" s="29" t="e">
        <f t="shared" si="5"/>
        <v>#REF!</v>
      </c>
      <c r="F19" s="29" t="e">
        <f t="shared" si="5"/>
        <v>#REF!</v>
      </c>
      <c r="G19" s="29" t="e">
        <f t="shared" si="5"/>
        <v>#REF!</v>
      </c>
      <c r="H19" s="29" t="e">
        <f t="shared" si="5"/>
        <v>#REF!</v>
      </c>
      <c r="I19" s="29" t="e">
        <f t="shared" si="5"/>
        <v>#REF!</v>
      </c>
      <c r="J19" s="29" t="e">
        <f t="shared" si="5"/>
        <v>#REF!</v>
      </c>
      <c r="K19" s="29" t="e">
        <f t="shared" si="5"/>
        <v>#REF!</v>
      </c>
      <c r="L19" s="29" t="e">
        <f t="shared" si="5"/>
        <v>#REF!</v>
      </c>
      <c r="M19" s="29" t="e">
        <f t="shared" si="5"/>
        <v>#REF!</v>
      </c>
      <c r="N19" s="29" t="e">
        <f t="shared" si="5"/>
        <v>#REF!</v>
      </c>
      <c r="O19" s="29" t="e">
        <f t="shared" si="5"/>
        <v>#REF!</v>
      </c>
      <c r="P19" s="29" t="e">
        <f t="shared" si="5"/>
        <v>#REF!</v>
      </c>
      <c r="Q19" s="29" t="e">
        <f t="shared" si="5"/>
        <v>#REF!</v>
      </c>
      <c r="R19" s="29" t="e">
        <f t="shared" si="5"/>
        <v>#REF!</v>
      </c>
      <c r="S19" s="29" t="e">
        <f>SUM(C19:R19)</f>
        <v>#REF!</v>
      </c>
    </row>
    <row r="20" spans="1:19" ht="24" customHeight="1" x14ac:dyDescent="0.3">
      <c r="A20" s="28">
        <v>16</v>
      </c>
      <c r="B20" s="28" t="s">
        <v>22</v>
      </c>
      <c r="C20" s="29" t="e">
        <f>C19</f>
        <v>#REF!</v>
      </c>
      <c r="D20" s="29" t="e">
        <f>D19+C20</f>
        <v>#REF!</v>
      </c>
      <c r="E20" s="29" t="e">
        <f t="shared" ref="E20:R20" si="6">E19+D20</f>
        <v>#REF!</v>
      </c>
      <c r="F20" s="29" t="e">
        <f t="shared" si="6"/>
        <v>#REF!</v>
      </c>
      <c r="G20" s="29" t="e">
        <f t="shared" si="6"/>
        <v>#REF!</v>
      </c>
      <c r="H20" s="29" t="e">
        <f t="shared" si="6"/>
        <v>#REF!</v>
      </c>
      <c r="I20" s="29" t="e">
        <f t="shared" si="6"/>
        <v>#REF!</v>
      </c>
      <c r="J20" s="29" t="e">
        <f t="shared" si="6"/>
        <v>#REF!</v>
      </c>
      <c r="K20" s="29" t="e">
        <f t="shared" si="6"/>
        <v>#REF!</v>
      </c>
      <c r="L20" s="29" t="e">
        <f t="shared" si="6"/>
        <v>#REF!</v>
      </c>
      <c r="M20" s="29" t="e">
        <f t="shared" si="6"/>
        <v>#REF!</v>
      </c>
      <c r="N20" s="29" t="e">
        <f t="shared" si="6"/>
        <v>#REF!</v>
      </c>
      <c r="O20" s="29" t="e">
        <f t="shared" si="6"/>
        <v>#REF!</v>
      </c>
      <c r="P20" s="29" t="e">
        <f t="shared" si="6"/>
        <v>#REF!</v>
      </c>
      <c r="Q20" s="29" t="e">
        <f t="shared" si="6"/>
        <v>#REF!</v>
      </c>
      <c r="R20" s="29" t="e">
        <f t="shared" si="6"/>
        <v>#REF!</v>
      </c>
      <c r="S20" s="29" t="s">
        <v>0</v>
      </c>
    </row>
    <row r="21" spans="1:19" x14ac:dyDescent="0.3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</row>
    <row r="22" spans="1:19" x14ac:dyDescent="0.3">
      <c r="A22" s="46" t="s">
        <v>187</v>
      </c>
      <c r="B22" s="46"/>
      <c r="C22" s="49">
        <f>10%/4</f>
        <v>2.5000000000000001E-2</v>
      </c>
      <c r="D22" s="31"/>
      <c r="E22" s="31"/>
      <c r="F22" s="31"/>
      <c r="G22" s="31"/>
      <c r="H22" s="830" t="s">
        <v>87</v>
      </c>
      <c r="I22" s="830"/>
      <c r="J22" s="830"/>
      <c r="K22" s="32" t="e">
        <f>NPV(C22,C17:R17)</f>
        <v>#REF!</v>
      </c>
      <c r="L22" s="46" t="s">
        <v>53</v>
      </c>
      <c r="M22" s="46"/>
      <c r="N22" s="46"/>
      <c r="O22" s="46"/>
      <c r="P22" s="46"/>
      <c r="S22" s="46"/>
    </row>
    <row r="23" spans="1:19" x14ac:dyDescent="0.3">
      <c r="A23" s="46" t="s">
        <v>188</v>
      </c>
      <c r="B23" s="46"/>
      <c r="C23" s="33" t="e">
        <f>IRR(C17:R17)</f>
        <v>#VALUE!</v>
      </c>
      <c r="D23" s="33"/>
      <c r="E23" s="33"/>
      <c r="F23" s="33"/>
      <c r="G23" s="33"/>
      <c r="H23" s="830" t="s">
        <v>176</v>
      </c>
      <c r="I23" s="830"/>
      <c r="J23" s="830"/>
      <c r="K23" s="50">
        <f>(12*3-1)/12</f>
        <v>2.92</v>
      </c>
      <c r="L23" s="46" t="s">
        <v>54</v>
      </c>
      <c r="M23" s="46"/>
      <c r="N23" s="46"/>
      <c r="O23" s="46"/>
      <c r="P23" s="46"/>
      <c r="S23" s="46"/>
    </row>
    <row r="24" spans="1:19" x14ac:dyDescent="0.3">
      <c r="Q24" s="26">
        <v>5</v>
      </c>
      <c r="R24" s="26">
        <v>6</v>
      </c>
    </row>
    <row r="25" spans="1:19" x14ac:dyDescent="0.3">
      <c r="B25" s="26" t="s">
        <v>110</v>
      </c>
      <c r="C25" s="26">
        <v>1</v>
      </c>
    </row>
    <row r="26" spans="1:19" x14ac:dyDescent="0.3">
      <c r="B26" s="26" t="s">
        <v>111</v>
      </c>
      <c r="C26" s="26">
        <v>1</v>
      </c>
    </row>
    <row r="27" spans="1:19" x14ac:dyDescent="0.3">
      <c r="C27" s="26">
        <v>0</v>
      </c>
      <c r="D27" s="26">
        <v>0</v>
      </c>
      <c r="E27" s="26">
        <v>0.25</v>
      </c>
      <c r="F27" s="26">
        <f>E27+0.25</f>
        <v>0.5</v>
      </c>
      <c r="G27" s="26">
        <f t="shared" ref="G27:R27" si="7">F27+0.25</f>
        <v>0.75</v>
      </c>
      <c r="H27" s="26">
        <f t="shared" si="7"/>
        <v>1</v>
      </c>
      <c r="I27" s="26">
        <f t="shared" si="7"/>
        <v>1.25</v>
      </c>
      <c r="J27" s="26">
        <f t="shared" si="7"/>
        <v>1.5</v>
      </c>
      <c r="K27" s="26">
        <f t="shared" si="7"/>
        <v>1.75</v>
      </c>
      <c r="L27" s="26">
        <f t="shared" si="7"/>
        <v>2</v>
      </c>
      <c r="M27" s="26">
        <f t="shared" si="7"/>
        <v>2.25</v>
      </c>
      <c r="N27" s="26">
        <f t="shared" si="7"/>
        <v>2.5</v>
      </c>
      <c r="O27" s="26">
        <f t="shared" si="7"/>
        <v>2.75</v>
      </c>
      <c r="P27" s="26">
        <f t="shared" si="7"/>
        <v>3</v>
      </c>
      <c r="Q27" s="26">
        <f t="shared" si="7"/>
        <v>3.25</v>
      </c>
      <c r="R27" s="26">
        <f t="shared" si="7"/>
        <v>3.5</v>
      </c>
    </row>
    <row r="29" spans="1:19" x14ac:dyDescent="0.3">
      <c r="B29" s="23" t="s">
        <v>177</v>
      </c>
      <c r="C29" s="24">
        <v>0.05</v>
      </c>
    </row>
  </sheetData>
  <mergeCells count="8">
    <mergeCell ref="H22:J22"/>
    <mergeCell ref="H23:J23"/>
    <mergeCell ref="A1:R1"/>
    <mergeCell ref="C2:R2"/>
    <mergeCell ref="C3:F3"/>
    <mergeCell ref="G3:J3"/>
    <mergeCell ref="K3:N3"/>
    <mergeCell ref="O3:R3"/>
  </mergeCells>
  <phoneticPr fontId="19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80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theme="3" tint="0.79998168889431442"/>
  </sheetPr>
  <dimension ref="A1:T29"/>
  <sheetViews>
    <sheetView view="pageBreakPreview" topLeftCell="G1" zoomScale="115" zoomScaleNormal="100" zoomScaleSheetLayoutView="115" workbookViewId="0">
      <selection activeCell="D18" sqref="D18:R18"/>
    </sheetView>
  </sheetViews>
  <sheetFormatPr defaultColWidth="11" defaultRowHeight="18" x14ac:dyDescent="0.3"/>
  <cols>
    <col min="1" max="1" width="4.625" style="26" customWidth="1"/>
    <col min="2" max="2" width="22.125" style="26" customWidth="1"/>
    <col min="3" max="17" width="9.625" style="26" customWidth="1"/>
    <col min="18" max="18" width="11" style="26" customWidth="1"/>
    <col min="19" max="19" width="8.875" style="26" customWidth="1"/>
    <col min="20" max="16384" width="11" style="26"/>
  </cols>
  <sheetData>
    <row r="1" spans="1:20" ht="24" customHeight="1" x14ac:dyDescent="0.3">
      <c r="A1" s="831" t="s">
        <v>12</v>
      </c>
      <c r="B1" s="831"/>
      <c r="C1" s="831"/>
      <c r="D1" s="831"/>
      <c r="E1" s="831"/>
      <c r="F1" s="831"/>
      <c r="G1" s="831"/>
      <c r="H1" s="831"/>
      <c r="I1" s="831"/>
      <c r="J1" s="831"/>
      <c r="K1" s="831"/>
      <c r="L1" s="831"/>
      <c r="M1" s="831"/>
      <c r="N1" s="831"/>
      <c r="O1" s="831"/>
      <c r="P1" s="831"/>
      <c r="Q1" s="831"/>
      <c r="R1" s="831"/>
      <c r="S1" s="46"/>
    </row>
    <row r="2" spans="1:20" ht="49.5" customHeight="1" x14ac:dyDescent="0.3">
      <c r="A2" s="27" t="s">
        <v>175</v>
      </c>
      <c r="B2" s="27"/>
      <c r="C2" s="832" t="str">
        <f>基础数据!C5</f>
        <v>北京市密云区檀营乡6005地块R2二类居住用地（编号：京土整储挂（密）[2021]026号）居住项目</v>
      </c>
      <c r="D2" s="832"/>
      <c r="E2" s="832"/>
      <c r="F2" s="832"/>
      <c r="G2" s="832"/>
      <c r="H2" s="832"/>
      <c r="I2" s="832"/>
      <c r="J2" s="832"/>
      <c r="K2" s="832"/>
      <c r="L2" s="832"/>
      <c r="M2" s="832"/>
      <c r="N2" s="832"/>
      <c r="O2" s="832"/>
      <c r="P2" s="832"/>
      <c r="Q2" s="832"/>
      <c r="R2" s="832"/>
      <c r="S2" s="46"/>
    </row>
    <row r="3" spans="1:20" ht="24" customHeight="1" x14ac:dyDescent="0.3">
      <c r="A3" s="28" t="s">
        <v>9</v>
      </c>
      <c r="B3" s="28" t="s">
        <v>81</v>
      </c>
      <c r="C3" s="833" t="str">
        <f>'主表1（成本）'!C3</f>
        <v>2021年</v>
      </c>
      <c r="D3" s="834"/>
      <c r="E3" s="834"/>
      <c r="F3" s="835"/>
      <c r="G3" s="833" t="str">
        <f>'主表1（成本）'!G3</f>
        <v>2022年</v>
      </c>
      <c r="H3" s="834"/>
      <c r="I3" s="834"/>
      <c r="J3" s="835"/>
      <c r="K3" s="833" t="str">
        <f>'主表1（成本）'!K3</f>
        <v>2023年</v>
      </c>
      <c r="L3" s="834"/>
      <c r="M3" s="834"/>
      <c r="N3" s="835"/>
      <c r="O3" s="833" t="str">
        <f>'主表1（成本）'!O3</f>
        <v>2024年</v>
      </c>
      <c r="P3" s="834"/>
      <c r="Q3" s="834"/>
      <c r="R3" s="835"/>
      <c r="S3" s="28" t="s">
        <v>34</v>
      </c>
    </row>
    <row r="4" spans="1:20" ht="24" customHeight="1" x14ac:dyDescent="0.3">
      <c r="A4" s="28"/>
      <c r="B4" s="28"/>
      <c r="C4" s="28" t="str">
        <f>'主表1（成本）'!C4</f>
        <v>Q1</v>
      </c>
      <c r="D4" s="28" t="str">
        <f>'主表1（成本）'!D4</f>
        <v>Q2</v>
      </c>
      <c r="E4" s="28" t="str">
        <f>'主表1（成本）'!E4</f>
        <v>Q3</v>
      </c>
      <c r="F4" s="28" t="str">
        <f>'主表1（成本）'!F4</f>
        <v>Q4</v>
      </c>
      <c r="G4" s="28" t="str">
        <f>'主表1（成本）'!G4</f>
        <v>Q1</v>
      </c>
      <c r="H4" s="28" t="str">
        <f>'主表1（成本）'!H4</f>
        <v>Q2</v>
      </c>
      <c r="I4" s="28" t="str">
        <f>'主表1（成本）'!I4</f>
        <v>Q3</v>
      </c>
      <c r="J4" s="28" t="str">
        <f>'主表1（成本）'!J4</f>
        <v>Q4</v>
      </c>
      <c r="K4" s="28" t="str">
        <f>'主表1（成本）'!K4</f>
        <v>Q1</v>
      </c>
      <c r="L4" s="28" t="str">
        <f>'主表1（成本）'!L4</f>
        <v>Q2</v>
      </c>
      <c r="M4" s="28" t="str">
        <f>'主表1（成本）'!M4</f>
        <v>Q3</v>
      </c>
      <c r="N4" s="28" t="str">
        <f>'主表1（成本）'!N4</f>
        <v>Q4</v>
      </c>
      <c r="O4" s="28" t="str">
        <f>'主表1（成本）'!O4</f>
        <v>Q1</v>
      </c>
      <c r="P4" s="28" t="str">
        <f>'主表1（成本）'!P4</f>
        <v>Q2</v>
      </c>
      <c r="Q4" s="28" t="str">
        <f>'主表1（成本）'!Q4</f>
        <v>Q3</v>
      </c>
      <c r="R4" s="28" t="str">
        <f>'主表1（成本）'!R4</f>
        <v>Q4</v>
      </c>
      <c r="S4" s="28"/>
    </row>
    <row r="5" spans="1:20" ht="24" customHeight="1" x14ac:dyDescent="0.3">
      <c r="A5" s="28">
        <v>1</v>
      </c>
      <c r="B5" s="28" t="s">
        <v>13</v>
      </c>
      <c r="C5" s="29" t="e">
        <f t="shared" ref="C5:R5" si="0">SUM(C6:C9)</f>
        <v>#REF!</v>
      </c>
      <c r="D5" s="29" t="e">
        <f t="shared" si="0"/>
        <v>#REF!</v>
      </c>
      <c r="E5" s="29" t="e">
        <f t="shared" si="0"/>
        <v>#REF!</v>
      </c>
      <c r="F5" s="29" t="e">
        <f t="shared" si="0"/>
        <v>#REF!</v>
      </c>
      <c r="G5" s="29" t="e">
        <f t="shared" si="0"/>
        <v>#REF!</v>
      </c>
      <c r="H5" s="29" t="e">
        <f t="shared" si="0"/>
        <v>#REF!</v>
      </c>
      <c r="I5" s="29" t="e">
        <f t="shared" si="0"/>
        <v>#REF!</v>
      </c>
      <c r="J5" s="29" t="e">
        <f t="shared" si="0"/>
        <v>#REF!</v>
      </c>
      <c r="K5" s="29" t="e">
        <f t="shared" si="0"/>
        <v>#REF!</v>
      </c>
      <c r="L5" s="29" t="e">
        <f t="shared" si="0"/>
        <v>#REF!</v>
      </c>
      <c r="M5" s="29" t="e">
        <f t="shared" si="0"/>
        <v>#REF!</v>
      </c>
      <c r="N5" s="29" t="e">
        <f t="shared" si="0"/>
        <v>#REF!</v>
      </c>
      <c r="O5" s="29" t="e">
        <f t="shared" si="0"/>
        <v>#REF!</v>
      </c>
      <c r="P5" s="29" t="e">
        <f t="shared" si="0"/>
        <v>#REF!</v>
      </c>
      <c r="Q5" s="29" t="e">
        <f t="shared" si="0"/>
        <v>#REF!</v>
      </c>
      <c r="R5" s="29" t="e">
        <f t="shared" si="0"/>
        <v>#REF!</v>
      </c>
      <c r="S5" s="29" t="e">
        <f t="shared" ref="S5:S17" si="1">SUM(C5:R5)</f>
        <v>#REF!</v>
      </c>
    </row>
    <row r="6" spans="1:20" ht="24" customHeight="1" x14ac:dyDescent="0.3">
      <c r="A6" s="28">
        <v>2</v>
      </c>
      <c r="B6" s="28" t="s">
        <v>2</v>
      </c>
      <c r="C6" s="47" t="e">
        <f>ROUND('底表1（销售）'!F27,0)</f>
        <v>#REF!</v>
      </c>
      <c r="D6" s="47" t="e">
        <f>ROUND('底表1（销售）'!G27,0)</f>
        <v>#REF!</v>
      </c>
      <c r="E6" s="47" t="e">
        <f>ROUND('底表1（销售）'!H27,0)</f>
        <v>#REF!</v>
      </c>
      <c r="F6" s="47" t="e">
        <f>ROUND('底表1（销售）'!I27,0)</f>
        <v>#REF!</v>
      </c>
      <c r="G6" s="47" t="e">
        <f>ROUND('底表1（销售）'!J27,0)</f>
        <v>#REF!</v>
      </c>
      <c r="H6" s="47" t="e">
        <f>ROUND('底表1（销售）'!K27,0)</f>
        <v>#REF!</v>
      </c>
      <c r="I6" s="47" t="e">
        <f>ROUND('底表1（销售）'!L27,0)</f>
        <v>#REF!</v>
      </c>
      <c r="J6" s="47" t="e">
        <f>ROUND('底表1（销售）'!M27,0)</f>
        <v>#REF!</v>
      </c>
      <c r="K6" s="47" t="e">
        <f>ROUND('底表1（销售）'!N27,0)</f>
        <v>#REF!</v>
      </c>
      <c r="L6" s="47" t="e">
        <f>ROUND('底表1（销售）'!O27,0)</f>
        <v>#REF!</v>
      </c>
      <c r="M6" s="47" t="e">
        <f>ROUND('底表1（销售）'!P27,0)</f>
        <v>#REF!</v>
      </c>
      <c r="N6" s="47" t="e">
        <f>ROUND('底表1（销售）'!Q27,0)</f>
        <v>#REF!</v>
      </c>
      <c r="O6" s="47" t="e">
        <f>ROUND('底表1（销售）'!R27,0)</f>
        <v>#REF!</v>
      </c>
      <c r="P6" s="47" t="e">
        <f>ROUND('底表1（销售）'!S27,0)</f>
        <v>#REF!</v>
      </c>
      <c r="Q6" s="47" t="e">
        <f>ROUND('底表1（销售）'!T27,0)</f>
        <v>#REF!</v>
      </c>
      <c r="R6" s="47" t="e">
        <f>ROUND('底表1（销售）'!U27,0)</f>
        <v>#REF!</v>
      </c>
      <c r="S6" s="29" t="e">
        <f t="shared" si="1"/>
        <v>#REF!</v>
      </c>
      <c r="T6" s="26" t="e">
        <f>'底表1（销售）'!BS6</f>
        <v>#REF!</v>
      </c>
    </row>
    <row r="7" spans="1:20" ht="24" hidden="1" customHeight="1" x14ac:dyDescent="0.3">
      <c r="A7" s="28">
        <v>3</v>
      </c>
      <c r="B7" s="30" t="s">
        <v>10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>
        <f t="shared" si="1"/>
        <v>0</v>
      </c>
    </row>
    <row r="8" spans="1:20" ht="24" hidden="1" customHeight="1" x14ac:dyDescent="0.3">
      <c r="A8" s="28">
        <v>4</v>
      </c>
      <c r="B8" s="28" t="s">
        <v>14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>
        <f t="shared" si="1"/>
        <v>0</v>
      </c>
    </row>
    <row r="9" spans="1:20" ht="24" hidden="1" customHeight="1" x14ac:dyDescent="0.3">
      <c r="A9" s="28">
        <v>5</v>
      </c>
      <c r="B9" s="28" t="s">
        <v>0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>
        <f t="shared" si="1"/>
        <v>0</v>
      </c>
    </row>
    <row r="10" spans="1:20" ht="24" customHeight="1" x14ac:dyDescent="0.3">
      <c r="A10" s="28">
        <v>6</v>
      </c>
      <c r="B10" s="28" t="s">
        <v>15</v>
      </c>
      <c r="C10" s="29" t="e">
        <f t="shared" ref="C10:R10" si="2">SUM(C11:C16)</f>
        <v>#REF!</v>
      </c>
      <c r="D10" s="29" t="e">
        <f t="shared" si="2"/>
        <v>#REF!</v>
      </c>
      <c r="E10" s="29" t="e">
        <f t="shared" si="2"/>
        <v>#REF!</v>
      </c>
      <c r="F10" s="29" t="e">
        <f t="shared" si="2"/>
        <v>#REF!</v>
      </c>
      <c r="G10" s="29" t="e">
        <f t="shared" si="2"/>
        <v>#REF!</v>
      </c>
      <c r="H10" s="29" t="e">
        <f t="shared" si="2"/>
        <v>#REF!</v>
      </c>
      <c r="I10" s="29" t="e">
        <f t="shared" si="2"/>
        <v>#REF!</v>
      </c>
      <c r="J10" s="29" t="e">
        <f t="shared" si="2"/>
        <v>#REF!</v>
      </c>
      <c r="K10" s="29" t="e">
        <f t="shared" si="2"/>
        <v>#REF!</v>
      </c>
      <c r="L10" s="29" t="e">
        <f t="shared" si="2"/>
        <v>#REF!</v>
      </c>
      <c r="M10" s="29" t="e">
        <f t="shared" si="2"/>
        <v>#REF!</v>
      </c>
      <c r="N10" s="29" t="e">
        <f t="shared" si="2"/>
        <v>#REF!</v>
      </c>
      <c r="O10" s="29" t="e">
        <f t="shared" si="2"/>
        <v>#REF!</v>
      </c>
      <c r="P10" s="29" t="e">
        <f t="shared" si="2"/>
        <v>#REF!</v>
      </c>
      <c r="Q10" s="29" t="e">
        <f t="shared" si="2"/>
        <v>#REF!</v>
      </c>
      <c r="R10" s="29" t="e">
        <f t="shared" si="2"/>
        <v>#REF!</v>
      </c>
      <c r="S10" s="29" t="e">
        <f t="shared" si="1"/>
        <v>#REF!</v>
      </c>
    </row>
    <row r="11" spans="1:20" ht="24" customHeight="1" x14ac:dyDescent="0.3">
      <c r="A11" s="51">
        <v>7</v>
      </c>
      <c r="B11" s="51" t="s">
        <v>16</v>
      </c>
      <c r="C11" s="52">
        <f>ROUND('主表1（成本）'!C39*$C$25,0)*(1+$C$29)</f>
        <v>0</v>
      </c>
      <c r="D11" s="52">
        <f>ROUND('主表1（成本）'!D39*$C$25,0)*(1+$C$29)</f>
        <v>196915</v>
      </c>
      <c r="E11" s="52">
        <f>ROUND('主表1（成本）'!E39*$C$25,0)*(1+$C$29)</f>
        <v>26882</v>
      </c>
      <c r="F11" s="52">
        <f>ROUND('主表1（成本）'!F39*$C$25,0)*(1+$C$29)</f>
        <v>15431</v>
      </c>
      <c r="G11" s="52">
        <f>ROUND('主表1（成本）'!G39*$C$25,0)*(1+$C$29)</f>
        <v>10480</v>
      </c>
      <c r="H11" s="52">
        <f>ROUND('主表1（成本）'!H39*$C$25,0)*(1+$C$29)</f>
        <v>10688</v>
      </c>
      <c r="I11" s="52">
        <f>ROUND('主表1（成本）'!I39*$C$25,0)*(1+$C$29)</f>
        <v>10648</v>
      </c>
      <c r="J11" s="52">
        <f>ROUND('主表1（成本）'!J39*$C$25,0)*(1+$C$29)</f>
        <v>10333</v>
      </c>
      <c r="K11" s="52">
        <f>ROUND('主表1（成本）'!K39*$C$25,0)*(1+$C$29)</f>
        <v>8336</v>
      </c>
      <c r="L11" s="52">
        <f>ROUND('主表1（成本）'!L39*$C$25,0)*(1+$C$29)</f>
        <v>8032</v>
      </c>
      <c r="M11" s="52">
        <f>ROUND('主表1（成本）'!M39*$C$25,0)*(1+$C$29)</f>
        <v>5954</v>
      </c>
      <c r="N11" s="52">
        <f>ROUND('主表1（成本）'!N39*$C$25,0)*(1+$C$29)</f>
        <v>5919</v>
      </c>
      <c r="O11" s="52">
        <f>ROUND('主表1（成本）'!O39*$C$25,0)*(1+$C$29)</f>
        <v>4804</v>
      </c>
      <c r="P11" s="52">
        <f>ROUND('主表1（成本）'!P39*$C$25,0)*(1+$C$29)</f>
        <v>4714</v>
      </c>
      <c r="Q11" s="52">
        <f>ROUND('主表1（成本）'!Q39*$C$25,0)*(1+$C$29)</f>
        <v>0</v>
      </c>
      <c r="R11" s="52">
        <f>ROUND('主表1（成本）'!R39*$C$25,0)*(1+$C$29)</f>
        <v>0</v>
      </c>
      <c r="S11" s="52">
        <f t="shared" si="1"/>
        <v>319136</v>
      </c>
      <c r="T11" s="26">
        <f>'主表1（成本）'!B39*(1+C29)</f>
        <v>319135.3</v>
      </c>
    </row>
    <row r="12" spans="1:20" ht="24" hidden="1" customHeight="1" x14ac:dyDescent="0.3">
      <c r="A12" s="28">
        <v>8</v>
      </c>
      <c r="B12" s="28" t="s">
        <v>17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>
        <f t="shared" si="1"/>
        <v>0</v>
      </c>
    </row>
    <row r="13" spans="1:20" ht="24" customHeight="1" x14ac:dyDescent="0.3">
      <c r="A13" s="28">
        <v>9</v>
      </c>
      <c r="B13" s="28" t="s">
        <v>137</v>
      </c>
      <c r="C13" s="29" t="e">
        <f>ROUND('底表1（销售）'!F28,0)</f>
        <v>#REF!</v>
      </c>
      <c r="D13" s="29" t="e">
        <f>ROUND('底表1（销售）'!G28,0)</f>
        <v>#REF!</v>
      </c>
      <c r="E13" s="29" t="e">
        <f>ROUND('底表1（销售）'!H28,0)</f>
        <v>#REF!</v>
      </c>
      <c r="F13" s="29" t="e">
        <f>ROUND('底表1（销售）'!I28,0)</f>
        <v>#REF!</v>
      </c>
      <c r="G13" s="29" t="e">
        <f>ROUND('底表1（销售）'!J28,0)</f>
        <v>#REF!</v>
      </c>
      <c r="H13" s="29" t="e">
        <f>ROUND('底表1（销售）'!K28,0)</f>
        <v>#REF!</v>
      </c>
      <c r="I13" s="29" t="e">
        <f>ROUND('底表1（销售）'!L28,0)</f>
        <v>#REF!</v>
      </c>
      <c r="J13" s="29" t="e">
        <f>ROUND('底表1（销售）'!M28,0)</f>
        <v>#REF!</v>
      </c>
      <c r="K13" s="29" t="e">
        <f>ROUND('底表1（销售）'!N28,0)</f>
        <v>#REF!</v>
      </c>
      <c r="L13" s="29" t="e">
        <f>ROUND('底表1（销售）'!O28,0)</f>
        <v>#REF!</v>
      </c>
      <c r="M13" s="29" t="e">
        <f>ROUND('底表1（销售）'!P28,0)</f>
        <v>#REF!</v>
      </c>
      <c r="N13" s="29" t="e">
        <f>ROUND('底表1（销售）'!Q28,0)</f>
        <v>#REF!</v>
      </c>
      <c r="O13" s="29" t="e">
        <f>ROUND('底表1（销售）'!R28,0)</f>
        <v>#REF!</v>
      </c>
      <c r="P13" s="29" t="e">
        <f>ROUND('底表1（销售）'!S28,0)</f>
        <v>#REF!</v>
      </c>
      <c r="Q13" s="29" t="e">
        <f>ROUND('底表1（销售）'!T28,0)</f>
        <v>#REF!</v>
      </c>
      <c r="R13" s="29" t="e">
        <f>ROUND('底表1（销售）'!U28,0)</f>
        <v>#REF!</v>
      </c>
      <c r="S13" s="29" t="e">
        <f t="shared" si="1"/>
        <v>#REF!</v>
      </c>
      <c r="T13" s="26" t="e">
        <f>'底表1（销售）'!BS13</f>
        <v>#REF!</v>
      </c>
    </row>
    <row r="14" spans="1:20" ht="24" customHeight="1" x14ac:dyDescent="0.3">
      <c r="A14" s="28">
        <v>10</v>
      </c>
      <c r="B14" s="28" t="s">
        <v>19</v>
      </c>
      <c r="C14" s="29">
        <f>'主表4-1（敏感性分析 成本+10%）'!C9</f>
        <v>0</v>
      </c>
      <c r="D14" s="29">
        <f>'主表4-1（敏感性分析 成本+10%）'!D9</f>
        <v>0</v>
      </c>
      <c r="E14" s="29">
        <f>'主表4-1（敏感性分析 成本+10%）'!E9</f>
        <v>0</v>
      </c>
      <c r="F14" s="29">
        <f>'主表4-1（敏感性分析 成本+10%）'!F9</f>
        <v>0</v>
      </c>
      <c r="G14" s="29">
        <f>'主表4-1（敏感性分析 成本+10%）'!G9</f>
        <v>1133</v>
      </c>
      <c r="H14" s="29">
        <f>'主表4-1（敏感性分析 成本+10%）'!H9</f>
        <v>1804</v>
      </c>
      <c r="I14" s="29">
        <f>'主表4-1（敏感性分析 成本+10%）'!I9</f>
        <v>1437</v>
      </c>
      <c r="J14" s="29">
        <f>'主表4-1（敏感性分析 成本+10%）'!J9</f>
        <v>1306</v>
      </c>
      <c r="K14" s="29">
        <f>'主表4-1（敏感性分析 成本+10%）'!K9</f>
        <v>943</v>
      </c>
      <c r="L14" s="29">
        <f>'主表4-1（敏感性分析 成本+10%）'!L9</f>
        <v>0</v>
      </c>
      <c r="M14" s="29">
        <f>'主表4-1（敏感性分析 成本+10%）'!M9</f>
        <v>0</v>
      </c>
      <c r="N14" s="29">
        <f>'主表4-1（敏感性分析 成本+10%）'!N9</f>
        <v>0</v>
      </c>
      <c r="O14" s="29">
        <f>'主表4-1（敏感性分析 成本+10%）'!O9</f>
        <v>0</v>
      </c>
      <c r="P14" s="29">
        <f>'主表4-1（敏感性分析 成本+10%）'!P9</f>
        <v>0</v>
      </c>
      <c r="Q14" s="29">
        <f>'主表4-1（敏感性分析 成本+10%）'!Q9</f>
        <v>0</v>
      </c>
      <c r="R14" s="29">
        <f>'主表4-1（敏感性分析 成本+10%）'!R9</f>
        <v>0</v>
      </c>
      <c r="S14" s="29">
        <f t="shared" si="1"/>
        <v>6623</v>
      </c>
      <c r="T14" s="26">
        <f>'主表3（损益表）'!C10</f>
        <v>0</v>
      </c>
    </row>
    <row r="15" spans="1:20" ht="24" customHeight="1" x14ac:dyDescent="0.3">
      <c r="A15" s="28">
        <v>11</v>
      </c>
      <c r="B15" s="28" t="s">
        <v>11</v>
      </c>
      <c r="C15" s="29">
        <f>'主表4-1（敏感性分析 成本+10%）'!C14</f>
        <v>0</v>
      </c>
      <c r="D15" s="29">
        <f>'主表4-1（敏感性分析 成本+10%）'!D14</f>
        <v>0</v>
      </c>
      <c r="E15" s="29">
        <f>'主表4-1（敏感性分析 成本+10%）'!E14</f>
        <v>0</v>
      </c>
      <c r="F15" s="29" t="e">
        <f>'主表4-1（敏感性分析 成本+10%）'!F14</f>
        <v>#REF!</v>
      </c>
      <c r="G15" s="29">
        <f>'主表4-1（敏感性分析 成本+10%）'!G14</f>
        <v>0</v>
      </c>
      <c r="H15" s="29">
        <f>'主表4-1（敏感性分析 成本+10%）'!H14</f>
        <v>0</v>
      </c>
      <c r="I15" s="29">
        <f>'主表4-1（敏感性分析 成本+10%）'!I14</f>
        <v>0</v>
      </c>
      <c r="J15" s="29" t="e">
        <f>'主表4-1（敏感性分析 成本+10%）'!J14</f>
        <v>#REF!</v>
      </c>
      <c r="K15" s="29">
        <f>'主表4-1（敏感性分析 成本+10%）'!K14</f>
        <v>0</v>
      </c>
      <c r="L15" s="29">
        <f>'主表4-1（敏感性分析 成本+10%）'!L14</f>
        <v>0</v>
      </c>
      <c r="M15" s="29">
        <f>'主表4-1（敏感性分析 成本+10%）'!M14</f>
        <v>0</v>
      </c>
      <c r="N15" s="29" t="e">
        <f>'主表4-1（敏感性分析 成本+10%）'!N14</f>
        <v>#REF!</v>
      </c>
      <c r="O15" s="29">
        <f>'主表4-1（敏感性分析 成本+10%）'!O14</f>
        <v>0</v>
      </c>
      <c r="P15" s="29">
        <f>'主表4-1（敏感性分析 成本+10%）'!P14</f>
        <v>0</v>
      </c>
      <c r="Q15" s="29">
        <f>'主表4-1（敏感性分析 成本+10%）'!Q14</f>
        <v>0</v>
      </c>
      <c r="R15" s="29" t="e">
        <f>'主表4-1（敏感性分析 成本+10%）'!R14</f>
        <v>#REF!</v>
      </c>
      <c r="S15" s="29" t="e">
        <f t="shared" si="1"/>
        <v>#REF!</v>
      </c>
      <c r="T15" s="26">
        <f>'主表3（损益表）'!C15</f>
        <v>10153</v>
      </c>
    </row>
    <row r="16" spans="1:20" ht="24" customHeight="1" x14ac:dyDescent="0.3">
      <c r="A16" s="28">
        <v>12</v>
      </c>
      <c r="B16" s="28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>
        <f t="shared" si="1"/>
        <v>0</v>
      </c>
    </row>
    <row r="17" spans="1:19" ht="24" customHeight="1" x14ac:dyDescent="0.3">
      <c r="A17" s="28">
        <v>13</v>
      </c>
      <c r="B17" s="28" t="s">
        <v>20</v>
      </c>
      <c r="C17" s="29" t="e">
        <f t="shared" ref="C17:R17" si="3">C5-C10</f>
        <v>#REF!</v>
      </c>
      <c r="D17" s="29" t="e">
        <f t="shared" si="3"/>
        <v>#REF!</v>
      </c>
      <c r="E17" s="29" t="e">
        <f t="shared" si="3"/>
        <v>#REF!</v>
      </c>
      <c r="F17" s="29" t="e">
        <f t="shared" si="3"/>
        <v>#REF!</v>
      </c>
      <c r="G17" s="29" t="e">
        <f t="shared" si="3"/>
        <v>#REF!</v>
      </c>
      <c r="H17" s="29" t="e">
        <f t="shared" si="3"/>
        <v>#REF!</v>
      </c>
      <c r="I17" s="29" t="e">
        <f t="shared" si="3"/>
        <v>#REF!</v>
      </c>
      <c r="J17" s="29" t="e">
        <f t="shared" si="3"/>
        <v>#REF!</v>
      </c>
      <c r="K17" s="29" t="e">
        <f t="shared" si="3"/>
        <v>#REF!</v>
      </c>
      <c r="L17" s="29" t="e">
        <f t="shared" si="3"/>
        <v>#REF!</v>
      </c>
      <c r="M17" s="29" t="e">
        <f t="shared" si="3"/>
        <v>#REF!</v>
      </c>
      <c r="N17" s="29" t="e">
        <f t="shared" si="3"/>
        <v>#REF!</v>
      </c>
      <c r="O17" s="29" t="e">
        <f t="shared" si="3"/>
        <v>#REF!</v>
      </c>
      <c r="P17" s="29" t="e">
        <f t="shared" si="3"/>
        <v>#REF!</v>
      </c>
      <c r="Q17" s="29" t="e">
        <f t="shared" si="3"/>
        <v>#REF!</v>
      </c>
      <c r="R17" s="29" t="e">
        <f t="shared" si="3"/>
        <v>#REF!</v>
      </c>
      <c r="S17" s="29" t="e">
        <f t="shared" si="1"/>
        <v>#REF!</v>
      </c>
    </row>
    <row r="18" spans="1:19" ht="24" customHeight="1" x14ac:dyDescent="0.3">
      <c r="A18" s="28">
        <v>14</v>
      </c>
      <c r="B18" s="28" t="s">
        <v>21</v>
      </c>
      <c r="C18" s="29" t="e">
        <f>C17</f>
        <v>#REF!</v>
      </c>
      <c r="D18" s="29" t="e">
        <f>D17+C18</f>
        <v>#REF!</v>
      </c>
      <c r="E18" s="29" t="e">
        <f t="shared" ref="E18:R18" si="4">E17+D18</f>
        <v>#REF!</v>
      </c>
      <c r="F18" s="29" t="e">
        <f t="shared" si="4"/>
        <v>#REF!</v>
      </c>
      <c r="G18" s="29" t="e">
        <f t="shared" si="4"/>
        <v>#REF!</v>
      </c>
      <c r="H18" s="29" t="e">
        <f t="shared" si="4"/>
        <v>#REF!</v>
      </c>
      <c r="I18" s="29" t="e">
        <f t="shared" si="4"/>
        <v>#REF!</v>
      </c>
      <c r="J18" s="29" t="e">
        <f t="shared" si="4"/>
        <v>#REF!</v>
      </c>
      <c r="K18" s="29" t="e">
        <f t="shared" si="4"/>
        <v>#REF!</v>
      </c>
      <c r="L18" s="29" t="e">
        <f t="shared" si="4"/>
        <v>#REF!</v>
      </c>
      <c r="M18" s="29" t="e">
        <f t="shared" si="4"/>
        <v>#REF!</v>
      </c>
      <c r="N18" s="29" t="e">
        <f t="shared" si="4"/>
        <v>#REF!</v>
      </c>
      <c r="O18" s="29" t="e">
        <f t="shared" si="4"/>
        <v>#REF!</v>
      </c>
      <c r="P18" s="29" t="e">
        <f t="shared" si="4"/>
        <v>#REF!</v>
      </c>
      <c r="Q18" s="29" t="e">
        <f t="shared" si="4"/>
        <v>#REF!</v>
      </c>
      <c r="R18" s="29" t="e">
        <f t="shared" si="4"/>
        <v>#REF!</v>
      </c>
      <c r="S18" s="29"/>
    </row>
    <row r="19" spans="1:19" ht="24" customHeight="1" x14ac:dyDescent="0.3">
      <c r="A19" s="28">
        <v>15</v>
      </c>
      <c r="B19" s="28" t="s">
        <v>30</v>
      </c>
      <c r="C19" s="29" t="e">
        <f>C17/(1+$C$22)^C27</f>
        <v>#REF!</v>
      </c>
      <c r="D19" s="29" t="e">
        <f t="shared" ref="D19:R19" si="5">D17/(1+$C$22)^D27</f>
        <v>#REF!</v>
      </c>
      <c r="E19" s="29" t="e">
        <f t="shared" si="5"/>
        <v>#REF!</v>
      </c>
      <c r="F19" s="29" t="e">
        <f t="shared" si="5"/>
        <v>#REF!</v>
      </c>
      <c r="G19" s="29" t="e">
        <f t="shared" si="5"/>
        <v>#REF!</v>
      </c>
      <c r="H19" s="29" t="e">
        <f t="shared" si="5"/>
        <v>#REF!</v>
      </c>
      <c r="I19" s="29" t="e">
        <f t="shared" si="5"/>
        <v>#REF!</v>
      </c>
      <c r="J19" s="29" t="e">
        <f t="shared" si="5"/>
        <v>#REF!</v>
      </c>
      <c r="K19" s="29" t="e">
        <f t="shared" si="5"/>
        <v>#REF!</v>
      </c>
      <c r="L19" s="29" t="e">
        <f t="shared" si="5"/>
        <v>#REF!</v>
      </c>
      <c r="M19" s="29" t="e">
        <f t="shared" si="5"/>
        <v>#REF!</v>
      </c>
      <c r="N19" s="29" t="e">
        <f t="shared" si="5"/>
        <v>#REF!</v>
      </c>
      <c r="O19" s="29" t="e">
        <f t="shared" si="5"/>
        <v>#REF!</v>
      </c>
      <c r="P19" s="29" t="e">
        <f t="shared" si="5"/>
        <v>#REF!</v>
      </c>
      <c r="Q19" s="29" t="e">
        <f t="shared" si="5"/>
        <v>#REF!</v>
      </c>
      <c r="R19" s="29" t="e">
        <f t="shared" si="5"/>
        <v>#REF!</v>
      </c>
      <c r="S19" s="29" t="e">
        <f>SUM(C19:R19)</f>
        <v>#REF!</v>
      </c>
    </row>
    <row r="20" spans="1:19" ht="24" customHeight="1" x14ac:dyDescent="0.3">
      <c r="A20" s="28">
        <v>16</v>
      </c>
      <c r="B20" s="28" t="s">
        <v>22</v>
      </c>
      <c r="C20" s="29" t="e">
        <f>C19</f>
        <v>#REF!</v>
      </c>
      <c r="D20" s="29" t="e">
        <f>D19+C20</f>
        <v>#REF!</v>
      </c>
      <c r="E20" s="29" t="e">
        <f t="shared" ref="E20:R20" si="6">E19+D20</f>
        <v>#REF!</v>
      </c>
      <c r="F20" s="29" t="e">
        <f t="shared" si="6"/>
        <v>#REF!</v>
      </c>
      <c r="G20" s="29" t="e">
        <f t="shared" si="6"/>
        <v>#REF!</v>
      </c>
      <c r="H20" s="29" t="e">
        <f t="shared" si="6"/>
        <v>#REF!</v>
      </c>
      <c r="I20" s="29" t="e">
        <f t="shared" si="6"/>
        <v>#REF!</v>
      </c>
      <c r="J20" s="29" t="e">
        <f t="shared" si="6"/>
        <v>#REF!</v>
      </c>
      <c r="K20" s="29" t="e">
        <f t="shared" si="6"/>
        <v>#REF!</v>
      </c>
      <c r="L20" s="29" t="e">
        <f t="shared" si="6"/>
        <v>#REF!</v>
      </c>
      <c r="M20" s="29" t="e">
        <f t="shared" si="6"/>
        <v>#REF!</v>
      </c>
      <c r="N20" s="29" t="e">
        <f t="shared" si="6"/>
        <v>#REF!</v>
      </c>
      <c r="O20" s="29" t="e">
        <f t="shared" si="6"/>
        <v>#REF!</v>
      </c>
      <c r="P20" s="29" t="e">
        <f t="shared" si="6"/>
        <v>#REF!</v>
      </c>
      <c r="Q20" s="29" t="e">
        <f t="shared" si="6"/>
        <v>#REF!</v>
      </c>
      <c r="R20" s="29" t="e">
        <f t="shared" si="6"/>
        <v>#REF!</v>
      </c>
      <c r="S20" s="29" t="s">
        <v>0</v>
      </c>
    </row>
    <row r="21" spans="1:19" x14ac:dyDescent="0.3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</row>
    <row r="22" spans="1:19" x14ac:dyDescent="0.3">
      <c r="A22" s="46" t="s">
        <v>187</v>
      </c>
      <c r="B22" s="46"/>
      <c r="C22" s="49">
        <f>10%/4</f>
        <v>2.5000000000000001E-2</v>
      </c>
      <c r="D22" s="31"/>
      <c r="E22" s="31"/>
      <c r="F22" s="31"/>
      <c r="G22" s="31"/>
      <c r="H22" s="830" t="s">
        <v>87</v>
      </c>
      <c r="I22" s="830"/>
      <c r="J22" s="830"/>
      <c r="K22" s="32" t="e">
        <f>NPV(C22,C17:R17)</f>
        <v>#REF!</v>
      </c>
      <c r="L22" s="46" t="s">
        <v>53</v>
      </c>
      <c r="M22" s="46"/>
      <c r="N22" s="46"/>
      <c r="O22" s="46"/>
      <c r="P22" s="46"/>
      <c r="S22" s="46"/>
    </row>
    <row r="23" spans="1:19" x14ac:dyDescent="0.3">
      <c r="A23" s="46" t="s">
        <v>188</v>
      </c>
      <c r="B23" s="46"/>
      <c r="C23" s="33" t="e">
        <f>IRR(C17:R17)</f>
        <v>#VALUE!</v>
      </c>
      <c r="D23" s="33"/>
      <c r="E23" s="33"/>
      <c r="F23" s="33"/>
      <c r="G23" s="33"/>
      <c r="H23" s="830" t="s">
        <v>176</v>
      </c>
      <c r="I23" s="830"/>
      <c r="J23" s="830"/>
      <c r="K23" s="50">
        <f>(12*3-1)/12</f>
        <v>2.92</v>
      </c>
      <c r="L23" s="46" t="s">
        <v>54</v>
      </c>
      <c r="M23" s="46"/>
      <c r="N23" s="46"/>
      <c r="O23" s="46"/>
      <c r="P23" s="46"/>
      <c r="S23" s="46"/>
    </row>
    <row r="24" spans="1:19" x14ac:dyDescent="0.3">
      <c r="Q24" s="26">
        <v>5</v>
      </c>
      <c r="R24" s="26">
        <v>6</v>
      </c>
    </row>
    <row r="25" spans="1:19" x14ac:dyDescent="0.3">
      <c r="B25" s="26" t="s">
        <v>110</v>
      </c>
      <c r="C25" s="26">
        <v>1</v>
      </c>
    </row>
    <row r="26" spans="1:19" x14ac:dyDescent="0.3">
      <c r="B26" s="26" t="s">
        <v>111</v>
      </c>
      <c r="C26" s="26">
        <v>1</v>
      </c>
    </row>
    <row r="27" spans="1:19" x14ac:dyDescent="0.3">
      <c r="C27" s="26">
        <v>0</v>
      </c>
      <c r="D27" s="26">
        <v>0</v>
      </c>
      <c r="E27" s="26">
        <v>0.25</v>
      </c>
      <c r="F27" s="26">
        <f>E27+0.25</f>
        <v>0.5</v>
      </c>
      <c r="G27" s="26">
        <f t="shared" ref="G27:R27" si="7">F27+0.25</f>
        <v>0.75</v>
      </c>
      <c r="H27" s="26">
        <f t="shared" si="7"/>
        <v>1</v>
      </c>
      <c r="I27" s="26">
        <f t="shared" si="7"/>
        <v>1.25</v>
      </c>
      <c r="J27" s="26">
        <f t="shared" si="7"/>
        <v>1.5</v>
      </c>
      <c r="K27" s="26">
        <f t="shared" si="7"/>
        <v>1.75</v>
      </c>
      <c r="L27" s="26">
        <f t="shared" si="7"/>
        <v>2</v>
      </c>
      <c r="M27" s="26">
        <f t="shared" si="7"/>
        <v>2.25</v>
      </c>
      <c r="N27" s="26">
        <f t="shared" si="7"/>
        <v>2.5</v>
      </c>
      <c r="O27" s="26">
        <f t="shared" si="7"/>
        <v>2.75</v>
      </c>
      <c r="P27" s="26">
        <f t="shared" si="7"/>
        <v>3</v>
      </c>
      <c r="Q27" s="26">
        <f t="shared" si="7"/>
        <v>3.25</v>
      </c>
      <c r="R27" s="26">
        <f t="shared" si="7"/>
        <v>3.5</v>
      </c>
    </row>
    <row r="29" spans="1:19" x14ac:dyDescent="0.3">
      <c r="B29" s="23" t="s">
        <v>177</v>
      </c>
      <c r="C29" s="24">
        <v>0.1</v>
      </c>
    </row>
  </sheetData>
  <mergeCells count="8">
    <mergeCell ref="H22:J22"/>
    <mergeCell ref="H23:J23"/>
    <mergeCell ref="A1:R1"/>
    <mergeCell ref="C2:R2"/>
    <mergeCell ref="C3:F3"/>
    <mergeCell ref="G3:J3"/>
    <mergeCell ref="K3:N3"/>
    <mergeCell ref="O3:R3"/>
  </mergeCells>
  <phoneticPr fontId="19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8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theme="3" tint="0.79998168889431442"/>
  </sheetPr>
  <dimension ref="A1:AB25"/>
  <sheetViews>
    <sheetView view="pageBreakPreview" zoomScale="85" zoomScaleNormal="75" zoomScaleSheetLayoutView="85" workbookViewId="0">
      <pane xSplit="2" ySplit="4" topLeftCell="K5" activePane="bottomRight" state="frozen"/>
      <selection pane="topRight" activeCell="C1" sqref="C1"/>
      <selection pane="bottomLeft" activeCell="A5" sqref="A5"/>
      <selection pane="bottomRight" activeCell="K9" sqref="K9"/>
    </sheetView>
  </sheetViews>
  <sheetFormatPr defaultColWidth="11" defaultRowHeight="15.75" x14ac:dyDescent="0.25"/>
  <cols>
    <col min="1" max="1" width="4.625" style="1" customWidth="1"/>
    <col min="2" max="2" width="27" style="1" customWidth="1"/>
    <col min="3" max="19" width="13.125" style="1" customWidth="1"/>
    <col min="20" max="20" width="9.125" style="1" bestFit="1" customWidth="1"/>
    <col min="21" max="21" width="9.875" style="1" bestFit="1" customWidth="1"/>
    <col min="22" max="24" width="9.125" style="1" bestFit="1" customWidth="1"/>
    <col min="25" max="16384" width="11" style="1"/>
  </cols>
  <sheetData>
    <row r="1" spans="1:28" ht="27.75" customHeight="1" x14ac:dyDescent="0.3">
      <c r="A1" s="836" t="s">
        <v>90</v>
      </c>
      <c r="B1" s="836"/>
      <c r="C1" s="836"/>
      <c r="D1" s="836"/>
      <c r="E1" s="836"/>
      <c r="F1" s="836"/>
      <c r="G1" s="836"/>
      <c r="H1" s="836"/>
      <c r="I1" s="836"/>
      <c r="J1" s="836"/>
      <c r="K1" s="836"/>
      <c r="L1" s="836"/>
      <c r="M1" s="836"/>
      <c r="N1" s="836"/>
      <c r="O1" s="836"/>
      <c r="P1" s="836"/>
      <c r="Q1" s="836"/>
      <c r="R1" s="836"/>
      <c r="S1" s="836"/>
      <c r="T1" s="35"/>
      <c r="U1" s="35"/>
      <c r="V1" s="35"/>
      <c r="W1" s="35"/>
      <c r="X1" s="35"/>
    </row>
    <row r="2" spans="1:28" ht="68.25" customHeight="1" x14ac:dyDescent="0.3">
      <c r="A2" s="36" t="s">
        <v>91</v>
      </c>
      <c r="B2" s="36"/>
      <c r="C2" s="837" t="str">
        <f>基础数据!C5</f>
        <v>北京市密云区檀营乡6005地块R2二类居住用地（编号：京土整储挂（密）[2021]026号）居住项目</v>
      </c>
      <c r="D2" s="837"/>
      <c r="E2" s="837"/>
      <c r="F2" s="837"/>
      <c r="G2" s="837"/>
      <c r="H2" s="837"/>
      <c r="I2" s="837"/>
      <c r="J2" s="837"/>
      <c r="K2" s="837"/>
      <c r="L2" s="837"/>
      <c r="M2" s="837"/>
      <c r="N2" s="837"/>
      <c r="O2" s="837"/>
      <c r="P2" s="837"/>
      <c r="Q2" s="838" t="s">
        <v>8</v>
      </c>
      <c r="R2" s="838"/>
      <c r="S2" s="838"/>
      <c r="T2" s="35"/>
      <c r="U2" s="35"/>
      <c r="V2" s="35"/>
      <c r="W2" s="35"/>
      <c r="X2" s="35"/>
    </row>
    <row r="3" spans="1:28" ht="24.95" customHeight="1" x14ac:dyDescent="0.3">
      <c r="A3" s="48" t="s">
        <v>9</v>
      </c>
      <c r="B3" s="37" t="s">
        <v>81</v>
      </c>
      <c r="C3" s="839" t="str">
        <f>'主表1（成本）'!C3</f>
        <v>2021年</v>
      </c>
      <c r="D3" s="840"/>
      <c r="E3" s="840"/>
      <c r="F3" s="841"/>
      <c r="G3" s="839" t="str">
        <f>'主表1（成本）'!G3</f>
        <v>2022年</v>
      </c>
      <c r="H3" s="840"/>
      <c r="I3" s="840"/>
      <c r="J3" s="841"/>
      <c r="K3" s="839" t="str">
        <f>'主表1（成本）'!K3</f>
        <v>2023年</v>
      </c>
      <c r="L3" s="840"/>
      <c r="M3" s="840"/>
      <c r="N3" s="841"/>
      <c r="O3" s="839" t="str">
        <f>'主表1（成本）'!O3</f>
        <v>2024年</v>
      </c>
      <c r="P3" s="840"/>
      <c r="Q3" s="840"/>
      <c r="R3" s="841"/>
      <c r="S3" s="37" t="s">
        <v>93</v>
      </c>
      <c r="T3" s="35"/>
      <c r="U3" s="35"/>
      <c r="V3" s="35"/>
      <c r="W3" s="35"/>
      <c r="X3" s="35"/>
    </row>
    <row r="4" spans="1:28" ht="24.95" customHeight="1" x14ac:dyDescent="0.3">
      <c r="A4" s="48"/>
      <c r="B4" s="37"/>
      <c r="C4" s="37" t="str">
        <f>'主表1（成本）'!C4</f>
        <v>Q1</v>
      </c>
      <c r="D4" s="37" t="str">
        <f>'主表1（成本）'!D4</f>
        <v>Q2</v>
      </c>
      <c r="E4" s="37" t="str">
        <f>'主表1（成本）'!E4</f>
        <v>Q3</v>
      </c>
      <c r="F4" s="37" t="str">
        <f>'主表1（成本）'!F4</f>
        <v>Q4</v>
      </c>
      <c r="G4" s="37" t="str">
        <f>'主表1（成本）'!G4</f>
        <v>Q1</v>
      </c>
      <c r="H4" s="37" t="str">
        <f>'主表1（成本）'!H4</f>
        <v>Q2</v>
      </c>
      <c r="I4" s="37" t="str">
        <f>'主表1（成本）'!I4</f>
        <v>Q3</v>
      </c>
      <c r="J4" s="37" t="str">
        <f>'主表1（成本）'!J4</f>
        <v>Q4</v>
      </c>
      <c r="K4" s="37" t="str">
        <f>'主表1（成本）'!K4</f>
        <v>Q1</v>
      </c>
      <c r="L4" s="37" t="str">
        <f>'主表1（成本）'!L4</f>
        <v>Q2</v>
      </c>
      <c r="M4" s="37" t="str">
        <f>'主表1（成本）'!M4</f>
        <v>Q3</v>
      </c>
      <c r="N4" s="37" t="str">
        <f>'主表1（成本）'!N4</f>
        <v>Q4</v>
      </c>
      <c r="O4" s="37" t="str">
        <f>'主表1（成本）'!O4</f>
        <v>Q1</v>
      </c>
      <c r="P4" s="37" t="str">
        <f>'主表1（成本）'!P4</f>
        <v>Q2</v>
      </c>
      <c r="Q4" s="37" t="str">
        <f>'主表1（成本）'!Q4</f>
        <v>Q3</v>
      </c>
      <c r="R4" s="37" t="str">
        <f>'主表1（成本）'!R4</f>
        <v>Q4</v>
      </c>
      <c r="S4" s="37"/>
      <c r="T4" s="35"/>
      <c r="U4" s="35"/>
      <c r="V4" s="35"/>
      <c r="W4" s="35"/>
      <c r="X4" s="35"/>
    </row>
    <row r="5" spans="1:28" ht="24.95" customHeight="1" x14ac:dyDescent="0.3">
      <c r="A5" s="37">
        <v>1</v>
      </c>
      <c r="B5" s="48" t="s">
        <v>2</v>
      </c>
      <c r="C5" s="38" t="e">
        <f>ROUND('底表1（销售）'!F27,0)</f>
        <v>#REF!</v>
      </c>
      <c r="D5" s="38" t="e">
        <f>ROUND('底表1（销售）'!G27,0)</f>
        <v>#REF!</v>
      </c>
      <c r="E5" s="38" t="e">
        <f>ROUND('底表1（销售）'!H27,0)</f>
        <v>#REF!</v>
      </c>
      <c r="F5" s="38" t="e">
        <f>ROUND('底表1（销售）'!I27,0)</f>
        <v>#REF!</v>
      </c>
      <c r="G5" s="38" t="e">
        <f>ROUND('底表1（销售）'!J27,0)</f>
        <v>#REF!</v>
      </c>
      <c r="H5" s="38" t="e">
        <f>ROUND('底表1（销售）'!K27,0)</f>
        <v>#REF!</v>
      </c>
      <c r="I5" s="38" t="e">
        <f>ROUND('底表1（销售）'!L27,0)</f>
        <v>#REF!</v>
      </c>
      <c r="J5" s="38" t="e">
        <f>ROUND('底表1（销售）'!M27,0)</f>
        <v>#REF!</v>
      </c>
      <c r="K5" s="38" t="e">
        <f>ROUND('底表1（销售）'!N27,0)</f>
        <v>#REF!</v>
      </c>
      <c r="L5" s="38" t="e">
        <f>ROUND('底表1（销售）'!O27,0)</f>
        <v>#REF!</v>
      </c>
      <c r="M5" s="38" t="e">
        <f>ROUND('底表1（销售）'!P27,0)</f>
        <v>#REF!</v>
      </c>
      <c r="N5" s="38" t="e">
        <f>ROUND('底表1（销售）'!Q27,0)</f>
        <v>#REF!</v>
      </c>
      <c r="O5" s="38" t="e">
        <f>ROUND('底表1（销售）'!R27,0)</f>
        <v>#REF!</v>
      </c>
      <c r="P5" s="38" t="e">
        <f>ROUND('底表1（销售）'!S27,0)</f>
        <v>#REF!</v>
      </c>
      <c r="Q5" s="38" t="e">
        <f>ROUND('底表1（销售）'!T27,0)</f>
        <v>#REF!</v>
      </c>
      <c r="R5" s="38" t="e">
        <f>ROUND('底表1（销售）'!U27,0)</f>
        <v>#REF!</v>
      </c>
      <c r="S5" s="38" t="e">
        <f>SUM(C5:R5)</f>
        <v>#REF!</v>
      </c>
      <c r="T5" s="35" t="e">
        <f>'底表1（销售）'!BS6</f>
        <v>#REF!</v>
      </c>
      <c r="U5" s="35"/>
      <c r="V5" s="35"/>
      <c r="W5" s="35"/>
      <c r="X5" s="35"/>
    </row>
    <row r="6" spans="1:28" ht="24.95" customHeight="1" x14ac:dyDescent="0.3">
      <c r="A6" s="37">
        <v>2</v>
      </c>
      <c r="B6" s="48" t="s">
        <v>69</v>
      </c>
      <c r="C6" s="38" t="e">
        <f>C5/$S$5*'主表1（成本）'!$B$37*(1+$C$25)</f>
        <v>#REF!</v>
      </c>
      <c r="D6" s="38" t="e">
        <f>D5/$S$5*'主表1（成本）'!$B$37*(1+$C$25)</f>
        <v>#REF!</v>
      </c>
      <c r="E6" s="38" t="e">
        <f>E5/$S$5*'主表1（成本）'!$B$37*(1+$C$25)</f>
        <v>#REF!</v>
      </c>
      <c r="F6" s="38" t="e">
        <f>F5/$S$5*'主表1（成本）'!$B$37*(1+$C$25)</f>
        <v>#REF!</v>
      </c>
      <c r="G6" s="38" t="e">
        <f>G5/$S$5*'主表1（成本）'!$B$37*(1+$C$25)</f>
        <v>#REF!</v>
      </c>
      <c r="H6" s="38" t="e">
        <f>H5/$S$5*'主表1（成本）'!$B$37*(1+$C$25)</f>
        <v>#REF!</v>
      </c>
      <c r="I6" s="38" t="e">
        <f>I5/$S$5*'主表1（成本）'!$B$37*(1+$C$25)</f>
        <v>#REF!</v>
      </c>
      <c r="J6" s="38" t="e">
        <f>J5/$S$5*'主表1（成本）'!$B$37*(1+$C$25)</f>
        <v>#REF!</v>
      </c>
      <c r="K6" s="38" t="e">
        <f>K5/$S$5*'主表1（成本）'!$B$37*(1+$C$25)</f>
        <v>#REF!</v>
      </c>
      <c r="L6" s="38" t="e">
        <f>L5/$S$5*'主表1（成本）'!$B$37*(1+$C$25)</f>
        <v>#REF!</v>
      </c>
      <c r="M6" s="38" t="e">
        <f>M5/$S$5*'主表1（成本）'!$B$37*(1+$C$25)</f>
        <v>#REF!</v>
      </c>
      <c r="N6" s="38" t="e">
        <f>N5/$S$5*'主表1（成本）'!$B$37*(1+$C$25)</f>
        <v>#REF!</v>
      </c>
      <c r="O6" s="38" t="e">
        <f>O5/$S$5*'主表1（成本）'!$B$37*(1+$C$25)</f>
        <v>#REF!</v>
      </c>
      <c r="P6" s="38" t="e">
        <f>P5/$S$5*'主表1（成本）'!$B$37*(1+$C$25)</f>
        <v>#REF!</v>
      </c>
      <c r="Q6" s="38" t="e">
        <f>Q5/$S$5*'主表1（成本）'!$B$37*(1+$C$25)</f>
        <v>#REF!</v>
      </c>
      <c r="R6" s="38" t="e">
        <f>R5/$S$5*'主表1（成本）'!$B$37*(1+$C$25)</f>
        <v>#REF!</v>
      </c>
      <c r="S6" s="38" t="e">
        <f>SUM(C6:R6)</f>
        <v>#REF!</v>
      </c>
      <c r="T6" s="35">
        <f>'主表1（成本）'!B37*(1+$C$25)</f>
        <v>305308.3</v>
      </c>
      <c r="U6" s="35" t="e">
        <f>T6*'底表1（销售）'!BU17/'底表1（销售）'!BU16</f>
        <v>#DIV/0!</v>
      </c>
      <c r="V6" s="35"/>
      <c r="W6" s="35"/>
      <c r="X6" s="35"/>
    </row>
    <row r="7" spans="1:28" ht="24.95" customHeight="1" x14ac:dyDescent="0.3">
      <c r="A7" s="37">
        <v>3</v>
      </c>
      <c r="B7" s="48" t="s">
        <v>137</v>
      </c>
      <c r="C7" s="38" t="e">
        <f>ROUND('底表1（销售）'!F28,0)</f>
        <v>#REF!</v>
      </c>
      <c r="D7" s="38" t="e">
        <f>ROUND('底表1（销售）'!G28,0)</f>
        <v>#REF!</v>
      </c>
      <c r="E7" s="38" t="e">
        <f>ROUND('底表1（销售）'!H28,0)</f>
        <v>#REF!</v>
      </c>
      <c r="F7" s="38" t="e">
        <f>ROUND('底表1（销售）'!I28,0)</f>
        <v>#REF!</v>
      </c>
      <c r="G7" s="38" t="e">
        <f>ROUND('底表1（销售）'!J28,0)</f>
        <v>#REF!</v>
      </c>
      <c r="H7" s="38" t="e">
        <f>ROUND('底表1（销售）'!K28,0)</f>
        <v>#REF!</v>
      </c>
      <c r="I7" s="38" t="e">
        <f>ROUND('底表1（销售）'!L28,0)</f>
        <v>#REF!</v>
      </c>
      <c r="J7" s="38" t="e">
        <f>ROUND('底表1（销售）'!M28,0)</f>
        <v>#REF!</v>
      </c>
      <c r="K7" s="38" t="e">
        <f>ROUND('底表1（销售）'!N28,0)</f>
        <v>#REF!</v>
      </c>
      <c r="L7" s="38" t="e">
        <f>ROUND('底表1（销售）'!O28,0)</f>
        <v>#REF!</v>
      </c>
      <c r="M7" s="38" t="e">
        <f>ROUND('底表1（销售）'!P28,0)</f>
        <v>#REF!</v>
      </c>
      <c r="N7" s="38" t="e">
        <f>ROUND('底表1（销售）'!Q28,0)</f>
        <v>#REF!</v>
      </c>
      <c r="O7" s="38" t="e">
        <f>ROUND('底表1（销售）'!R28,0)</f>
        <v>#REF!</v>
      </c>
      <c r="P7" s="38" t="e">
        <f>ROUND('底表1（销售）'!S28,0)</f>
        <v>#REF!</v>
      </c>
      <c r="Q7" s="38" t="e">
        <f>ROUND('底表1（销售）'!T28,0)</f>
        <v>#REF!</v>
      </c>
      <c r="R7" s="38" t="e">
        <f>ROUND('底表1（销售）'!U28,0)</f>
        <v>#REF!</v>
      </c>
      <c r="S7" s="38" t="e">
        <f>SUM(C7:R7)</f>
        <v>#REF!</v>
      </c>
      <c r="T7" s="35" t="e">
        <f>'底表1（销售）'!BS13</f>
        <v>#REF!</v>
      </c>
      <c r="U7" s="35"/>
      <c r="V7" s="35"/>
      <c r="W7" s="35"/>
      <c r="X7" s="35"/>
    </row>
    <row r="8" spans="1:28" ht="24.95" hidden="1" customHeight="1" x14ac:dyDescent="0.3">
      <c r="A8" s="37">
        <v>4</v>
      </c>
      <c r="B8" s="48" t="s">
        <v>18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>
        <f>SUM(C8:Q8)</f>
        <v>0</v>
      </c>
      <c r="T8" s="35"/>
      <c r="U8" s="35"/>
      <c r="V8" s="35"/>
      <c r="W8" s="35"/>
      <c r="X8" s="35"/>
    </row>
    <row r="9" spans="1:28" s="6" customFormat="1" ht="24.95" customHeight="1" x14ac:dyDescent="0.3">
      <c r="A9" s="37">
        <v>5</v>
      </c>
      <c r="B9" s="48" t="s">
        <v>19</v>
      </c>
      <c r="C9" s="38">
        <f>ROUND(('底表1（销售）'!F21+'底表1（销售）'!F22+'底表1（销售）'!F23)*2%,0)</f>
        <v>0</v>
      </c>
      <c r="D9" s="38">
        <f>ROUND(('底表1（销售）'!G21+'底表1（销售）'!G22+'底表1（销售）'!G23)*2%,0)</f>
        <v>0</v>
      </c>
      <c r="E9" s="38">
        <f>ROUND(('底表1（销售）'!H21+'底表1（销售）'!H22+'底表1（销售）'!H23)*2%,0)</f>
        <v>0</v>
      </c>
      <c r="F9" s="38">
        <f>ROUND(('底表1（销售）'!I21+'底表1（销售）'!I22+'底表1（销售）'!I23)*2%,0)</f>
        <v>0</v>
      </c>
      <c r="G9" s="38">
        <f>ROUND(('底表1（销售）'!J21+'底表1（销售）'!J22+'底表1（销售）'!J23)*2%,0)</f>
        <v>1133</v>
      </c>
      <c r="H9" s="38">
        <f>ROUND(('底表1（销售）'!K21+'底表1（销售）'!K22+'底表1（销售）'!K23)*2%,0)</f>
        <v>1804</v>
      </c>
      <c r="I9" s="38">
        <f>ROUND(('底表1（销售）'!L21+'底表1（销售）'!L22+'底表1（销售）'!L23)*2%,0)</f>
        <v>1437</v>
      </c>
      <c r="J9" s="38">
        <f>ROUND(('底表1（销售）'!M21+'底表1（销售）'!M22+'底表1（销售）'!M23)*2%,0)</f>
        <v>1306</v>
      </c>
      <c r="K9" s="38">
        <f>ROUND(('底表1（销售）'!N21+'底表1（销售）'!N22+'底表1（销售）'!N23)*2%,0)</f>
        <v>943</v>
      </c>
      <c r="L9" s="38">
        <f>ROUND(('底表1（销售）'!O21+'底表1（销售）'!O22+'底表1（销售）'!O23)*2%,0)</f>
        <v>0</v>
      </c>
      <c r="M9" s="38">
        <f>ROUND(('底表1（销售）'!P21+'底表1（销售）'!P22+'底表1（销售）'!P23)*2%,0)</f>
        <v>0</v>
      </c>
      <c r="N9" s="38">
        <f>ROUND(('底表1（销售）'!Q21+'底表1（销售）'!Q22+'底表1（销售）'!Q23)*2%,0)</f>
        <v>0</v>
      </c>
      <c r="O9" s="38">
        <f>ROUND(('底表1（销售）'!R21+'底表1（销售）'!R22+'底表1（销售）'!R23)*2%,0)</f>
        <v>0</v>
      </c>
      <c r="P9" s="38">
        <f>ROUND(('底表1（销售）'!S21+'底表1（销售）'!S22+'底表1（销售）'!S23)*2%,0)</f>
        <v>0</v>
      </c>
      <c r="Q9" s="38">
        <f>ROUND(('底表1（销售）'!T21+'底表1（销售）'!T22+'底表1（销售）'!T23)*2%,0)</f>
        <v>0</v>
      </c>
      <c r="R9" s="38">
        <f>ROUND(('底表1（销售）'!U21+'底表1（销售）'!U22+'底表1（销售）'!U23)*2%,0)</f>
        <v>0</v>
      </c>
      <c r="S9" s="38">
        <f t="shared" ref="S9:S19" si="0">SUM(C9:R9)</f>
        <v>6623</v>
      </c>
      <c r="T9" s="39">
        <f>S9</f>
        <v>6623</v>
      </c>
      <c r="U9" s="40"/>
      <c r="V9" s="35"/>
      <c r="W9" s="34" t="s">
        <v>170</v>
      </c>
      <c r="X9" s="34" t="s">
        <v>171</v>
      </c>
      <c r="Y9" s="19"/>
      <c r="Z9" s="19" t="s">
        <v>172</v>
      </c>
      <c r="AA9" s="19" t="s">
        <v>173</v>
      </c>
      <c r="AB9" s="19" t="s">
        <v>174</v>
      </c>
    </row>
    <row r="10" spans="1:28" ht="24.95" customHeight="1" x14ac:dyDescent="0.3">
      <c r="A10" s="37">
        <v>6</v>
      </c>
      <c r="B10" s="48" t="s">
        <v>42</v>
      </c>
      <c r="C10" s="38">
        <f>'主表1（成本）'!C32</f>
        <v>0</v>
      </c>
      <c r="D10" s="38">
        <f>'主表1（成本）'!D32</f>
        <v>0</v>
      </c>
      <c r="E10" s="38">
        <f>'主表1（成本）'!E32</f>
        <v>0</v>
      </c>
      <c r="F10" s="38">
        <f>'主表1（成本）'!F32</f>
        <v>1003</v>
      </c>
      <c r="G10" s="38">
        <f>'主表1（成本）'!G32</f>
        <v>994</v>
      </c>
      <c r="H10" s="38">
        <f>'主表1（成本）'!H32</f>
        <v>1183</v>
      </c>
      <c r="I10" s="38">
        <f>'主表1（成本）'!I32</f>
        <v>1147</v>
      </c>
      <c r="J10" s="38">
        <f>'主表1（成本）'!J32</f>
        <v>861</v>
      </c>
      <c r="K10" s="38">
        <f>'主表1（成本）'!K32</f>
        <v>751</v>
      </c>
      <c r="L10" s="38">
        <f>'主表1（成本）'!L32</f>
        <v>475</v>
      </c>
      <c r="M10" s="38">
        <f>'主表1（成本）'!M32</f>
        <v>294</v>
      </c>
      <c r="N10" s="38">
        <f>'主表1（成本）'!N32</f>
        <v>262</v>
      </c>
      <c r="O10" s="38">
        <f>'主表1（成本）'!O32</f>
        <v>101</v>
      </c>
      <c r="P10" s="38">
        <f>'主表1（成本）'!P32</f>
        <v>11</v>
      </c>
      <c r="Q10" s="38">
        <f>'主表1（成本）'!Q32</f>
        <v>0</v>
      </c>
      <c r="R10" s="38">
        <f>'主表1（成本）'!R32</f>
        <v>0</v>
      </c>
      <c r="S10" s="38">
        <f t="shared" si="0"/>
        <v>7082</v>
      </c>
      <c r="T10" s="35">
        <f>'主表1（成本）'!B32</f>
        <v>7082</v>
      </c>
      <c r="U10" s="40"/>
      <c r="V10" s="35"/>
      <c r="W10" s="34" t="e">
        <f>ROUND(S6+'底表1（销售）'!BS13+'主表4-1（敏感性分析 成本+10%）'!S6*20%,0)</f>
        <v>#REF!</v>
      </c>
      <c r="X10" s="41" t="e">
        <f>S5/1.09-W10</f>
        <v>#REF!</v>
      </c>
      <c r="Y10" s="20"/>
      <c r="Z10" s="21" t="e">
        <f>X10/W10</f>
        <v>#REF!</v>
      </c>
      <c r="AA10" s="22">
        <v>0.3</v>
      </c>
      <c r="AB10" s="22">
        <v>0</v>
      </c>
    </row>
    <row r="11" spans="1:28" ht="24.95" customHeight="1" x14ac:dyDescent="0.3">
      <c r="A11" s="37">
        <v>7</v>
      </c>
      <c r="B11" s="48" t="s">
        <v>68</v>
      </c>
      <c r="C11" s="38">
        <f>'主表1（成本）'!C33</f>
        <v>0</v>
      </c>
      <c r="D11" s="38">
        <f>'主表1（成本）'!D33</f>
        <v>3476</v>
      </c>
      <c r="E11" s="38">
        <f>'主表1（成本）'!E33</f>
        <v>474</v>
      </c>
      <c r="F11" s="38">
        <f>'主表1（成本）'!F33</f>
        <v>252</v>
      </c>
      <c r="G11" s="38">
        <f>'主表1（成本）'!G33</f>
        <v>165</v>
      </c>
      <c r="H11" s="38">
        <f>'主表1（成本）'!H33</f>
        <v>165</v>
      </c>
      <c r="I11" s="38">
        <f>'主表1（成本）'!I33</f>
        <v>165</v>
      </c>
      <c r="J11" s="38">
        <f>'主表1（成本）'!J33</f>
        <v>165</v>
      </c>
      <c r="K11" s="38">
        <f>'主表1（成本）'!K33</f>
        <v>132</v>
      </c>
      <c r="L11" s="38">
        <f>'主表1（成本）'!L33</f>
        <v>132</v>
      </c>
      <c r="M11" s="38">
        <f>'主表1（成本）'!M33</f>
        <v>99</v>
      </c>
      <c r="N11" s="38">
        <f>'主表1（成本）'!N33</f>
        <v>99</v>
      </c>
      <c r="O11" s="38">
        <f>'主表1（成本）'!O33</f>
        <v>82</v>
      </c>
      <c r="P11" s="38">
        <f>'主表1（成本）'!P33</f>
        <v>82</v>
      </c>
      <c r="Q11" s="38">
        <f>'主表1（成本）'!Q33</f>
        <v>0</v>
      </c>
      <c r="R11" s="38">
        <f>'主表1（成本）'!R33</f>
        <v>0</v>
      </c>
      <c r="S11" s="38">
        <f t="shared" si="0"/>
        <v>5488</v>
      </c>
      <c r="T11" s="35">
        <f>'主表1（成本）'!B33</f>
        <v>5488</v>
      </c>
      <c r="U11" s="40"/>
      <c r="V11" s="35"/>
      <c r="W11" s="35"/>
      <c r="X11" s="35"/>
    </row>
    <row r="12" spans="1:28" ht="24.95" hidden="1" customHeight="1" x14ac:dyDescent="0.3">
      <c r="A12" s="37">
        <v>8</v>
      </c>
      <c r="B12" s="48" t="s">
        <v>29</v>
      </c>
      <c r="C12" s="38">
        <f>'主表1（成本）'!C34</f>
        <v>0</v>
      </c>
      <c r="D12" s="38"/>
      <c r="E12" s="38"/>
      <c r="F12" s="38"/>
      <c r="G12" s="38"/>
      <c r="H12" s="38"/>
      <c r="I12" s="38"/>
      <c r="J12" s="38"/>
      <c r="K12" s="38"/>
      <c r="L12" s="38"/>
      <c r="M12" s="42">
        <f>'主表1（成本）'!M34</f>
        <v>0</v>
      </c>
      <c r="N12" s="42">
        <f>'主表1（成本）'!N34</f>
        <v>0</v>
      </c>
      <c r="O12" s="38">
        <f>'主表1（成本）'!O34</f>
        <v>0</v>
      </c>
      <c r="P12" s="38">
        <f>'主表1（成本）'!P34</f>
        <v>0</v>
      </c>
      <c r="Q12" s="38"/>
      <c r="R12" s="38"/>
      <c r="S12" s="38">
        <f t="shared" si="0"/>
        <v>0</v>
      </c>
      <c r="T12" s="35">
        <f>'主表1（成本）'!B34</f>
        <v>12470</v>
      </c>
      <c r="U12" s="40"/>
      <c r="V12" s="35"/>
      <c r="W12" s="35"/>
      <c r="X12" s="35"/>
    </row>
    <row r="13" spans="1:28" ht="24.95" customHeight="1" x14ac:dyDescent="0.3">
      <c r="A13" s="37">
        <v>9</v>
      </c>
      <c r="B13" s="48" t="s">
        <v>3</v>
      </c>
      <c r="C13" s="38" t="e">
        <f>C5-C6-C7-C8-C9-C10-C11-C12</f>
        <v>#REF!</v>
      </c>
      <c r="D13" s="38" t="e">
        <f t="shared" ref="D13:R13" si="1">D5-D6-D7-D8-D9-D10-D11-D12</f>
        <v>#REF!</v>
      </c>
      <c r="E13" s="38" t="e">
        <f t="shared" si="1"/>
        <v>#REF!</v>
      </c>
      <c r="F13" s="38" t="e">
        <f t="shared" si="1"/>
        <v>#REF!</v>
      </c>
      <c r="G13" s="38" t="e">
        <f t="shared" si="1"/>
        <v>#REF!</v>
      </c>
      <c r="H13" s="38" t="e">
        <f t="shared" si="1"/>
        <v>#REF!</v>
      </c>
      <c r="I13" s="38" t="e">
        <f t="shared" si="1"/>
        <v>#REF!</v>
      </c>
      <c r="J13" s="38" t="e">
        <f t="shared" si="1"/>
        <v>#REF!</v>
      </c>
      <c r="K13" s="38" t="e">
        <f t="shared" si="1"/>
        <v>#REF!</v>
      </c>
      <c r="L13" s="38" t="e">
        <f t="shared" si="1"/>
        <v>#REF!</v>
      </c>
      <c r="M13" s="38" t="e">
        <f t="shared" si="1"/>
        <v>#REF!</v>
      </c>
      <c r="N13" s="38" t="e">
        <f t="shared" si="1"/>
        <v>#REF!</v>
      </c>
      <c r="O13" s="38" t="e">
        <f t="shared" si="1"/>
        <v>#REF!</v>
      </c>
      <c r="P13" s="38" t="e">
        <f t="shared" si="1"/>
        <v>#REF!</v>
      </c>
      <c r="Q13" s="38" t="e">
        <f t="shared" si="1"/>
        <v>#REF!</v>
      </c>
      <c r="R13" s="38" t="e">
        <f t="shared" si="1"/>
        <v>#REF!</v>
      </c>
      <c r="S13" s="38" t="e">
        <f>SUM(C13:R13)</f>
        <v>#REF!</v>
      </c>
      <c r="T13" s="35"/>
      <c r="U13" s="39" t="e">
        <f>C13</f>
        <v>#REF!</v>
      </c>
      <c r="V13" s="39" t="e">
        <f>M13+C13</f>
        <v>#REF!</v>
      </c>
      <c r="W13" s="39" t="e">
        <f>N13+M13+C13</f>
        <v>#REF!</v>
      </c>
      <c r="X13" s="39"/>
      <c r="Y13" s="3"/>
      <c r="Z13" s="3"/>
    </row>
    <row r="14" spans="1:28" s="6" customFormat="1" ht="24.95" customHeight="1" x14ac:dyDescent="0.3">
      <c r="A14" s="37">
        <v>10</v>
      </c>
      <c r="B14" s="48" t="s">
        <v>31</v>
      </c>
      <c r="C14" s="38"/>
      <c r="D14" s="38"/>
      <c r="E14" s="38"/>
      <c r="F14" s="38" t="e">
        <f>IF((SUM($C$13:F13))&lt;0,0,IF(SUM($C$13:F13)&gt;=0,(SUM($C$13:F13)*基础数据!$C$42)))</f>
        <v>#REF!</v>
      </c>
      <c r="G14" s="38"/>
      <c r="H14" s="38"/>
      <c r="I14" s="38"/>
      <c r="J14" s="38" t="e">
        <f>IF((SUM($C$13:J13))&lt;0,0,IF(SUM($C$13:J13)&gt;=0,(SUM($C$13:J13)*基础数据!$C$42)))</f>
        <v>#REF!</v>
      </c>
      <c r="K14" s="38"/>
      <c r="L14" s="38"/>
      <c r="M14" s="38"/>
      <c r="N14" s="38" t="e">
        <f>IF((SUM($K$13:N13))&lt;0,0,IF(SUM($K$13:N13)&gt;=0,(SUM($K$13:N13)*基础数据!$C$42)))</f>
        <v>#REF!</v>
      </c>
      <c r="O14" s="38"/>
      <c r="P14" s="38"/>
      <c r="Q14" s="38"/>
      <c r="R14" s="38" t="e">
        <f>IF((SUM($O$13:R13))&lt;0,0,IF(SUM($O$13:R13)&gt;=0,(SUM($O$13:R13)*基础数据!$C$42)))</f>
        <v>#REF!</v>
      </c>
      <c r="S14" s="38" t="e">
        <f>SUM(C14:R14)</f>
        <v>#REF!</v>
      </c>
      <c r="T14" s="35"/>
      <c r="U14" s="35"/>
      <c r="V14" s="35"/>
      <c r="W14" s="35"/>
      <c r="X14" s="35"/>
    </row>
    <row r="15" spans="1:28" ht="24.95" customHeight="1" x14ac:dyDescent="0.3">
      <c r="A15" s="37">
        <v>11</v>
      </c>
      <c r="B15" s="48" t="s">
        <v>26</v>
      </c>
      <c r="C15" s="38" t="e">
        <f>C13-C14</f>
        <v>#REF!</v>
      </c>
      <c r="D15" s="38" t="e">
        <f t="shared" ref="D15:R15" si="2">D13-D14</f>
        <v>#REF!</v>
      </c>
      <c r="E15" s="38" t="e">
        <f t="shared" si="2"/>
        <v>#REF!</v>
      </c>
      <c r="F15" s="38" t="e">
        <f t="shared" si="2"/>
        <v>#REF!</v>
      </c>
      <c r="G15" s="38" t="e">
        <f t="shared" si="2"/>
        <v>#REF!</v>
      </c>
      <c r="H15" s="38" t="e">
        <f t="shared" si="2"/>
        <v>#REF!</v>
      </c>
      <c r="I15" s="38" t="e">
        <f t="shared" si="2"/>
        <v>#REF!</v>
      </c>
      <c r="J15" s="38" t="e">
        <f t="shared" si="2"/>
        <v>#REF!</v>
      </c>
      <c r="K15" s="38" t="e">
        <f t="shared" si="2"/>
        <v>#REF!</v>
      </c>
      <c r="L15" s="38" t="e">
        <f t="shared" si="2"/>
        <v>#REF!</v>
      </c>
      <c r="M15" s="38" t="e">
        <f t="shared" si="2"/>
        <v>#REF!</v>
      </c>
      <c r="N15" s="38" t="e">
        <f t="shared" si="2"/>
        <v>#REF!</v>
      </c>
      <c r="O15" s="38" t="e">
        <f t="shared" si="2"/>
        <v>#REF!</v>
      </c>
      <c r="P15" s="38" t="e">
        <f t="shared" si="2"/>
        <v>#REF!</v>
      </c>
      <c r="Q15" s="38" t="e">
        <f t="shared" si="2"/>
        <v>#REF!</v>
      </c>
      <c r="R15" s="38" t="e">
        <f t="shared" si="2"/>
        <v>#REF!</v>
      </c>
      <c r="S15" s="38" t="e">
        <f t="shared" si="0"/>
        <v>#REF!</v>
      </c>
      <c r="T15" s="35"/>
      <c r="U15" s="35"/>
      <c r="V15" s="35"/>
      <c r="W15" s="35"/>
      <c r="X15" s="35"/>
    </row>
    <row r="16" spans="1:28" ht="24.95" customHeight="1" x14ac:dyDescent="0.3">
      <c r="A16" s="37">
        <v>12</v>
      </c>
      <c r="B16" s="48" t="s">
        <v>103</v>
      </c>
      <c r="C16" s="38"/>
      <c r="D16" s="38" t="e">
        <f>C21</f>
        <v>#REF!</v>
      </c>
      <c r="E16" s="38" t="e">
        <f t="shared" ref="E16:R16" si="3">D21</f>
        <v>#REF!</v>
      </c>
      <c r="F16" s="38" t="e">
        <f t="shared" si="3"/>
        <v>#REF!</v>
      </c>
      <c r="G16" s="38" t="e">
        <f t="shared" si="3"/>
        <v>#REF!</v>
      </c>
      <c r="H16" s="38" t="e">
        <f t="shared" si="3"/>
        <v>#REF!</v>
      </c>
      <c r="I16" s="38" t="e">
        <f t="shared" si="3"/>
        <v>#REF!</v>
      </c>
      <c r="J16" s="38" t="e">
        <f t="shared" si="3"/>
        <v>#REF!</v>
      </c>
      <c r="K16" s="38" t="e">
        <f t="shared" si="3"/>
        <v>#REF!</v>
      </c>
      <c r="L16" s="38" t="e">
        <f t="shared" si="3"/>
        <v>#REF!</v>
      </c>
      <c r="M16" s="38" t="e">
        <f t="shared" si="3"/>
        <v>#REF!</v>
      </c>
      <c r="N16" s="38" t="e">
        <f t="shared" si="3"/>
        <v>#REF!</v>
      </c>
      <c r="O16" s="38" t="e">
        <f t="shared" si="3"/>
        <v>#REF!</v>
      </c>
      <c r="P16" s="38" t="e">
        <f t="shared" si="3"/>
        <v>#REF!</v>
      </c>
      <c r="Q16" s="38" t="e">
        <f t="shared" si="3"/>
        <v>#REF!</v>
      </c>
      <c r="R16" s="38" t="e">
        <f t="shared" si="3"/>
        <v>#REF!</v>
      </c>
      <c r="S16" s="38"/>
      <c r="T16" s="35"/>
      <c r="U16" s="35"/>
      <c r="V16" s="35"/>
      <c r="W16" s="35"/>
      <c r="X16" s="35"/>
    </row>
    <row r="17" spans="1:24" ht="24.95" customHeight="1" x14ac:dyDescent="0.3">
      <c r="A17" s="37">
        <v>13</v>
      </c>
      <c r="B17" s="48" t="s">
        <v>27</v>
      </c>
      <c r="C17" s="38" t="e">
        <f>C16+C15</f>
        <v>#REF!</v>
      </c>
      <c r="D17" s="38" t="e">
        <f t="shared" ref="D17:R17" si="4">D16+D15</f>
        <v>#REF!</v>
      </c>
      <c r="E17" s="38" t="e">
        <f t="shared" si="4"/>
        <v>#REF!</v>
      </c>
      <c r="F17" s="38" t="e">
        <f t="shared" si="4"/>
        <v>#REF!</v>
      </c>
      <c r="G17" s="38" t="e">
        <f t="shared" si="4"/>
        <v>#REF!</v>
      </c>
      <c r="H17" s="38" t="e">
        <f t="shared" si="4"/>
        <v>#REF!</v>
      </c>
      <c r="I17" s="38" t="e">
        <f t="shared" si="4"/>
        <v>#REF!</v>
      </c>
      <c r="J17" s="38" t="e">
        <f t="shared" si="4"/>
        <v>#REF!</v>
      </c>
      <c r="K17" s="38" t="e">
        <f t="shared" si="4"/>
        <v>#REF!</v>
      </c>
      <c r="L17" s="38" t="e">
        <f t="shared" si="4"/>
        <v>#REF!</v>
      </c>
      <c r="M17" s="38" t="e">
        <f t="shared" si="4"/>
        <v>#REF!</v>
      </c>
      <c r="N17" s="38" t="e">
        <f t="shared" si="4"/>
        <v>#REF!</v>
      </c>
      <c r="O17" s="38" t="e">
        <f t="shared" si="4"/>
        <v>#REF!</v>
      </c>
      <c r="P17" s="38" t="e">
        <f t="shared" si="4"/>
        <v>#REF!</v>
      </c>
      <c r="Q17" s="38" t="e">
        <f t="shared" si="4"/>
        <v>#REF!</v>
      </c>
      <c r="R17" s="38" t="e">
        <f t="shared" si="4"/>
        <v>#REF!</v>
      </c>
      <c r="S17" s="38"/>
      <c r="T17" s="35"/>
      <c r="U17" s="35"/>
      <c r="V17" s="35"/>
      <c r="W17" s="35"/>
      <c r="X17" s="35"/>
    </row>
    <row r="18" spans="1:24" s="6" customFormat="1" ht="24.95" customHeight="1" x14ac:dyDescent="0.3">
      <c r="A18" s="37">
        <v>14</v>
      </c>
      <c r="B18" s="48" t="s">
        <v>138</v>
      </c>
      <c r="C18" s="38"/>
      <c r="D18" s="38"/>
      <c r="E18" s="38"/>
      <c r="F18" s="38" t="e">
        <f>IF(SUM(C15:F15)&lt;0,0,IF(SUM(C15:F15)&gt;=0,SUM(C15:F15)*基础数据!$C$46))</f>
        <v>#REF!</v>
      </c>
      <c r="G18" s="38"/>
      <c r="H18" s="38"/>
      <c r="I18" s="38"/>
      <c r="J18" s="38" t="e">
        <f>IF(SUM(G15:J15)&lt;0,0,IF(SUM(G15:J15)&gt;=0,SUM(G15:J15)*基础数据!$C$46))</f>
        <v>#REF!</v>
      </c>
      <c r="K18" s="38"/>
      <c r="L18" s="38"/>
      <c r="M18" s="38"/>
      <c r="N18" s="38" t="e">
        <f>IF(SUM(K15:N15)&lt;0,0,IF(SUM(K15:N15)&gt;=0,SUM(K15:N15)*基础数据!$C$46))</f>
        <v>#REF!</v>
      </c>
      <c r="O18" s="38"/>
      <c r="P18" s="38"/>
      <c r="Q18" s="38"/>
      <c r="R18" s="38" t="e">
        <f>IF(SUM(O15:R15)&lt;0,0,IF(SUM(O15:R15)&gt;=0,SUM(O15:R15)*基础数据!$C$46))</f>
        <v>#REF!</v>
      </c>
      <c r="S18" s="38" t="e">
        <f t="shared" si="0"/>
        <v>#REF!</v>
      </c>
      <c r="T18" s="35"/>
      <c r="U18" s="35"/>
      <c r="V18" s="35"/>
      <c r="W18" s="35"/>
      <c r="X18" s="35"/>
    </row>
    <row r="19" spans="1:24" s="6" customFormat="1" ht="24.95" hidden="1" customHeight="1" x14ac:dyDescent="0.3">
      <c r="A19" s="37">
        <v>15</v>
      </c>
      <c r="B19" s="48"/>
      <c r="C19" s="38" t="e">
        <f>IF(C15&lt;0,0,IF(C15&gt;=0,C15*基础数据!$C$47))</f>
        <v>#REF!</v>
      </c>
      <c r="D19" s="38"/>
      <c r="E19" s="38"/>
      <c r="F19" s="38"/>
      <c r="G19" s="38"/>
      <c r="H19" s="38"/>
      <c r="I19" s="38"/>
      <c r="J19" s="38"/>
      <c r="K19" s="38"/>
      <c r="L19" s="38"/>
      <c r="M19" s="38" t="e">
        <f>IF(M15&lt;0,0,IF(M15&gt;=0,M15*基础数据!$C$47))</f>
        <v>#REF!</v>
      </c>
      <c r="N19" s="38" t="e">
        <f>IF(N15&lt;0,0,IF(N15&gt;=0,N15*基础数据!$C$47))</f>
        <v>#REF!</v>
      </c>
      <c r="O19" s="38" t="e">
        <f>IF(O15&lt;0,0,IF(O15&gt;=0,O15*基础数据!$C$47))</f>
        <v>#REF!</v>
      </c>
      <c r="P19" s="38" t="e">
        <f>IF(P15&lt;0,0,IF(P15&gt;=0,P15*基础数据!$C$47))</f>
        <v>#REF!</v>
      </c>
      <c r="Q19" s="38"/>
      <c r="R19" s="38"/>
      <c r="S19" s="38" t="e">
        <f t="shared" si="0"/>
        <v>#REF!</v>
      </c>
      <c r="T19" s="35"/>
      <c r="U19" s="35"/>
      <c r="V19" s="35"/>
      <c r="W19" s="35"/>
      <c r="X19" s="35"/>
    </row>
    <row r="20" spans="1:24" ht="24.95" hidden="1" customHeight="1" x14ac:dyDescent="0.3">
      <c r="A20" s="37">
        <v>16</v>
      </c>
      <c r="B20" s="48" t="s">
        <v>105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>
        <f>SUM(C20:Q20)</f>
        <v>0</v>
      </c>
      <c r="T20" s="35"/>
      <c r="U20" s="35"/>
      <c r="V20" s="35"/>
      <c r="W20" s="43" t="e">
        <f>S13/S5</f>
        <v>#REF!</v>
      </c>
      <c r="X20" s="35"/>
    </row>
    <row r="21" spans="1:24" ht="24.95" customHeight="1" x14ac:dyDescent="0.3">
      <c r="A21" s="37">
        <v>17</v>
      </c>
      <c r="B21" s="48" t="s">
        <v>28</v>
      </c>
      <c r="C21" s="38" t="e">
        <f>C17-C18-C20</f>
        <v>#REF!</v>
      </c>
      <c r="D21" s="38" t="e">
        <f t="shared" ref="D21:R21" si="5">D17-D18-D20</f>
        <v>#REF!</v>
      </c>
      <c r="E21" s="38" t="e">
        <f t="shared" si="5"/>
        <v>#REF!</v>
      </c>
      <c r="F21" s="38" t="e">
        <f>F17-F18-F20</f>
        <v>#REF!</v>
      </c>
      <c r="G21" s="38" t="e">
        <f t="shared" si="5"/>
        <v>#REF!</v>
      </c>
      <c r="H21" s="38" t="e">
        <f t="shared" si="5"/>
        <v>#REF!</v>
      </c>
      <c r="I21" s="38" t="e">
        <f t="shared" si="5"/>
        <v>#REF!</v>
      </c>
      <c r="J21" s="38" t="e">
        <f t="shared" si="5"/>
        <v>#REF!</v>
      </c>
      <c r="K21" s="38" t="e">
        <f t="shared" si="5"/>
        <v>#REF!</v>
      </c>
      <c r="L21" s="38" t="e">
        <f t="shared" si="5"/>
        <v>#REF!</v>
      </c>
      <c r="M21" s="38" t="e">
        <f t="shared" si="5"/>
        <v>#REF!</v>
      </c>
      <c r="N21" s="38" t="e">
        <f t="shared" si="5"/>
        <v>#REF!</v>
      </c>
      <c r="O21" s="38" t="e">
        <f t="shared" si="5"/>
        <v>#REF!</v>
      </c>
      <c r="P21" s="38" t="e">
        <f t="shared" si="5"/>
        <v>#REF!</v>
      </c>
      <c r="Q21" s="38" t="e">
        <f t="shared" si="5"/>
        <v>#REF!</v>
      </c>
      <c r="R21" s="38" t="e">
        <f t="shared" si="5"/>
        <v>#REF!</v>
      </c>
      <c r="S21" s="38"/>
      <c r="T21" s="35"/>
      <c r="U21" s="35"/>
      <c r="V21" s="35"/>
      <c r="W21" s="43">
        <f>结论表!J10</f>
        <v>0.13400000000000001</v>
      </c>
      <c r="X21" s="35"/>
    </row>
    <row r="24" spans="1:24" hidden="1" x14ac:dyDescent="0.25">
      <c r="B24" s="2" t="s">
        <v>73</v>
      </c>
      <c r="C24" s="4" t="e">
        <f>(S12+S13)/S12</f>
        <v>#REF!</v>
      </c>
      <c r="D24" s="4"/>
      <c r="E24" s="4"/>
      <c r="F24" s="4"/>
      <c r="G24" s="4"/>
      <c r="H24" s="4"/>
      <c r="I24" s="4"/>
      <c r="J24" s="4"/>
      <c r="K24" s="4"/>
      <c r="L24" s="4"/>
      <c r="M24" s="5" t="s">
        <v>74</v>
      </c>
    </row>
    <row r="25" spans="1:24" ht="18" x14ac:dyDescent="0.3">
      <c r="B25" s="23" t="s">
        <v>177</v>
      </c>
      <c r="C25" s="24">
        <v>0.1</v>
      </c>
      <c r="J25" s="3"/>
    </row>
  </sheetData>
  <mergeCells count="7">
    <mergeCell ref="A1:S1"/>
    <mergeCell ref="C2:P2"/>
    <mergeCell ref="Q2:S2"/>
    <mergeCell ref="C3:F3"/>
    <mergeCell ref="G3:J3"/>
    <mergeCell ref="K3:N3"/>
    <mergeCell ref="O3:R3"/>
  </mergeCells>
  <phoneticPr fontId="19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3" tint="0.79998168889431442"/>
  </sheetPr>
  <dimension ref="A1:T29"/>
  <sheetViews>
    <sheetView view="pageBreakPreview" topLeftCell="G1" zoomScale="115" zoomScaleNormal="100" zoomScaleSheetLayoutView="115" workbookViewId="0">
      <selection activeCell="D18" sqref="D18:R18"/>
    </sheetView>
  </sheetViews>
  <sheetFormatPr defaultColWidth="11" defaultRowHeight="18" x14ac:dyDescent="0.3"/>
  <cols>
    <col min="1" max="1" width="4.625" style="26" customWidth="1"/>
    <col min="2" max="2" width="22.125" style="26" customWidth="1"/>
    <col min="3" max="17" width="9.625" style="26" customWidth="1"/>
    <col min="18" max="18" width="11" style="26" customWidth="1"/>
    <col min="19" max="19" width="8.875" style="26" customWidth="1"/>
    <col min="20" max="16384" width="11" style="26"/>
  </cols>
  <sheetData>
    <row r="1" spans="1:20" ht="24" customHeight="1" x14ac:dyDescent="0.3">
      <c r="A1" s="831" t="s">
        <v>12</v>
      </c>
      <c r="B1" s="831"/>
      <c r="C1" s="831"/>
      <c r="D1" s="831"/>
      <c r="E1" s="831"/>
      <c r="F1" s="831"/>
      <c r="G1" s="831"/>
      <c r="H1" s="831"/>
      <c r="I1" s="831"/>
      <c r="J1" s="831"/>
      <c r="K1" s="831"/>
      <c r="L1" s="831"/>
      <c r="M1" s="831"/>
      <c r="N1" s="831"/>
      <c r="O1" s="831"/>
      <c r="P1" s="831"/>
      <c r="Q1" s="831"/>
      <c r="R1" s="831"/>
      <c r="S1" s="46"/>
    </row>
    <row r="2" spans="1:20" ht="49.5" customHeight="1" x14ac:dyDescent="0.3">
      <c r="A2" s="27" t="s">
        <v>175</v>
      </c>
      <c r="B2" s="27"/>
      <c r="C2" s="832" t="str">
        <f>基础数据!C5</f>
        <v>北京市密云区檀营乡6005地块R2二类居住用地（编号：京土整储挂（密）[2021]026号）居住项目</v>
      </c>
      <c r="D2" s="832"/>
      <c r="E2" s="832"/>
      <c r="F2" s="832"/>
      <c r="G2" s="832"/>
      <c r="H2" s="832"/>
      <c r="I2" s="832"/>
      <c r="J2" s="832"/>
      <c r="K2" s="832"/>
      <c r="L2" s="832"/>
      <c r="M2" s="832"/>
      <c r="N2" s="832"/>
      <c r="O2" s="832"/>
      <c r="P2" s="832"/>
      <c r="Q2" s="832"/>
      <c r="R2" s="832"/>
      <c r="S2" s="46"/>
    </row>
    <row r="3" spans="1:20" ht="24" customHeight="1" x14ac:dyDescent="0.3">
      <c r="A3" s="28" t="s">
        <v>9</v>
      </c>
      <c r="B3" s="28" t="s">
        <v>81</v>
      </c>
      <c r="C3" s="833" t="str">
        <f>'主表1（成本）'!C3</f>
        <v>2021年</v>
      </c>
      <c r="D3" s="834"/>
      <c r="E3" s="834"/>
      <c r="F3" s="835"/>
      <c r="G3" s="833" t="str">
        <f>'主表1（成本）'!G3</f>
        <v>2022年</v>
      </c>
      <c r="H3" s="834"/>
      <c r="I3" s="834"/>
      <c r="J3" s="835"/>
      <c r="K3" s="833" t="str">
        <f>'主表1（成本）'!K3</f>
        <v>2023年</v>
      </c>
      <c r="L3" s="834"/>
      <c r="M3" s="834"/>
      <c r="N3" s="835"/>
      <c r="O3" s="833" t="str">
        <f>'主表1（成本）'!O3</f>
        <v>2024年</v>
      </c>
      <c r="P3" s="834"/>
      <c r="Q3" s="834"/>
      <c r="R3" s="835"/>
      <c r="S3" s="28" t="s">
        <v>34</v>
      </c>
    </row>
    <row r="4" spans="1:20" ht="24" customHeight="1" x14ac:dyDescent="0.3">
      <c r="A4" s="28"/>
      <c r="B4" s="28"/>
      <c r="C4" s="28" t="str">
        <f>'主表1（成本）'!C4</f>
        <v>Q1</v>
      </c>
      <c r="D4" s="28" t="str">
        <f>'主表1（成本）'!D4</f>
        <v>Q2</v>
      </c>
      <c r="E4" s="28" t="str">
        <f>'主表1（成本）'!E4</f>
        <v>Q3</v>
      </c>
      <c r="F4" s="28" t="str">
        <f>'主表1（成本）'!F4</f>
        <v>Q4</v>
      </c>
      <c r="G4" s="28" t="str">
        <f>'主表1（成本）'!G4</f>
        <v>Q1</v>
      </c>
      <c r="H4" s="28" t="str">
        <f>'主表1（成本）'!H4</f>
        <v>Q2</v>
      </c>
      <c r="I4" s="28" t="str">
        <f>'主表1（成本）'!I4</f>
        <v>Q3</v>
      </c>
      <c r="J4" s="28" t="str">
        <f>'主表1（成本）'!J4</f>
        <v>Q4</v>
      </c>
      <c r="K4" s="28" t="str">
        <f>'主表1（成本）'!K4</f>
        <v>Q1</v>
      </c>
      <c r="L4" s="28" t="str">
        <f>'主表1（成本）'!L4</f>
        <v>Q2</v>
      </c>
      <c r="M4" s="28" t="str">
        <f>'主表1（成本）'!M4</f>
        <v>Q3</v>
      </c>
      <c r="N4" s="28" t="str">
        <f>'主表1（成本）'!N4</f>
        <v>Q4</v>
      </c>
      <c r="O4" s="28" t="str">
        <f>'主表1（成本）'!O4</f>
        <v>Q1</v>
      </c>
      <c r="P4" s="28" t="str">
        <f>'主表1（成本）'!P4</f>
        <v>Q2</v>
      </c>
      <c r="Q4" s="28" t="str">
        <f>'主表1（成本）'!Q4</f>
        <v>Q3</v>
      </c>
      <c r="R4" s="28" t="str">
        <f>'主表1（成本）'!R4</f>
        <v>Q4</v>
      </c>
      <c r="S4" s="28"/>
    </row>
    <row r="5" spans="1:20" ht="24" customHeight="1" x14ac:dyDescent="0.3">
      <c r="A5" s="28">
        <v>1</v>
      </c>
      <c r="B5" s="28" t="s">
        <v>13</v>
      </c>
      <c r="C5" s="29" t="e">
        <f t="shared" ref="C5:R5" si="0">SUM(C6:C9)</f>
        <v>#REF!</v>
      </c>
      <c r="D5" s="29" t="e">
        <f t="shared" si="0"/>
        <v>#REF!</v>
      </c>
      <c r="E5" s="29" t="e">
        <f t="shared" si="0"/>
        <v>#REF!</v>
      </c>
      <c r="F5" s="29" t="e">
        <f t="shared" si="0"/>
        <v>#REF!</v>
      </c>
      <c r="G5" s="29" t="e">
        <f t="shared" si="0"/>
        <v>#REF!</v>
      </c>
      <c r="H5" s="29" t="e">
        <f t="shared" si="0"/>
        <v>#REF!</v>
      </c>
      <c r="I5" s="29" t="e">
        <f t="shared" si="0"/>
        <v>#REF!</v>
      </c>
      <c r="J5" s="29" t="e">
        <f t="shared" si="0"/>
        <v>#REF!</v>
      </c>
      <c r="K5" s="29" t="e">
        <f t="shared" si="0"/>
        <v>#REF!</v>
      </c>
      <c r="L5" s="29" t="e">
        <f t="shared" si="0"/>
        <v>#REF!</v>
      </c>
      <c r="M5" s="29" t="e">
        <f t="shared" si="0"/>
        <v>#REF!</v>
      </c>
      <c r="N5" s="29" t="e">
        <f t="shared" si="0"/>
        <v>#REF!</v>
      </c>
      <c r="O5" s="29" t="e">
        <f t="shared" si="0"/>
        <v>#REF!</v>
      </c>
      <c r="P5" s="29" t="e">
        <f t="shared" si="0"/>
        <v>#REF!</v>
      </c>
      <c r="Q5" s="29" t="e">
        <f t="shared" si="0"/>
        <v>#REF!</v>
      </c>
      <c r="R5" s="29" t="e">
        <f t="shared" si="0"/>
        <v>#REF!</v>
      </c>
      <c r="S5" s="29" t="e">
        <f t="shared" ref="S5:S17" si="1">SUM(C5:R5)</f>
        <v>#REF!</v>
      </c>
    </row>
    <row r="6" spans="1:20" ht="24" customHeight="1" x14ac:dyDescent="0.3">
      <c r="A6" s="28">
        <v>2</v>
      </c>
      <c r="B6" s="28" t="s">
        <v>2</v>
      </c>
      <c r="C6" s="47" t="e">
        <f>ROUND('底表1（销售）'!F27,0)</f>
        <v>#REF!</v>
      </c>
      <c r="D6" s="47" t="e">
        <f>ROUND('底表1（销售）'!G27,0)</f>
        <v>#REF!</v>
      </c>
      <c r="E6" s="47" t="e">
        <f>ROUND('底表1（销售）'!H27,0)</f>
        <v>#REF!</v>
      </c>
      <c r="F6" s="47" t="e">
        <f>ROUND('底表1（销售）'!I27,0)</f>
        <v>#REF!</v>
      </c>
      <c r="G6" s="47" t="e">
        <f>ROUND('底表1（销售）'!J27,0)</f>
        <v>#REF!</v>
      </c>
      <c r="H6" s="47" t="e">
        <f>ROUND('底表1（销售）'!K27,0)</f>
        <v>#REF!</v>
      </c>
      <c r="I6" s="47" t="e">
        <f>ROUND('底表1（销售）'!L27,0)</f>
        <v>#REF!</v>
      </c>
      <c r="J6" s="47" t="e">
        <f>ROUND('底表1（销售）'!M27,0)</f>
        <v>#REF!</v>
      </c>
      <c r="K6" s="47" t="e">
        <f>ROUND('底表1（销售）'!N27,0)</f>
        <v>#REF!</v>
      </c>
      <c r="L6" s="47" t="e">
        <f>ROUND('底表1（销售）'!O27,0)</f>
        <v>#REF!</v>
      </c>
      <c r="M6" s="47" t="e">
        <f>ROUND('底表1（销售）'!P27,0)</f>
        <v>#REF!</v>
      </c>
      <c r="N6" s="47" t="e">
        <f>ROUND('底表1（销售）'!Q27,0)</f>
        <v>#REF!</v>
      </c>
      <c r="O6" s="47" t="e">
        <f>ROUND('底表1（销售）'!R27,0)</f>
        <v>#REF!</v>
      </c>
      <c r="P6" s="47" t="e">
        <f>ROUND('底表1（销售）'!S27,0)</f>
        <v>#REF!</v>
      </c>
      <c r="Q6" s="47" t="e">
        <f>ROUND('底表1（销售）'!T27,0)</f>
        <v>#REF!</v>
      </c>
      <c r="R6" s="47" t="e">
        <f>ROUND('底表1（销售）'!U27,0)</f>
        <v>#REF!</v>
      </c>
      <c r="S6" s="29" t="e">
        <f t="shared" si="1"/>
        <v>#REF!</v>
      </c>
      <c r="T6" s="26" t="e">
        <f>'底表1（销售）'!BS6</f>
        <v>#REF!</v>
      </c>
    </row>
    <row r="7" spans="1:20" ht="24" hidden="1" customHeight="1" x14ac:dyDescent="0.3">
      <c r="A7" s="28">
        <v>3</v>
      </c>
      <c r="B7" s="30" t="s">
        <v>10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>
        <f t="shared" si="1"/>
        <v>0</v>
      </c>
    </row>
    <row r="8" spans="1:20" ht="24" hidden="1" customHeight="1" x14ac:dyDescent="0.3">
      <c r="A8" s="28">
        <v>4</v>
      </c>
      <c r="B8" s="28" t="s">
        <v>14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>
        <f t="shared" si="1"/>
        <v>0</v>
      </c>
    </row>
    <row r="9" spans="1:20" ht="24" hidden="1" customHeight="1" x14ac:dyDescent="0.3">
      <c r="A9" s="28">
        <v>5</v>
      </c>
      <c r="B9" s="28" t="s">
        <v>0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>
        <f t="shared" si="1"/>
        <v>0</v>
      </c>
    </row>
    <row r="10" spans="1:20" ht="24" customHeight="1" x14ac:dyDescent="0.3">
      <c r="A10" s="28">
        <v>6</v>
      </c>
      <c r="B10" s="28" t="s">
        <v>15</v>
      </c>
      <c r="C10" s="29" t="e">
        <f t="shared" ref="C10:R10" si="2">SUM(C11:C16)</f>
        <v>#REF!</v>
      </c>
      <c r="D10" s="29" t="e">
        <f t="shared" si="2"/>
        <v>#REF!</v>
      </c>
      <c r="E10" s="29" t="e">
        <f t="shared" si="2"/>
        <v>#REF!</v>
      </c>
      <c r="F10" s="29" t="e">
        <f t="shared" si="2"/>
        <v>#REF!</v>
      </c>
      <c r="G10" s="29" t="e">
        <f t="shared" si="2"/>
        <v>#REF!</v>
      </c>
      <c r="H10" s="29" t="e">
        <f t="shared" si="2"/>
        <v>#REF!</v>
      </c>
      <c r="I10" s="29" t="e">
        <f t="shared" si="2"/>
        <v>#REF!</v>
      </c>
      <c r="J10" s="29" t="e">
        <f t="shared" si="2"/>
        <v>#REF!</v>
      </c>
      <c r="K10" s="29" t="e">
        <f t="shared" si="2"/>
        <v>#REF!</v>
      </c>
      <c r="L10" s="29" t="e">
        <f t="shared" si="2"/>
        <v>#REF!</v>
      </c>
      <c r="M10" s="29" t="e">
        <f t="shared" si="2"/>
        <v>#REF!</v>
      </c>
      <c r="N10" s="29" t="e">
        <f t="shared" si="2"/>
        <v>#REF!</v>
      </c>
      <c r="O10" s="29" t="e">
        <f t="shared" si="2"/>
        <v>#REF!</v>
      </c>
      <c r="P10" s="29" t="e">
        <f t="shared" si="2"/>
        <v>#REF!</v>
      </c>
      <c r="Q10" s="29" t="e">
        <f t="shared" si="2"/>
        <v>#REF!</v>
      </c>
      <c r="R10" s="29" t="e">
        <f t="shared" si="2"/>
        <v>#REF!</v>
      </c>
      <c r="S10" s="29" t="e">
        <f t="shared" si="1"/>
        <v>#REF!</v>
      </c>
    </row>
    <row r="11" spans="1:20" ht="24" customHeight="1" x14ac:dyDescent="0.3">
      <c r="A11" s="51">
        <v>7</v>
      </c>
      <c r="B11" s="51" t="s">
        <v>16</v>
      </c>
      <c r="C11" s="52">
        <f>ROUND('主表1（成本）'!C39*$C$25,0)*(1+$C$29)</f>
        <v>0</v>
      </c>
      <c r="D11" s="52">
        <f>ROUND('主表1（成本）'!D39*$C$25,0)*(1+$C$29)</f>
        <v>170063</v>
      </c>
      <c r="E11" s="52">
        <f>ROUND('主表1（成本）'!E39*$C$25,0)*(1+$C$29)</f>
        <v>23216</v>
      </c>
      <c r="F11" s="52">
        <f>ROUND('主表1（成本）'!F39*$C$25,0)*(1+$C$29)</f>
        <v>13327</v>
      </c>
      <c r="G11" s="52">
        <f>ROUND('主表1（成本）'!G39*$C$25,0)*(1+$C$29)</f>
        <v>9051</v>
      </c>
      <c r="H11" s="52">
        <f>ROUND('主表1（成本）'!H39*$C$25,0)*(1+$C$29)</f>
        <v>9230</v>
      </c>
      <c r="I11" s="52">
        <f>ROUND('主表1（成本）'!I39*$C$25,0)*(1+$C$29)</f>
        <v>9196</v>
      </c>
      <c r="J11" s="52">
        <f>ROUND('主表1（成本）'!J39*$C$25,0)*(1+$C$29)</f>
        <v>8924</v>
      </c>
      <c r="K11" s="52">
        <f>ROUND('主表1（成本）'!K39*$C$25,0)*(1+$C$29)</f>
        <v>7199</v>
      </c>
      <c r="L11" s="52">
        <f>ROUND('主表1（成本）'!L39*$C$25,0)*(1+$C$29)</f>
        <v>6937</v>
      </c>
      <c r="M11" s="52">
        <f>ROUND('主表1（成本）'!M39*$C$25,0)*(1+$C$29)</f>
        <v>5142</v>
      </c>
      <c r="N11" s="52">
        <f>ROUND('主表1（成本）'!N39*$C$25,0)*(1+$C$29)</f>
        <v>5112</v>
      </c>
      <c r="O11" s="52">
        <f>ROUND('主表1（成本）'!O39*$C$25,0)*(1+$C$29)</f>
        <v>4149</v>
      </c>
      <c r="P11" s="52">
        <f>ROUND('主表1（成本）'!P39*$C$25,0)*(1+$C$29)</f>
        <v>4071</v>
      </c>
      <c r="Q11" s="52">
        <f>ROUND('主表1（成本）'!Q39*$C$25,0)*(1+$C$29)</f>
        <v>0</v>
      </c>
      <c r="R11" s="52">
        <f>ROUND('主表1（成本）'!R39*$C$25,0)*(1+$C$29)</f>
        <v>0</v>
      </c>
      <c r="S11" s="52">
        <f t="shared" si="1"/>
        <v>275617</v>
      </c>
      <c r="T11" s="26">
        <f>'主表1（成本）'!B39*(1+C29)</f>
        <v>275616.84999999998</v>
      </c>
    </row>
    <row r="12" spans="1:20" ht="24" hidden="1" customHeight="1" x14ac:dyDescent="0.3">
      <c r="A12" s="28">
        <v>8</v>
      </c>
      <c r="B12" s="28" t="s">
        <v>17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>
        <f t="shared" si="1"/>
        <v>0</v>
      </c>
    </row>
    <row r="13" spans="1:20" ht="24" customHeight="1" x14ac:dyDescent="0.3">
      <c r="A13" s="28">
        <v>9</v>
      </c>
      <c r="B13" s="28" t="s">
        <v>137</v>
      </c>
      <c r="C13" s="29" t="e">
        <f>ROUND('底表1（销售）'!F28,0)</f>
        <v>#REF!</v>
      </c>
      <c r="D13" s="29" t="e">
        <f>ROUND('底表1（销售）'!G28,0)</f>
        <v>#REF!</v>
      </c>
      <c r="E13" s="29" t="e">
        <f>ROUND('底表1（销售）'!H28,0)</f>
        <v>#REF!</v>
      </c>
      <c r="F13" s="29" t="e">
        <f>ROUND('底表1（销售）'!I28,0)</f>
        <v>#REF!</v>
      </c>
      <c r="G13" s="29" t="e">
        <f>ROUND('底表1（销售）'!J28,0)</f>
        <v>#REF!</v>
      </c>
      <c r="H13" s="29" t="e">
        <f>ROUND('底表1（销售）'!K28,0)</f>
        <v>#REF!</v>
      </c>
      <c r="I13" s="29" t="e">
        <f>ROUND('底表1（销售）'!L28,0)</f>
        <v>#REF!</v>
      </c>
      <c r="J13" s="29" t="e">
        <f>ROUND('底表1（销售）'!M28,0)</f>
        <v>#REF!</v>
      </c>
      <c r="K13" s="29" t="e">
        <f>ROUND('底表1（销售）'!N28,0)</f>
        <v>#REF!</v>
      </c>
      <c r="L13" s="29" t="e">
        <f>ROUND('底表1（销售）'!O28,0)</f>
        <v>#REF!</v>
      </c>
      <c r="M13" s="29" t="e">
        <f>ROUND('底表1（销售）'!P28,0)</f>
        <v>#REF!</v>
      </c>
      <c r="N13" s="29" t="e">
        <f>ROUND('底表1（销售）'!Q28,0)</f>
        <v>#REF!</v>
      </c>
      <c r="O13" s="29" t="e">
        <f>ROUND('底表1（销售）'!R28,0)</f>
        <v>#REF!</v>
      </c>
      <c r="P13" s="29" t="e">
        <f>ROUND('底表1（销售）'!S28,0)</f>
        <v>#REF!</v>
      </c>
      <c r="Q13" s="29" t="e">
        <f>ROUND('底表1（销售）'!T28,0)</f>
        <v>#REF!</v>
      </c>
      <c r="R13" s="29" t="e">
        <f>ROUND('底表1（销售）'!U28,0)</f>
        <v>#REF!</v>
      </c>
      <c r="S13" s="29" t="e">
        <f t="shared" si="1"/>
        <v>#REF!</v>
      </c>
      <c r="T13" s="26" t="e">
        <f>'底表1（销售）'!BS13</f>
        <v>#REF!</v>
      </c>
    </row>
    <row r="14" spans="1:20" ht="24" customHeight="1" x14ac:dyDescent="0.3">
      <c r="A14" s="28">
        <v>10</v>
      </c>
      <c r="B14" s="28" t="s">
        <v>19</v>
      </c>
      <c r="C14" s="29">
        <f>'主表4-1（敏感性分析 成本-5%）'!C9</f>
        <v>0</v>
      </c>
      <c r="D14" s="29">
        <f>'主表4-1（敏感性分析 成本-5%）'!D9</f>
        <v>0</v>
      </c>
      <c r="E14" s="29">
        <f>'主表4-1（敏感性分析 成本-5%）'!E9</f>
        <v>0</v>
      </c>
      <c r="F14" s="29">
        <f>'主表4-1（敏感性分析 成本-5%）'!F9</f>
        <v>0</v>
      </c>
      <c r="G14" s="29">
        <f>'主表4-1（敏感性分析 成本-5%）'!G9</f>
        <v>1133</v>
      </c>
      <c r="H14" s="29">
        <f>'主表4-1（敏感性分析 成本-5%）'!H9</f>
        <v>1804</v>
      </c>
      <c r="I14" s="29">
        <f>'主表4-1（敏感性分析 成本-5%）'!I9</f>
        <v>1437</v>
      </c>
      <c r="J14" s="29">
        <f>'主表4-1（敏感性分析 成本-5%）'!J9</f>
        <v>1306</v>
      </c>
      <c r="K14" s="29">
        <f>'主表4-1（敏感性分析 成本-5%）'!K9</f>
        <v>943</v>
      </c>
      <c r="L14" s="29">
        <f>'主表4-1（敏感性分析 成本-5%）'!L9</f>
        <v>0</v>
      </c>
      <c r="M14" s="29">
        <f>'主表4-1（敏感性分析 成本-5%）'!M9</f>
        <v>0</v>
      </c>
      <c r="N14" s="29">
        <f>'主表4-1（敏感性分析 成本-5%）'!N9</f>
        <v>0</v>
      </c>
      <c r="O14" s="29">
        <f>'主表4-1（敏感性分析 成本-5%）'!O9</f>
        <v>0</v>
      </c>
      <c r="P14" s="29">
        <f>'主表4-1（敏感性分析 成本-5%）'!P9</f>
        <v>0</v>
      </c>
      <c r="Q14" s="29">
        <f>'主表4-1（敏感性分析 成本-5%）'!Q9</f>
        <v>0</v>
      </c>
      <c r="R14" s="29">
        <f>'主表4-1（敏感性分析 成本-5%）'!R9</f>
        <v>0</v>
      </c>
      <c r="S14" s="29">
        <f t="shared" si="1"/>
        <v>6623</v>
      </c>
      <c r="T14" s="26">
        <f>'主表3（损益表）'!C10</f>
        <v>0</v>
      </c>
    </row>
    <row r="15" spans="1:20" ht="24" customHeight="1" x14ac:dyDescent="0.3">
      <c r="A15" s="28">
        <v>11</v>
      </c>
      <c r="B15" s="28" t="s">
        <v>11</v>
      </c>
      <c r="C15" s="29">
        <f>'主表4-1（敏感性分析 成本-5%）'!C14</f>
        <v>0</v>
      </c>
      <c r="D15" s="29">
        <f>'主表4-1（敏感性分析 成本-5%）'!D14</f>
        <v>0</v>
      </c>
      <c r="E15" s="29">
        <f>'主表4-1（敏感性分析 成本-5%）'!E14</f>
        <v>0</v>
      </c>
      <c r="F15" s="29" t="e">
        <f>'主表4-1（敏感性分析 成本-5%）'!F14</f>
        <v>#REF!</v>
      </c>
      <c r="G15" s="29">
        <f>'主表4-1（敏感性分析 成本-5%）'!G14</f>
        <v>0</v>
      </c>
      <c r="H15" s="29">
        <f>'主表4-1（敏感性分析 成本-5%）'!H14</f>
        <v>0</v>
      </c>
      <c r="I15" s="29">
        <f>'主表4-1（敏感性分析 成本-5%）'!I14</f>
        <v>0</v>
      </c>
      <c r="J15" s="29" t="e">
        <f>'主表4-1（敏感性分析 成本-5%）'!J14</f>
        <v>#REF!</v>
      </c>
      <c r="K15" s="29">
        <f>'主表4-1（敏感性分析 成本-5%）'!K14</f>
        <v>0</v>
      </c>
      <c r="L15" s="29">
        <f>'主表4-1（敏感性分析 成本-5%）'!L14</f>
        <v>0</v>
      </c>
      <c r="M15" s="29">
        <f>'主表4-1（敏感性分析 成本-5%）'!M14</f>
        <v>0</v>
      </c>
      <c r="N15" s="29" t="e">
        <f>'主表4-1（敏感性分析 成本-5%）'!N14</f>
        <v>#REF!</v>
      </c>
      <c r="O15" s="29">
        <f>'主表4-1（敏感性分析 成本-5%）'!O14</f>
        <v>0</v>
      </c>
      <c r="P15" s="29">
        <f>'主表4-1（敏感性分析 成本-5%）'!P14</f>
        <v>0</v>
      </c>
      <c r="Q15" s="29">
        <f>'主表4-1（敏感性分析 成本-5%）'!Q14</f>
        <v>0</v>
      </c>
      <c r="R15" s="29" t="e">
        <f>'主表4-1（敏感性分析 成本-5%）'!R14</f>
        <v>#REF!</v>
      </c>
      <c r="S15" s="29" t="e">
        <f t="shared" si="1"/>
        <v>#REF!</v>
      </c>
      <c r="T15" s="26">
        <f>'主表3（损益表）'!C15</f>
        <v>10153</v>
      </c>
    </row>
    <row r="16" spans="1:20" ht="24" customHeight="1" x14ac:dyDescent="0.3">
      <c r="A16" s="28">
        <v>12</v>
      </c>
      <c r="B16" s="28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>
        <f t="shared" si="1"/>
        <v>0</v>
      </c>
    </row>
    <row r="17" spans="1:19" ht="24" customHeight="1" x14ac:dyDescent="0.3">
      <c r="A17" s="28">
        <v>13</v>
      </c>
      <c r="B17" s="28" t="s">
        <v>20</v>
      </c>
      <c r="C17" s="29" t="e">
        <f t="shared" ref="C17:R17" si="3">C5-C10</f>
        <v>#REF!</v>
      </c>
      <c r="D17" s="29" t="e">
        <f t="shared" si="3"/>
        <v>#REF!</v>
      </c>
      <c r="E17" s="29" t="e">
        <f t="shared" si="3"/>
        <v>#REF!</v>
      </c>
      <c r="F17" s="29" t="e">
        <f t="shared" si="3"/>
        <v>#REF!</v>
      </c>
      <c r="G17" s="29" t="e">
        <f t="shared" si="3"/>
        <v>#REF!</v>
      </c>
      <c r="H17" s="29" t="e">
        <f t="shared" si="3"/>
        <v>#REF!</v>
      </c>
      <c r="I17" s="29" t="e">
        <f t="shared" si="3"/>
        <v>#REF!</v>
      </c>
      <c r="J17" s="29" t="e">
        <f t="shared" si="3"/>
        <v>#REF!</v>
      </c>
      <c r="K17" s="29" t="e">
        <f t="shared" si="3"/>
        <v>#REF!</v>
      </c>
      <c r="L17" s="29" t="e">
        <f t="shared" si="3"/>
        <v>#REF!</v>
      </c>
      <c r="M17" s="29" t="e">
        <f t="shared" si="3"/>
        <v>#REF!</v>
      </c>
      <c r="N17" s="29" t="e">
        <f t="shared" si="3"/>
        <v>#REF!</v>
      </c>
      <c r="O17" s="29" t="e">
        <f t="shared" si="3"/>
        <v>#REF!</v>
      </c>
      <c r="P17" s="29" t="e">
        <f t="shared" si="3"/>
        <v>#REF!</v>
      </c>
      <c r="Q17" s="29" t="e">
        <f t="shared" si="3"/>
        <v>#REF!</v>
      </c>
      <c r="R17" s="29" t="e">
        <f t="shared" si="3"/>
        <v>#REF!</v>
      </c>
      <c r="S17" s="29" t="e">
        <f t="shared" si="1"/>
        <v>#REF!</v>
      </c>
    </row>
    <row r="18" spans="1:19" ht="24" customHeight="1" x14ac:dyDescent="0.3">
      <c r="A18" s="28">
        <v>14</v>
      </c>
      <c r="B18" s="28" t="s">
        <v>21</v>
      </c>
      <c r="C18" s="29" t="e">
        <f>C17</f>
        <v>#REF!</v>
      </c>
      <c r="D18" s="29" t="e">
        <f>D17+C18</f>
        <v>#REF!</v>
      </c>
      <c r="E18" s="29" t="e">
        <f t="shared" ref="E18:R18" si="4">E17+D18</f>
        <v>#REF!</v>
      </c>
      <c r="F18" s="29" t="e">
        <f t="shared" si="4"/>
        <v>#REF!</v>
      </c>
      <c r="G18" s="29" t="e">
        <f t="shared" si="4"/>
        <v>#REF!</v>
      </c>
      <c r="H18" s="29" t="e">
        <f t="shared" si="4"/>
        <v>#REF!</v>
      </c>
      <c r="I18" s="29" t="e">
        <f t="shared" si="4"/>
        <v>#REF!</v>
      </c>
      <c r="J18" s="29" t="e">
        <f t="shared" si="4"/>
        <v>#REF!</v>
      </c>
      <c r="K18" s="29" t="e">
        <f t="shared" si="4"/>
        <v>#REF!</v>
      </c>
      <c r="L18" s="29" t="e">
        <f t="shared" si="4"/>
        <v>#REF!</v>
      </c>
      <c r="M18" s="29" t="e">
        <f t="shared" si="4"/>
        <v>#REF!</v>
      </c>
      <c r="N18" s="29" t="e">
        <f t="shared" si="4"/>
        <v>#REF!</v>
      </c>
      <c r="O18" s="29" t="e">
        <f t="shared" si="4"/>
        <v>#REF!</v>
      </c>
      <c r="P18" s="29" t="e">
        <f t="shared" si="4"/>
        <v>#REF!</v>
      </c>
      <c r="Q18" s="29" t="e">
        <f t="shared" si="4"/>
        <v>#REF!</v>
      </c>
      <c r="R18" s="29" t="e">
        <f t="shared" si="4"/>
        <v>#REF!</v>
      </c>
      <c r="S18" s="29"/>
    </row>
    <row r="19" spans="1:19" ht="24" customHeight="1" x14ac:dyDescent="0.3">
      <c r="A19" s="28">
        <v>15</v>
      </c>
      <c r="B19" s="28" t="s">
        <v>30</v>
      </c>
      <c r="C19" s="29" t="e">
        <f>C17/(1+$C$22)^C27</f>
        <v>#REF!</v>
      </c>
      <c r="D19" s="29" t="e">
        <f t="shared" ref="D19:R19" si="5">D17/(1+$C$22)^D27</f>
        <v>#REF!</v>
      </c>
      <c r="E19" s="29" t="e">
        <f t="shared" si="5"/>
        <v>#REF!</v>
      </c>
      <c r="F19" s="29" t="e">
        <f t="shared" si="5"/>
        <v>#REF!</v>
      </c>
      <c r="G19" s="29" t="e">
        <f t="shared" si="5"/>
        <v>#REF!</v>
      </c>
      <c r="H19" s="29" t="e">
        <f t="shared" si="5"/>
        <v>#REF!</v>
      </c>
      <c r="I19" s="29" t="e">
        <f t="shared" si="5"/>
        <v>#REF!</v>
      </c>
      <c r="J19" s="29" t="e">
        <f t="shared" si="5"/>
        <v>#REF!</v>
      </c>
      <c r="K19" s="29" t="e">
        <f t="shared" si="5"/>
        <v>#REF!</v>
      </c>
      <c r="L19" s="29" t="e">
        <f t="shared" si="5"/>
        <v>#REF!</v>
      </c>
      <c r="M19" s="29" t="e">
        <f t="shared" si="5"/>
        <v>#REF!</v>
      </c>
      <c r="N19" s="29" t="e">
        <f t="shared" si="5"/>
        <v>#REF!</v>
      </c>
      <c r="O19" s="29" t="e">
        <f t="shared" si="5"/>
        <v>#REF!</v>
      </c>
      <c r="P19" s="29" t="e">
        <f t="shared" si="5"/>
        <v>#REF!</v>
      </c>
      <c r="Q19" s="29" t="e">
        <f t="shared" si="5"/>
        <v>#REF!</v>
      </c>
      <c r="R19" s="29" t="e">
        <f t="shared" si="5"/>
        <v>#REF!</v>
      </c>
      <c r="S19" s="29" t="e">
        <f>SUM(C19:R19)</f>
        <v>#REF!</v>
      </c>
    </row>
    <row r="20" spans="1:19" ht="24" customHeight="1" x14ac:dyDescent="0.3">
      <c r="A20" s="28">
        <v>16</v>
      </c>
      <c r="B20" s="28" t="s">
        <v>22</v>
      </c>
      <c r="C20" s="29" t="e">
        <f>C19</f>
        <v>#REF!</v>
      </c>
      <c r="D20" s="29" t="e">
        <f>D19+C20</f>
        <v>#REF!</v>
      </c>
      <c r="E20" s="29" t="e">
        <f t="shared" ref="E20:R20" si="6">E19+D20</f>
        <v>#REF!</v>
      </c>
      <c r="F20" s="29" t="e">
        <f t="shared" si="6"/>
        <v>#REF!</v>
      </c>
      <c r="G20" s="29" t="e">
        <f t="shared" si="6"/>
        <v>#REF!</v>
      </c>
      <c r="H20" s="29" t="e">
        <f t="shared" si="6"/>
        <v>#REF!</v>
      </c>
      <c r="I20" s="29" t="e">
        <f t="shared" si="6"/>
        <v>#REF!</v>
      </c>
      <c r="J20" s="29" t="e">
        <f t="shared" si="6"/>
        <v>#REF!</v>
      </c>
      <c r="K20" s="29" t="e">
        <f t="shared" si="6"/>
        <v>#REF!</v>
      </c>
      <c r="L20" s="29" t="e">
        <f t="shared" si="6"/>
        <v>#REF!</v>
      </c>
      <c r="M20" s="29" t="e">
        <f t="shared" si="6"/>
        <v>#REF!</v>
      </c>
      <c r="N20" s="29" t="e">
        <f t="shared" si="6"/>
        <v>#REF!</v>
      </c>
      <c r="O20" s="29" t="e">
        <f t="shared" si="6"/>
        <v>#REF!</v>
      </c>
      <c r="P20" s="29" t="e">
        <f t="shared" si="6"/>
        <v>#REF!</v>
      </c>
      <c r="Q20" s="29" t="e">
        <f t="shared" si="6"/>
        <v>#REF!</v>
      </c>
      <c r="R20" s="29" t="e">
        <f t="shared" si="6"/>
        <v>#REF!</v>
      </c>
      <c r="S20" s="29" t="s">
        <v>0</v>
      </c>
    </row>
    <row r="21" spans="1:19" x14ac:dyDescent="0.3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</row>
    <row r="22" spans="1:19" x14ac:dyDescent="0.3">
      <c r="A22" s="46" t="s">
        <v>187</v>
      </c>
      <c r="B22" s="46"/>
      <c r="C22" s="49">
        <f>10%/4</f>
        <v>2.5000000000000001E-2</v>
      </c>
      <c r="D22" s="31"/>
      <c r="E22" s="31"/>
      <c r="F22" s="31"/>
      <c r="G22" s="31"/>
      <c r="H22" s="830" t="s">
        <v>87</v>
      </c>
      <c r="I22" s="830"/>
      <c r="J22" s="830"/>
      <c r="K22" s="32" t="e">
        <f>NPV(C22,C17:R17)</f>
        <v>#REF!</v>
      </c>
      <c r="L22" s="46" t="s">
        <v>53</v>
      </c>
      <c r="M22" s="46"/>
      <c r="N22" s="46"/>
      <c r="O22" s="46"/>
      <c r="P22" s="46"/>
      <c r="S22" s="46"/>
    </row>
    <row r="23" spans="1:19" x14ac:dyDescent="0.3">
      <c r="A23" s="46" t="s">
        <v>188</v>
      </c>
      <c r="B23" s="46"/>
      <c r="C23" s="33" t="e">
        <f>IRR(C17:R17)</f>
        <v>#VALUE!</v>
      </c>
      <c r="D23" s="33"/>
      <c r="E23" s="33"/>
      <c r="F23" s="33"/>
      <c r="G23" s="33"/>
      <c r="H23" s="830" t="s">
        <v>176</v>
      </c>
      <c r="I23" s="830"/>
      <c r="J23" s="830"/>
      <c r="K23" s="50">
        <f>(10*3-1)/12</f>
        <v>2.42</v>
      </c>
      <c r="L23" s="46" t="s">
        <v>54</v>
      </c>
      <c r="M23" s="46"/>
      <c r="N23" s="46"/>
      <c r="O23" s="46"/>
      <c r="P23" s="46"/>
      <c r="S23" s="46"/>
    </row>
    <row r="24" spans="1:19" x14ac:dyDescent="0.3">
      <c r="Q24" s="26">
        <v>5</v>
      </c>
      <c r="R24" s="26">
        <v>6</v>
      </c>
    </row>
    <row r="25" spans="1:19" x14ac:dyDescent="0.3">
      <c r="B25" s="26" t="s">
        <v>110</v>
      </c>
      <c r="C25" s="26">
        <v>1</v>
      </c>
    </row>
    <row r="26" spans="1:19" x14ac:dyDescent="0.3">
      <c r="B26" s="26" t="s">
        <v>111</v>
      </c>
      <c r="C26" s="26">
        <v>1</v>
      </c>
    </row>
    <row r="27" spans="1:19" x14ac:dyDescent="0.3">
      <c r="C27" s="26">
        <v>0</v>
      </c>
      <c r="D27" s="26">
        <v>0</v>
      </c>
      <c r="E27" s="26">
        <v>0.25</v>
      </c>
      <c r="F27" s="26">
        <f>E27+0.25</f>
        <v>0.5</v>
      </c>
      <c r="G27" s="26">
        <f t="shared" ref="G27:R27" si="7">F27+0.25</f>
        <v>0.75</v>
      </c>
      <c r="H27" s="26">
        <f t="shared" si="7"/>
        <v>1</v>
      </c>
      <c r="I27" s="26">
        <f t="shared" si="7"/>
        <v>1.25</v>
      </c>
      <c r="J27" s="26">
        <f t="shared" si="7"/>
        <v>1.5</v>
      </c>
      <c r="K27" s="26">
        <f t="shared" si="7"/>
        <v>1.75</v>
      </c>
      <c r="L27" s="26">
        <f t="shared" si="7"/>
        <v>2</v>
      </c>
      <c r="M27" s="26">
        <f t="shared" si="7"/>
        <v>2.25</v>
      </c>
      <c r="N27" s="26">
        <f t="shared" si="7"/>
        <v>2.5</v>
      </c>
      <c r="O27" s="26">
        <f t="shared" si="7"/>
        <v>2.75</v>
      </c>
      <c r="P27" s="26">
        <f t="shared" si="7"/>
        <v>3</v>
      </c>
      <c r="Q27" s="26">
        <f t="shared" si="7"/>
        <v>3.25</v>
      </c>
      <c r="R27" s="26">
        <f t="shared" si="7"/>
        <v>3.5</v>
      </c>
    </row>
    <row r="29" spans="1:19" x14ac:dyDescent="0.3">
      <c r="B29" s="23" t="s">
        <v>177</v>
      </c>
      <c r="C29" s="24">
        <v>-0.05</v>
      </c>
    </row>
  </sheetData>
  <mergeCells count="8">
    <mergeCell ref="H22:J22"/>
    <mergeCell ref="H23:J23"/>
    <mergeCell ref="A1:R1"/>
    <mergeCell ref="C2:R2"/>
    <mergeCell ref="C3:F3"/>
    <mergeCell ref="G3:J3"/>
    <mergeCell ref="K3:N3"/>
    <mergeCell ref="O3:R3"/>
  </mergeCells>
  <phoneticPr fontId="2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8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3" tint="0.79998168889431442"/>
  </sheetPr>
  <dimension ref="A1:AB25"/>
  <sheetViews>
    <sheetView view="pageBreakPreview" zoomScale="85" zoomScaleNormal="75" zoomScaleSheetLayoutView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D9" sqref="D9"/>
    </sheetView>
  </sheetViews>
  <sheetFormatPr defaultColWidth="11" defaultRowHeight="15.75" x14ac:dyDescent="0.25"/>
  <cols>
    <col min="1" max="1" width="4.625" style="1" customWidth="1"/>
    <col min="2" max="2" width="27" style="1" customWidth="1"/>
    <col min="3" max="19" width="13.125" style="1" customWidth="1"/>
    <col min="20" max="20" width="9.125" style="1" bestFit="1" customWidth="1"/>
    <col min="21" max="21" width="9.875" style="1" bestFit="1" customWidth="1"/>
    <col min="22" max="24" width="9.125" style="1" bestFit="1" customWidth="1"/>
    <col min="25" max="16384" width="11" style="1"/>
  </cols>
  <sheetData>
    <row r="1" spans="1:28" ht="27.75" customHeight="1" x14ac:dyDescent="0.3">
      <c r="A1" s="836" t="s">
        <v>90</v>
      </c>
      <c r="B1" s="836"/>
      <c r="C1" s="836"/>
      <c r="D1" s="836"/>
      <c r="E1" s="836"/>
      <c r="F1" s="836"/>
      <c r="G1" s="836"/>
      <c r="H1" s="836"/>
      <c r="I1" s="836"/>
      <c r="J1" s="836"/>
      <c r="K1" s="836"/>
      <c r="L1" s="836"/>
      <c r="M1" s="836"/>
      <c r="N1" s="836"/>
      <c r="O1" s="836"/>
      <c r="P1" s="836"/>
      <c r="Q1" s="836"/>
      <c r="R1" s="836"/>
      <c r="S1" s="836"/>
      <c r="T1" s="35"/>
      <c r="U1" s="35"/>
      <c r="V1" s="35"/>
      <c r="W1" s="35"/>
      <c r="X1" s="35"/>
    </row>
    <row r="2" spans="1:28" ht="68.25" customHeight="1" x14ac:dyDescent="0.3">
      <c r="A2" s="36" t="s">
        <v>91</v>
      </c>
      <c r="B2" s="36"/>
      <c r="C2" s="837" t="str">
        <f>基础数据!C5</f>
        <v>北京市密云区檀营乡6005地块R2二类居住用地（编号：京土整储挂（密）[2021]026号）居住项目</v>
      </c>
      <c r="D2" s="837"/>
      <c r="E2" s="837"/>
      <c r="F2" s="837"/>
      <c r="G2" s="837"/>
      <c r="H2" s="837"/>
      <c r="I2" s="837"/>
      <c r="J2" s="837"/>
      <c r="K2" s="837"/>
      <c r="L2" s="837"/>
      <c r="M2" s="837"/>
      <c r="N2" s="837"/>
      <c r="O2" s="837"/>
      <c r="P2" s="837"/>
      <c r="Q2" s="838" t="s">
        <v>8</v>
      </c>
      <c r="R2" s="838"/>
      <c r="S2" s="838"/>
      <c r="T2" s="35"/>
      <c r="U2" s="35"/>
      <c r="V2" s="35"/>
      <c r="W2" s="35"/>
      <c r="X2" s="35"/>
    </row>
    <row r="3" spans="1:28" ht="24.95" customHeight="1" x14ac:dyDescent="0.3">
      <c r="A3" s="48" t="s">
        <v>9</v>
      </c>
      <c r="B3" s="37" t="s">
        <v>81</v>
      </c>
      <c r="C3" s="839" t="str">
        <f>'主表1（成本）'!C3</f>
        <v>2021年</v>
      </c>
      <c r="D3" s="840"/>
      <c r="E3" s="840"/>
      <c r="F3" s="841"/>
      <c r="G3" s="839" t="str">
        <f>'主表1（成本）'!G3</f>
        <v>2022年</v>
      </c>
      <c r="H3" s="840"/>
      <c r="I3" s="840"/>
      <c r="J3" s="841"/>
      <c r="K3" s="839" t="str">
        <f>'主表1（成本）'!K3</f>
        <v>2023年</v>
      </c>
      <c r="L3" s="840"/>
      <c r="M3" s="840"/>
      <c r="N3" s="841"/>
      <c r="O3" s="839" t="str">
        <f>'主表1（成本）'!O3</f>
        <v>2024年</v>
      </c>
      <c r="P3" s="840"/>
      <c r="Q3" s="840"/>
      <c r="R3" s="841"/>
      <c r="S3" s="37" t="s">
        <v>93</v>
      </c>
      <c r="T3" s="35"/>
      <c r="U3" s="35"/>
      <c r="V3" s="35"/>
      <c r="W3" s="35"/>
      <c r="X3" s="35"/>
    </row>
    <row r="4" spans="1:28" ht="24.95" customHeight="1" x14ac:dyDescent="0.3">
      <c r="A4" s="48"/>
      <c r="B4" s="37"/>
      <c r="C4" s="37" t="str">
        <f>'主表1（成本）'!C4</f>
        <v>Q1</v>
      </c>
      <c r="D4" s="37" t="str">
        <f>'主表1（成本）'!D4</f>
        <v>Q2</v>
      </c>
      <c r="E4" s="37" t="str">
        <f>'主表1（成本）'!E4</f>
        <v>Q3</v>
      </c>
      <c r="F4" s="37" t="str">
        <f>'主表1（成本）'!F4</f>
        <v>Q4</v>
      </c>
      <c r="G4" s="37" t="str">
        <f>'主表1（成本）'!G4</f>
        <v>Q1</v>
      </c>
      <c r="H4" s="37" t="str">
        <f>'主表1（成本）'!H4</f>
        <v>Q2</v>
      </c>
      <c r="I4" s="37" t="str">
        <f>'主表1（成本）'!I4</f>
        <v>Q3</v>
      </c>
      <c r="J4" s="37" t="str">
        <f>'主表1（成本）'!J4</f>
        <v>Q4</v>
      </c>
      <c r="K4" s="37" t="str">
        <f>'主表1（成本）'!K4</f>
        <v>Q1</v>
      </c>
      <c r="L4" s="37" t="str">
        <f>'主表1（成本）'!L4</f>
        <v>Q2</v>
      </c>
      <c r="M4" s="37" t="str">
        <f>'主表1（成本）'!M4</f>
        <v>Q3</v>
      </c>
      <c r="N4" s="37" t="str">
        <f>'主表1（成本）'!N4</f>
        <v>Q4</v>
      </c>
      <c r="O4" s="37" t="str">
        <f>'主表1（成本）'!O4</f>
        <v>Q1</v>
      </c>
      <c r="P4" s="37" t="str">
        <f>'主表1（成本）'!P4</f>
        <v>Q2</v>
      </c>
      <c r="Q4" s="37" t="str">
        <f>'主表1（成本）'!Q4</f>
        <v>Q3</v>
      </c>
      <c r="R4" s="37" t="str">
        <f>'主表1（成本）'!R4</f>
        <v>Q4</v>
      </c>
      <c r="S4" s="37"/>
      <c r="T4" s="35"/>
      <c r="U4" s="35"/>
      <c r="V4" s="35"/>
      <c r="W4" s="35"/>
      <c r="X4" s="35"/>
    </row>
    <row r="5" spans="1:28" ht="24.95" customHeight="1" x14ac:dyDescent="0.3">
      <c r="A5" s="37">
        <v>1</v>
      </c>
      <c r="B5" s="48" t="s">
        <v>2</v>
      </c>
      <c r="C5" s="38" t="e">
        <f>ROUND('底表1（销售）'!F27,0)</f>
        <v>#REF!</v>
      </c>
      <c r="D5" s="38" t="e">
        <f>ROUND('底表1（销售）'!G27,0)</f>
        <v>#REF!</v>
      </c>
      <c r="E5" s="38" t="e">
        <f>ROUND('底表1（销售）'!H27,0)</f>
        <v>#REF!</v>
      </c>
      <c r="F5" s="38" t="e">
        <f>ROUND('底表1（销售）'!I27,0)</f>
        <v>#REF!</v>
      </c>
      <c r="G5" s="38" t="e">
        <f>ROUND('底表1（销售）'!J27,0)</f>
        <v>#REF!</v>
      </c>
      <c r="H5" s="38" t="e">
        <f>ROUND('底表1（销售）'!K27,0)</f>
        <v>#REF!</v>
      </c>
      <c r="I5" s="38" t="e">
        <f>ROUND('底表1（销售）'!L27,0)</f>
        <v>#REF!</v>
      </c>
      <c r="J5" s="38" t="e">
        <f>ROUND('底表1（销售）'!M27,0)</f>
        <v>#REF!</v>
      </c>
      <c r="K5" s="38" t="e">
        <f>ROUND('底表1（销售）'!N27,0)</f>
        <v>#REF!</v>
      </c>
      <c r="L5" s="38" t="e">
        <f>ROUND('底表1（销售）'!O27,0)</f>
        <v>#REF!</v>
      </c>
      <c r="M5" s="38" t="e">
        <f>ROUND('底表1（销售）'!P27,0)</f>
        <v>#REF!</v>
      </c>
      <c r="N5" s="38" t="e">
        <f>ROUND('底表1（销售）'!Q27,0)</f>
        <v>#REF!</v>
      </c>
      <c r="O5" s="38" t="e">
        <f>ROUND('底表1（销售）'!R27,0)</f>
        <v>#REF!</v>
      </c>
      <c r="P5" s="38" t="e">
        <f>ROUND('底表1（销售）'!S27,0)</f>
        <v>#REF!</v>
      </c>
      <c r="Q5" s="38" t="e">
        <f>ROUND('底表1（销售）'!T27,0)</f>
        <v>#REF!</v>
      </c>
      <c r="R5" s="38" t="e">
        <f>ROUND('底表1（销售）'!U27,0)</f>
        <v>#REF!</v>
      </c>
      <c r="S5" s="38" t="e">
        <f>SUM(C5:R5)</f>
        <v>#REF!</v>
      </c>
      <c r="T5" s="35" t="e">
        <f>'底表1（销售）'!BS6</f>
        <v>#REF!</v>
      </c>
      <c r="U5" s="35"/>
      <c r="V5" s="35"/>
      <c r="W5" s="35"/>
      <c r="X5" s="35"/>
    </row>
    <row r="6" spans="1:28" ht="24.95" customHeight="1" x14ac:dyDescent="0.3">
      <c r="A6" s="37">
        <v>2</v>
      </c>
      <c r="B6" s="48" t="s">
        <v>69</v>
      </c>
      <c r="C6" s="38" t="e">
        <f>C5/$S$5*'主表1（成本）'!$B$37*(1+$C$25)</f>
        <v>#REF!</v>
      </c>
      <c r="D6" s="38" t="e">
        <f>D5/$S$5*'主表1（成本）'!$B$37*(1+$C$25)</f>
        <v>#REF!</v>
      </c>
      <c r="E6" s="38" t="e">
        <f>E5/$S$5*'主表1（成本）'!$B$37*(1+$C$25)</f>
        <v>#REF!</v>
      </c>
      <c r="F6" s="38" t="e">
        <f>F5/$S$5*'主表1（成本）'!$B$37*(1+$C$25)</f>
        <v>#REF!</v>
      </c>
      <c r="G6" s="38" t="e">
        <f>G5/$S$5*'主表1（成本）'!$B$37*(1+$C$25)</f>
        <v>#REF!</v>
      </c>
      <c r="H6" s="38" t="e">
        <f>H5/$S$5*'主表1（成本）'!$B$37*(1+$C$25)</f>
        <v>#REF!</v>
      </c>
      <c r="I6" s="38" t="e">
        <f>I5/$S$5*'主表1（成本）'!$B$37*(1+$C$25)</f>
        <v>#REF!</v>
      </c>
      <c r="J6" s="38" t="e">
        <f>J5/$S$5*'主表1（成本）'!$B$37*(1+$C$25)</f>
        <v>#REF!</v>
      </c>
      <c r="K6" s="38" t="e">
        <f>K5/$S$5*'主表1（成本）'!$B$37*(1+$C$25)</f>
        <v>#REF!</v>
      </c>
      <c r="L6" s="38" t="e">
        <f>L5/$S$5*'主表1（成本）'!$B$37*(1+$C$25)</f>
        <v>#REF!</v>
      </c>
      <c r="M6" s="38" t="e">
        <f>M5/$S$5*'主表1（成本）'!$B$37*(1+$C$25)</f>
        <v>#REF!</v>
      </c>
      <c r="N6" s="38" t="e">
        <f>N5/$S$5*'主表1（成本）'!$B$37*(1+$C$25)</f>
        <v>#REF!</v>
      </c>
      <c r="O6" s="38" t="e">
        <f>O5/$S$5*'主表1（成本）'!$B$37*(1+$C$25)</f>
        <v>#REF!</v>
      </c>
      <c r="P6" s="38" t="e">
        <f>P5/$S$5*'主表1（成本）'!$B$37*(1+$C$25)</f>
        <v>#REF!</v>
      </c>
      <c r="Q6" s="38" t="e">
        <f>Q5/$S$5*'主表1（成本）'!$B$37*(1+$C$25)</f>
        <v>#REF!</v>
      </c>
      <c r="R6" s="38" t="e">
        <f>R5/$S$5*'主表1（成本）'!$B$37*(1+$C$25)</f>
        <v>#REF!</v>
      </c>
      <c r="S6" s="38" t="e">
        <f>SUM(C6:R6)</f>
        <v>#REF!</v>
      </c>
      <c r="T6" s="35">
        <f>'主表1（成本）'!B37*(1+$C$25)</f>
        <v>263675.34999999998</v>
      </c>
      <c r="U6" s="35" t="e">
        <f>T6*'底表1（销售）'!BU17/'底表1（销售）'!BU16</f>
        <v>#DIV/0!</v>
      </c>
      <c r="V6" s="35"/>
      <c r="W6" s="35"/>
      <c r="X6" s="35"/>
    </row>
    <row r="7" spans="1:28" ht="24.95" customHeight="1" x14ac:dyDescent="0.3">
      <c r="A7" s="37">
        <v>3</v>
      </c>
      <c r="B7" s="48" t="s">
        <v>137</v>
      </c>
      <c r="C7" s="38" t="e">
        <f>ROUND('底表1（销售）'!F28,0)</f>
        <v>#REF!</v>
      </c>
      <c r="D7" s="38" t="e">
        <f>ROUND('底表1（销售）'!G28,0)</f>
        <v>#REF!</v>
      </c>
      <c r="E7" s="38" t="e">
        <f>ROUND('底表1（销售）'!H28,0)</f>
        <v>#REF!</v>
      </c>
      <c r="F7" s="38" t="e">
        <f>ROUND('底表1（销售）'!I28,0)</f>
        <v>#REF!</v>
      </c>
      <c r="G7" s="38" t="e">
        <f>ROUND('底表1（销售）'!J28,0)</f>
        <v>#REF!</v>
      </c>
      <c r="H7" s="38" t="e">
        <f>ROUND('底表1（销售）'!K28,0)</f>
        <v>#REF!</v>
      </c>
      <c r="I7" s="38" t="e">
        <f>ROUND('底表1（销售）'!L28,0)</f>
        <v>#REF!</v>
      </c>
      <c r="J7" s="38" t="e">
        <f>ROUND('底表1（销售）'!M28,0)</f>
        <v>#REF!</v>
      </c>
      <c r="K7" s="38" t="e">
        <f>ROUND('底表1（销售）'!N28,0)</f>
        <v>#REF!</v>
      </c>
      <c r="L7" s="38" t="e">
        <f>ROUND('底表1（销售）'!O28,0)</f>
        <v>#REF!</v>
      </c>
      <c r="M7" s="38" t="e">
        <f>ROUND('底表1（销售）'!P28,0)</f>
        <v>#REF!</v>
      </c>
      <c r="N7" s="38" t="e">
        <f>ROUND('底表1（销售）'!Q28,0)</f>
        <v>#REF!</v>
      </c>
      <c r="O7" s="38" t="e">
        <f>ROUND('底表1（销售）'!R28,0)</f>
        <v>#REF!</v>
      </c>
      <c r="P7" s="38" t="e">
        <f>ROUND('底表1（销售）'!S28,0)</f>
        <v>#REF!</v>
      </c>
      <c r="Q7" s="38" t="e">
        <f>ROUND('底表1（销售）'!T28,0)</f>
        <v>#REF!</v>
      </c>
      <c r="R7" s="38" t="e">
        <f>ROUND('底表1（销售）'!U28,0)</f>
        <v>#REF!</v>
      </c>
      <c r="S7" s="38" t="e">
        <f>SUM(C7:R7)</f>
        <v>#REF!</v>
      </c>
      <c r="T7" s="35" t="e">
        <f>'底表1（销售）'!BS13</f>
        <v>#REF!</v>
      </c>
      <c r="U7" s="35"/>
      <c r="V7" s="35"/>
      <c r="W7" s="35"/>
      <c r="X7" s="35"/>
    </row>
    <row r="8" spans="1:28" ht="24.95" hidden="1" customHeight="1" x14ac:dyDescent="0.3">
      <c r="A8" s="37">
        <v>4</v>
      </c>
      <c r="B8" s="48" t="s">
        <v>18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>
        <f>SUM(C8:Q8)</f>
        <v>0</v>
      </c>
      <c r="T8" s="35"/>
      <c r="U8" s="35"/>
      <c r="V8" s="35"/>
      <c r="W8" s="35"/>
      <c r="X8" s="35"/>
    </row>
    <row r="9" spans="1:28" s="6" customFormat="1" ht="24.95" customHeight="1" x14ac:dyDescent="0.3">
      <c r="A9" s="37">
        <v>5</v>
      </c>
      <c r="B9" s="48" t="s">
        <v>19</v>
      </c>
      <c r="C9" s="38">
        <f>ROUND(('底表1（销售）'!F21+'底表1（销售）'!F22+'底表1（销售）'!F23)*2%,0)</f>
        <v>0</v>
      </c>
      <c r="D9" s="38">
        <f>ROUND(('底表1（销售）'!G21+'底表1（销售）'!G22+'底表1（销售）'!G23)*2%,0)</f>
        <v>0</v>
      </c>
      <c r="E9" s="38">
        <f>ROUND(('底表1（销售）'!H21+'底表1（销售）'!H22+'底表1（销售）'!H23)*2%,0)</f>
        <v>0</v>
      </c>
      <c r="F9" s="38">
        <f>ROUND(('底表1（销售）'!I21+'底表1（销售）'!I22+'底表1（销售）'!I23)*2%,0)</f>
        <v>0</v>
      </c>
      <c r="G9" s="38">
        <f>ROUND(('底表1（销售）'!J21+'底表1（销售）'!J22+'底表1（销售）'!J23)*2%,0)</f>
        <v>1133</v>
      </c>
      <c r="H9" s="38">
        <f>ROUND(('底表1（销售）'!K21+'底表1（销售）'!K22+'底表1（销售）'!K23)*2%,0)</f>
        <v>1804</v>
      </c>
      <c r="I9" s="38">
        <f>ROUND(('底表1（销售）'!L21+'底表1（销售）'!L22+'底表1（销售）'!L23)*2%,0)</f>
        <v>1437</v>
      </c>
      <c r="J9" s="38">
        <f>ROUND(('底表1（销售）'!M21+'底表1（销售）'!M22+'底表1（销售）'!M23)*2%,0)</f>
        <v>1306</v>
      </c>
      <c r="K9" s="38">
        <f>ROUND(('底表1（销售）'!N21+'底表1（销售）'!N22+'底表1（销售）'!N23)*2%,0)</f>
        <v>943</v>
      </c>
      <c r="L9" s="38">
        <f>ROUND(('底表1（销售）'!O21+'底表1（销售）'!O22+'底表1（销售）'!O23)*2%,0)</f>
        <v>0</v>
      </c>
      <c r="M9" s="38">
        <f>ROUND(('底表1（销售）'!P21+'底表1（销售）'!P22+'底表1（销售）'!P23)*2%,0)</f>
        <v>0</v>
      </c>
      <c r="N9" s="38">
        <f>ROUND(('底表1（销售）'!Q21+'底表1（销售）'!Q22+'底表1（销售）'!Q23)*2%,0)</f>
        <v>0</v>
      </c>
      <c r="O9" s="38">
        <f>ROUND(('底表1（销售）'!R21+'底表1（销售）'!R22+'底表1（销售）'!R23)*2%,0)</f>
        <v>0</v>
      </c>
      <c r="P9" s="38">
        <f>ROUND(('底表1（销售）'!S21+'底表1（销售）'!S22+'底表1（销售）'!S23)*2%,0)</f>
        <v>0</v>
      </c>
      <c r="Q9" s="38">
        <f>ROUND(('底表1（销售）'!T21+'底表1（销售）'!T22+'底表1（销售）'!T23)*2%,0)</f>
        <v>0</v>
      </c>
      <c r="R9" s="38">
        <f>ROUND(('底表1（销售）'!U21+'底表1（销售）'!U22+'底表1（销售）'!U23)*2%,0)</f>
        <v>0</v>
      </c>
      <c r="S9" s="38">
        <f t="shared" ref="S9:S19" si="0">SUM(C9:R9)</f>
        <v>6623</v>
      </c>
      <c r="T9" s="39">
        <f>S9</f>
        <v>6623</v>
      </c>
      <c r="U9" s="40"/>
      <c r="V9" s="35"/>
      <c r="W9" s="34" t="s">
        <v>170</v>
      </c>
      <c r="X9" s="34" t="s">
        <v>171</v>
      </c>
      <c r="Y9" s="19"/>
      <c r="Z9" s="19" t="s">
        <v>172</v>
      </c>
      <c r="AA9" s="19" t="s">
        <v>173</v>
      </c>
      <c r="AB9" s="19" t="s">
        <v>174</v>
      </c>
    </row>
    <row r="10" spans="1:28" ht="24.95" customHeight="1" x14ac:dyDescent="0.3">
      <c r="A10" s="37">
        <v>6</v>
      </c>
      <c r="B10" s="48" t="s">
        <v>42</v>
      </c>
      <c r="C10" s="38">
        <f>'主表1（成本）'!C32</f>
        <v>0</v>
      </c>
      <c r="D10" s="38">
        <f>'主表1（成本）'!D32</f>
        <v>0</v>
      </c>
      <c r="E10" s="38">
        <f>'主表1（成本）'!E32</f>
        <v>0</v>
      </c>
      <c r="F10" s="38">
        <f>'主表1（成本）'!F32</f>
        <v>1003</v>
      </c>
      <c r="G10" s="38">
        <f>'主表1（成本）'!G32</f>
        <v>994</v>
      </c>
      <c r="H10" s="38">
        <f>'主表1（成本）'!H32</f>
        <v>1183</v>
      </c>
      <c r="I10" s="38">
        <f>'主表1（成本）'!I32</f>
        <v>1147</v>
      </c>
      <c r="J10" s="38">
        <f>'主表1（成本）'!J32</f>
        <v>861</v>
      </c>
      <c r="K10" s="38">
        <f>'主表1（成本）'!K32</f>
        <v>751</v>
      </c>
      <c r="L10" s="38">
        <f>'主表1（成本）'!L32</f>
        <v>475</v>
      </c>
      <c r="M10" s="38">
        <f>'主表1（成本）'!M32</f>
        <v>294</v>
      </c>
      <c r="N10" s="38">
        <f>'主表1（成本）'!N32</f>
        <v>262</v>
      </c>
      <c r="O10" s="38">
        <f>'主表1（成本）'!O32</f>
        <v>101</v>
      </c>
      <c r="P10" s="38">
        <f>'主表1（成本）'!P32</f>
        <v>11</v>
      </c>
      <c r="Q10" s="38">
        <f>'主表1（成本）'!Q32</f>
        <v>0</v>
      </c>
      <c r="R10" s="38">
        <f>'主表1（成本）'!R32</f>
        <v>0</v>
      </c>
      <c r="S10" s="38">
        <f t="shared" si="0"/>
        <v>7082</v>
      </c>
      <c r="T10" s="35">
        <f>'主表1（成本）'!B32</f>
        <v>7082</v>
      </c>
      <c r="U10" s="40"/>
      <c r="V10" s="35"/>
      <c r="W10" s="34" t="e">
        <f>ROUND(S6+'底表1（销售）'!BS13+'主表4-1（敏感性分析 成本-5%）'!S6*20%,0)</f>
        <v>#REF!</v>
      </c>
      <c r="X10" s="41" t="e">
        <f>S5/1.09-W10</f>
        <v>#REF!</v>
      </c>
      <c r="Y10" s="20"/>
      <c r="Z10" s="21" t="e">
        <f>X10/W10</f>
        <v>#REF!</v>
      </c>
      <c r="AA10" s="22">
        <v>0.3</v>
      </c>
      <c r="AB10" s="22">
        <v>0</v>
      </c>
    </row>
    <row r="11" spans="1:28" ht="24.95" customHeight="1" x14ac:dyDescent="0.3">
      <c r="A11" s="37">
        <v>7</v>
      </c>
      <c r="B11" s="48" t="s">
        <v>68</v>
      </c>
      <c r="C11" s="38">
        <f>'主表1（成本）'!C33</f>
        <v>0</v>
      </c>
      <c r="D11" s="38">
        <f>'主表1（成本）'!D33</f>
        <v>3476</v>
      </c>
      <c r="E11" s="38">
        <f>'主表1（成本）'!E33</f>
        <v>474</v>
      </c>
      <c r="F11" s="38">
        <f>'主表1（成本）'!F33</f>
        <v>252</v>
      </c>
      <c r="G11" s="38">
        <f>'主表1（成本）'!G33</f>
        <v>165</v>
      </c>
      <c r="H11" s="38">
        <f>'主表1（成本）'!H33</f>
        <v>165</v>
      </c>
      <c r="I11" s="38">
        <f>'主表1（成本）'!I33</f>
        <v>165</v>
      </c>
      <c r="J11" s="38">
        <f>'主表1（成本）'!J33</f>
        <v>165</v>
      </c>
      <c r="K11" s="38">
        <f>'主表1（成本）'!K33</f>
        <v>132</v>
      </c>
      <c r="L11" s="38">
        <f>'主表1（成本）'!L33</f>
        <v>132</v>
      </c>
      <c r="M11" s="38">
        <f>'主表1（成本）'!M33</f>
        <v>99</v>
      </c>
      <c r="N11" s="38">
        <f>'主表1（成本）'!N33</f>
        <v>99</v>
      </c>
      <c r="O11" s="38">
        <f>'主表1（成本）'!O33</f>
        <v>82</v>
      </c>
      <c r="P11" s="38">
        <f>'主表1（成本）'!P33</f>
        <v>82</v>
      </c>
      <c r="Q11" s="38">
        <f>'主表1（成本）'!Q33</f>
        <v>0</v>
      </c>
      <c r="R11" s="38">
        <f>'主表1（成本）'!R33</f>
        <v>0</v>
      </c>
      <c r="S11" s="38">
        <f t="shared" si="0"/>
        <v>5488</v>
      </c>
      <c r="T11" s="35">
        <f>'主表1（成本）'!B33</f>
        <v>5488</v>
      </c>
      <c r="U11" s="40"/>
      <c r="V11" s="35"/>
      <c r="W11" s="35"/>
      <c r="X11" s="35"/>
    </row>
    <row r="12" spans="1:28" ht="24.95" hidden="1" customHeight="1" x14ac:dyDescent="0.3">
      <c r="A12" s="37">
        <v>8</v>
      </c>
      <c r="B12" s="48" t="s">
        <v>29</v>
      </c>
      <c r="C12" s="38">
        <f>'主表1（成本）'!C34</f>
        <v>0</v>
      </c>
      <c r="D12" s="38"/>
      <c r="E12" s="38"/>
      <c r="F12" s="38"/>
      <c r="G12" s="38"/>
      <c r="H12" s="38"/>
      <c r="I12" s="38"/>
      <c r="J12" s="38"/>
      <c r="K12" s="38"/>
      <c r="L12" s="38"/>
      <c r="M12" s="42">
        <f>'主表1（成本）'!M34</f>
        <v>0</v>
      </c>
      <c r="N12" s="42">
        <f>'主表1（成本）'!N34</f>
        <v>0</v>
      </c>
      <c r="O12" s="38">
        <f>'主表1（成本）'!O34</f>
        <v>0</v>
      </c>
      <c r="P12" s="38">
        <f>'主表1（成本）'!P34</f>
        <v>0</v>
      </c>
      <c r="Q12" s="38"/>
      <c r="R12" s="38"/>
      <c r="S12" s="38">
        <f t="shared" si="0"/>
        <v>0</v>
      </c>
      <c r="T12" s="35">
        <f>'主表1（成本）'!B34</f>
        <v>12470</v>
      </c>
      <c r="U12" s="40"/>
      <c r="V12" s="35"/>
      <c r="W12" s="35"/>
      <c r="X12" s="35"/>
    </row>
    <row r="13" spans="1:28" ht="24.95" customHeight="1" x14ac:dyDescent="0.3">
      <c r="A13" s="37">
        <v>9</v>
      </c>
      <c r="B13" s="48" t="s">
        <v>3</v>
      </c>
      <c r="C13" s="38" t="e">
        <f>C5-C6-C7-C8-C9-C10-C11-C12</f>
        <v>#REF!</v>
      </c>
      <c r="D13" s="38" t="e">
        <f t="shared" ref="D13:R13" si="1">D5-D6-D7-D8-D9-D10-D11-D12</f>
        <v>#REF!</v>
      </c>
      <c r="E13" s="38" t="e">
        <f t="shared" si="1"/>
        <v>#REF!</v>
      </c>
      <c r="F13" s="38" t="e">
        <f t="shared" si="1"/>
        <v>#REF!</v>
      </c>
      <c r="G13" s="38" t="e">
        <f t="shared" si="1"/>
        <v>#REF!</v>
      </c>
      <c r="H13" s="38" t="e">
        <f t="shared" si="1"/>
        <v>#REF!</v>
      </c>
      <c r="I13" s="38" t="e">
        <f t="shared" si="1"/>
        <v>#REF!</v>
      </c>
      <c r="J13" s="38" t="e">
        <f t="shared" si="1"/>
        <v>#REF!</v>
      </c>
      <c r="K13" s="38" t="e">
        <f t="shared" si="1"/>
        <v>#REF!</v>
      </c>
      <c r="L13" s="38" t="e">
        <f t="shared" si="1"/>
        <v>#REF!</v>
      </c>
      <c r="M13" s="38" t="e">
        <f t="shared" si="1"/>
        <v>#REF!</v>
      </c>
      <c r="N13" s="38" t="e">
        <f t="shared" si="1"/>
        <v>#REF!</v>
      </c>
      <c r="O13" s="38" t="e">
        <f t="shared" si="1"/>
        <v>#REF!</v>
      </c>
      <c r="P13" s="38" t="e">
        <f t="shared" si="1"/>
        <v>#REF!</v>
      </c>
      <c r="Q13" s="38" t="e">
        <f t="shared" si="1"/>
        <v>#REF!</v>
      </c>
      <c r="R13" s="38" t="e">
        <f t="shared" si="1"/>
        <v>#REF!</v>
      </c>
      <c r="S13" s="38" t="e">
        <f>SUM(C13:R13)</f>
        <v>#REF!</v>
      </c>
      <c r="T13" s="35"/>
      <c r="U13" s="39" t="e">
        <f>C13</f>
        <v>#REF!</v>
      </c>
      <c r="V13" s="39" t="e">
        <f>M13+C13</f>
        <v>#REF!</v>
      </c>
      <c r="W13" s="39" t="e">
        <f>N13+M13+C13</f>
        <v>#REF!</v>
      </c>
      <c r="X13" s="39"/>
      <c r="Y13" s="3"/>
      <c r="Z13" s="3"/>
    </row>
    <row r="14" spans="1:28" s="6" customFormat="1" ht="24.95" customHeight="1" x14ac:dyDescent="0.3">
      <c r="A14" s="37">
        <v>10</v>
      </c>
      <c r="B14" s="48" t="s">
        <v>31</v>
      </c>
      <c r="C14" s="38"/>
      <c r="D14" s="38"/>
      <c r="E14" s="38"/>
      <c r="F14" s="38" t="e">
        <f>IF((SUM($C$13:F13))&lt;0,0,IF(SUM($C$13:F13)&gt;=0,(SUM($C$13:F13)*基础数据!$C$42)))</f>
        <v>#REF!</v>
      </c>
      <c r="G14" s="38"/>
      <c r="H14" s="38"/>
      <c r="I14" s="38"/>
      <c r="J14" s="38" t="e">
        <f>IF((SUM($C$13:J13))&lt;0,0,IF(SUM($C$13:J13)&gt;=0,(SUM($C$13:J13)*基础数据!$C$42)))</f>
        <v>#REF!</v>
      </c>
      <c r="K14" s="38"/>
      <c r="L14" s="38"/>
      <c r="M14" s="38"/>
      <c r="N14" s="38" t="e">
        <f>IF((SUM($K$13:N13))&lt;0,0,IF(SUM($K$13:N13)&gt;=0,(SUM($K$13:N13)*基础数据!$C$42)))</f>
        <v>#REF!</v>
      </c>
      <c r="O14" s="38"/>
      <c r="P14" s="38"/>
      <c r="Q14" s="38"/>
      <c r="R14" s="38" t="e">
        <f>IF((SUM($O$13:R13))&lt;0,0,IF(SUM($O$13:R13)&gt;=0,(SUM($O$13:R13)*基础数据!$C$42)))</f>
        <v>#REF!</v>
      </c>
      <c r="S14" s="38" t="e">
        <f>SUM(C14:R14)</f>
        <v>#REF!</v>
      </c>
      <c r="T14" s="35"/>
      <c r="U14" s="35"/>
      <c r="V14" s="35"/>
      <c r="W14" s="35"/>
      <c r="X14" s="35"/>
    </row>
    <row r="15" spans="1:28" ht="24.95" customHeight="1" x14ac:dyDescent="0.3">
      <c r="A15" s="37">
        <v>11</v>
      </c>
      <c r="B15" s="48" t="s">
        <v>26</v>
      </c>
      <c r="C15" s="38" t="e">
        <f>C13-C14</f>
        <v>#REF!</v>
      </c>
      <c r="D15" s="38" t="e">
        <f t="shared" ref="D15:R15" si="2">D13-D14</f>
        <v>#REF!</v>
      </c>
      <c r="E15" s="38" t="e">
        <f t="shared" si="2"/>
        <v>#REF!</v>
      </c>
      <c r="F15" s="38" t="e">
        <f t="shared" si="2"/>
        <v>#REF!</v>
      </c>
      <c r="G15" s="38" t="e">
        <f t="shared" si="2"/>
        <v>#REF!</v>
      </c>
      <c r="H15" s="38" t="e">
        <f t="shared" si="2"/>
        <v>#REF!</v>
      </c>
      <c r="I15" s="38" t="e">
        <f t="shared" si="2"/>
        <v>#REF!</v>
      </c>
      <c r="J15" s="38" t="e">
        <f t="shared" si="2"/>
        <v>#REF!</v>
      </c>
      <c r="K15" s="38" t="e">
        <f t="shared" si="2"/>
        <v>#REF!</v>
      </c>
      <c r="L15" s="38" t="e">
        <f t="shared" si="2"/>
        <v>#REF!</v>
      </c>
      <c r="M15" s="38" t="e">
        <f t="shared" si="2"/>
        <v>#REF!</v>
      </c>
      <c r="N15" s="38" t="e">
        <f t="shared" si="2"/>
        <v>#REF!</v>
      </c>
      <c r="O15" s="38" t="e">
        <f t="shared" si="2"/>
        <v>#REF!</v>
      </c>
      <c r="P15" s="38" t="e">
        <f t="shared" si="2"/>
        <v>#REF!</v>
      </c>
      <c r="Q15" s="38" t="e">
        <f t="shared" si="2"/>
        <v>#REF!</v>
      </c>
      <c r="R15" s="38" t="e">
        <f t="shared" si="2"/>
        <v>#REF!</v>
      </c>
      <c r="S15" s="38" t="e">
        <f t="shared" si="0"/>
        <v>#REF!</v>
      </c>
      <c r="T15" s="35"/>
      <c r="U15" s="35"/>
      <c r="V15" s="35"/>
      <c r="W15" s="35"/>
      <c r="X15" s="35"/>
    </row>
    <row r="16" spans="1:28" ht="24.95" customHeight="1" x14ac:dyDescent="0.3">
      <c r="A16" s="37">
        <v>12</v>
      </c>
      <c r="B16" s="48" t="s">
        <v>103</v>
      </c>
      <c r="C16" s="38"/>
      <c r="D16" s="38" t="e">
        <f>C21</f>
        <v>#REF!</v>
      </c>
      <c r="E16" s="38" t="e">
        <f t="shared" ref="E16:R16" si="3">D21</f>
        <v>#REF!</v>
      </c>
      <c r="F16" s="38" t="e">
        <f t="shared" si="3"/>
        <v>#REF!</v>
      </c>
      <c r="G16" s="38" t="e">
        <f t="shared" si="3"/>
        <v>#REF!</v>
      </c>
      <c r="H16" s="38" t="e">
        <f t="shared" si="3"/>
        <v>#REF!</v>
      </c>
      <c r="I16" s="38" t="e">
        <f t="shared" si="3"/>
        <v>#REF!</v>
      </c>
      <c r="J16" s="38" t="e">
        <f t="shared" si="3"/>
        <v>#REF!</v>
      </c>
      <c r="K16" s="38" t="e">
        <f t="shared" si="3"/>
        <v>#REF!</v>
      </c>
      <c r="L16" s="38" t="e">
        <f t="shared" si="3"/>
        <v>#REF!</v>
      </c>
      <c r="M16" s="38" t="e">
        <f t="shared" si="3"/>
        <v>#REF!</v>
      </c>
      <c r="N16" s="38" t="e">
        <f t="shared" si="3"/>
        <v>#REF!</v>
      </c>
      <c r="O16" s="38" t="e">
        <f t="shared" si="3"/>
        <v>#REF!</v>
      </c>
      <c r="P16" s="38" t="e">
        <f t="shared" si="3"/>
        <v>#REF!</v>
      </c>
      <c r="Q16" s="38" t="e">
        <f t="shared" si="3"/>
        <v>#REF!</v>
      </c>
      <c r="R16" s="38" t="e">
        <f t="shared" si="3"/>
        <v>#REF!</v>
      </c>
      <c r="S16" s="38"/>
      <c r="T16" s="35"/>
      <c r="U16" s="35"/>
      <c r="V16" s="35"/>
      <c r="W16" s="35"/>
      <c r="X16" s="35"/>
    </row>
    <row r="17" spans="1:24" ht="24.95" customHeight="1" x14ac:dyDescent="0.3">
      <c r="A17" s="37">
        <v>13</v>
      </c>
      <c r="B17" s="48" t="s">
        <v>27</v>
      </c>
      <c r="C17" s="38" t="e">
        <f>C16+C15</f>
        <v>#REF!</v>
      </c>
      <c r="D17" s="38" t="e">
        <f t="shared" ref="D17:R17" si="4">D16+D15</f>
        <v>#REF!</v>
      </c>
      <c r="E17" s="38" t="e">
        <f t="shared" si="4"/>
        <v>#REF!</v>
      </c>
      <c r="F17" s="38" t="e">
        <f t="shared" si="4"/>
        <v>#REF!</v>
      </c>
      <c r="G17" s="38" t="e">
        <f t="shared" si="4"/>
        <v>#REF!</v>
      </c>
      <c r="H17" s="38" t="e">
        <f t="shared" si="4"/>
        <v>#REF!</v>
      </c>
      <c r="I17" s="38" t="e">
        <f t="shared" si="4"/>
        <v>#REF!</v>
      </c>
      <c r="J17" s="38" t="e">
        <f t="shared" si="4"/>
        <v>#REF!</v>
      </c>
      <c r="K17" s="38" t="e">
        <f t="shared" si="4"/>
        <v>#REF!</v>
      </c>
      <c r="L17" s="38" t="e">
        <f t="shared" si="4"/>
        <v>#REF!</v>
      </c>
      <c r="M17" s="38" t="e">
        <f t="shared" si="4"/>
        <v>#REF!</v>
      </c>
      <c r="N17" s="38" t="e">
        <f t="shared" si="4"/>
        <v>#REF!</v>
      </c>
      <c r="O17" s="38" t="e">
        <f t="shared" si="4"/>
        <v>#REF!</v>
      </c>
      <c r="P17" s="38" t="e">
        <f t="shared" si="4"/>
        <v>#REF!</v>
      </c>
      <c r="Q17" s="38" t="e">
        <f t="shared" si="4"/>
        <v>#REF!</v>
      </c>
      <c r="R17" s="38" t="e">
        <f t="shared" si="4"/>
        <v>#REF!</v>
      </c>
      <c r="S17" s="38"/>
      <c r="T17" s="35"/>
      <c r="U17" s="35"/>
      <c r="V17" s="35"/>
      <c r="W17" s="35"/>
      <c r="X17" s="35"/>
    </row>
    <row r="18" spans="1:24" s="6" customFormat="1" ht="24.95" customHeight="1" x14ac:dyDescent="0.3">
      <c r="A18" s="37">
        <v>14</v>
      </c>
      <c r="B18" s="48" t="s">
        <v>138</v>
      </c>
      <c r="C18" s="38"/>
      <c r="D18" s="38"/>
      <c r="E18" s="38"/>
      <c r="F18" s="38" t="e">
        <f>IF(SUM(C15:F15)&lt;0,0,IF(SUM(C15:F15)&gt;=0,SUM(C15:F15)*基础数据!$C$46))</f>
        <v>#REF!</v>
      </c>
      <c r="G18" s="38"/>
      <c r="H18" s="38"/>
      <c r="I18" s="38"/>
      <c r="J18" s="38" t="e">
        <f>IF(SUM(G15:J15)&lt;0,0,IF(SUM(G15:J15)&gt;=0,SUM(G15:J15)*基础数据!$C$46))</f>
        <v>#REF!</v>
      </c>
      <c r="K18" s="38"/>
      <c r="L18" s="38"/>
      <c r="M18" s="38"/>
      <c r="N18" s="38" t="e">
        <f>IF(SUM(K15:N15)&lt;0,0,IF(SUM(K15:N15)&gt;=0,SUM(K15:N15)*基础数据!$C$46))</f>
        <v>#REF!</v>
      </c>
      <c r="O18" s="38"/>
      <c r="P18" s="38"/>
      <c r="Q18" s="38"/>
      <c r="R18" s="38" t="e">
        <f>IF(SUM(O15:R15)&lt;0,0,IF(SUM(O15:R15)&gt;=0,SUM(O15:R15)*基础数据!$C$46))</f>
        <v>#REF!</v>
      </c>
      <c r="S18" s="38" t="e">
        <f t="shared" si="0"/>
        <v>#REF!</v>
      </c>
      <c r="T18" s="35"/>
      <c r="U18" s="35"/>
      <c r="V18" s="35"/>
      <c r="W18" s="35"/>
      <c r="X18" s="35"/>
    </row>
    <row r="19" spans="1:24" s="6" customFormat="1" ht="24.95" hidden="1" customHeight="1" x14ac:dyDescent="0.3">
      <c r="A19" s="37">
        <v>15</v>
      </c>
      <c r="B19" s="48"/>
      <c r="C19" s="38" t="e">
        <f>IF(C15&lt;0,0,IF(C15&gt;=0,C15*基础数据!$C$47))</f>
        <v>#REF!</v>
      </c>
      <c r="D19" s="38"/>
      <c r="E19" s="38"/>
      <c r="F19" s="38"/>
      <c r="G19" s="38"/>
      <c r="H19" s="38"/>
      <c r="I19" s="38"/>
      <c r="J19" s="38"/>
      <c r="K19" s="38"/>
      <c r="L19" s="38"/>
      <c r="M19" s="38" t="e">
        <f>IF(M15&lt;0,0,IF(M15&gt;=0,M15*基础数据!$C$47))</f>
        <v>#REF!</v>
      </c>
      <c r="N19" s="38" t="e">
        <f>IF(N15&lt;0,0,IF(N15&gt;=0,N15*基础数据!$C$47))</f>
        <v>#REF!</v>
      </c>
      <c r="O19" s="38" t="e">
        <f>IF(O15&lt;0,0,IF(O15&gt;=0,O15*基础数据!$C$47))</f>
        <v>#REF!</v>
      </c>
      <c r="P19" s="38" t="e">
        <f>IF(P15&lt;0,0,IF(P15&gt;=0,P15*基础数据!$C$47))</f>
        <v>#REF!</v>
      </c>
      <c r="Q19" s="38"/>
      <c r="R19" s="38"/>
      <c r="S19" s="38" t="e">
        <f t="shared" si="0"/>
        <v>#REF!</v>
      </c>
      <c r="T19" s="35"/>
      <c r="U19" s="35"/>
      <c r="V19" s="35"/>
      <c r="W19" s="35"/>
      <c r="X19" s="35"/>
    </row>
    <row r="20" spans="1:24" ht="24.95" hidden="1" customHeight="1" x14ac:dyDescent="0.3">
      <c r="A20" s="37">
        <v>16</v>
      </c>
      <c r="B20" s="48" t="s">
        <v>105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>
        <f>SUM(C20:Q20)</f>
        <v>0</v>
      </c>
      <c r="T20" s="35"/>
      <c r="U20" s="35"/>
      <c r="V20" s="35"/>
      <c r="W20" s="43" t="e">
        <f>S13/S5</f>
        <v>#REF!</v>
      </c>
      <c r="X20" s="35"/>
    </row>
    <row r="21" spans="1:24" ht="24.95" customHeight="1" x14ac:dyDescent="0.3">
      <c r="A21" s="37">
        <v>17</v>
      </c>
      <c r="B21" s="48" t="s">
        <v>28</v>
      </c>
      <c r="C21" s="38" t="e">
        <f>C17-C18-C20</f>
        <v>#REF!</v>
      </c>
      <c r="D21" s="38" t="e">
        <f t="shared" ref="D21:R21" si="5">D17-D18-D20</f>
        <v>#REF!</v>
      </c>
      <c r="E21" s="38" t="e">
        <f t="shared" si="5"/>
        <v>#REF!</v>
      </c>
      <c r="F21" s="38" t="e">
        <f>F17-F18-F20</f>
        <v>#REF!</v>
      </c>
      <c r="G21" s="38" t="e">
        <f t="shared" si="5"/>
        <v>#REF!</v>
      </c>
      <c r="H21" s="38" t="e">
        <f t="shared" si="5"/>
        <v>#REF!</v>
      </c>
      <c r="I21" s="38" t="e">
        <f t="shared" si="5"/>
        <v>#REF!</v>
      </c>
      <c r="J21" s="38" t="e">
        <f t="shared" si="5"/>
        <v>#REF!</v>
      </c>
      <c r="K21" s="38" t="e">
        <f t="shared" si="5"/>
        <v>#REF!</v>
      </c>
      <c r="L21" s="38" t="e">
        <f t="shared" si="5"/>
        <v>#REF!</v>
      </c>
      <c r="M21" s="38" t="e">
        <f t="shared" si="5"/>
        <v>#REF!</v>
      </c>
      <c r="N21" s="38" t="e">
        <f t="shared" si="5"/>
        <v>#REF!</v>
      </c>
      <c r="O21" s="38" t="e">
        <f t="shared" si="5"/>
        <v>#REF!</v>
      </c>
      <c r="P21" s="38" t="e">
        <f t="shared" si="5"/>
        <v>#REF!</v>
      </c>
      <c r="Q21" s="38" t="e">
        <f t="shared" si="5"/>
        <v>#REF!</v>
      </c>
      <c r="R21" s="38" t="e">
        <f t="shared" si="5"/>
        <v>#REF!</v>
      </c>
      <c r="S21" s="38"/>
      <c r="T21" s="35"/>
      <c r="U21" s="35"/>
      <c r="V21" s="35"/>
      <c r="W21" s="43">
        <f>结论表!J10</f>
        <v>0.13400000000000001</v>
      </c>
      <c r="X21" s="35"/>
    </row>
    <row r="24" spans="1:24" hidden="1" x14ac:dyDescent="0.25">
      <c r="B24" s="2" t="s">
        <v>73</v>
      </c>
      <c r="C24" s="4" t="e">
        <f>(S12+S13)/S12</f>
        <v>#REF!</v>
      </c>
      <c r="D24" s="4"/>
      <c r="E24" s="4"/>
      <c r="F24" s="4"/>
      <c r="G24" s="4"/>
      <c r="H24" s="4"/>
      <c r="I24" s="4"/>
      <c r="J24" s="4"/>
      <c r="K24" s="4"/>
      <c r="L24" s="4"/>
      <c r="M24" s="5" t="s">
        <v>74</v>
      </c>
    </row>
    <row r="25" spans="1:24" ht="18" x14ac:dyDescent="0.3">
      <c r="B25" s="23" t="s">
        <v>177</v>
      </c>
      <c r="C25" s="24">
        <v>-0.05</v>
      </c>
      <c r="J25" s="3"/>
    </row>
  </sheetData>
  <mergeCells count="7">
    <mergeCell ref="A1:S1"/>
    <mergeCell ref="C2:P2"/>
    <mergeCell ref="Q2:S2"/>
    <mergeCell ref="C3:F3"/>
    <mergeCell ref="G3:J3"/>
    <mergeCell ref="K3:N3"/>
    <mergeCell ref="O3:R3"/>
  </mergeCells>
  <phoneticPr fontId="2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theme="3" tint="0.79998168889431442"/>
  </sheetPr>
  <dimension ref="A1:T29"/>
  <sheetViews>
    <sheetView view="pageBreakPreview" topLeftCell="H3" zoomScale="115" zoomScaleNormal="100" zoomScaleSheetLayoutView="115" workbookViewId="0">
      <selection activeCell="D18" sqref="D18:R18"/>
    </sheetView>
  </sheetViews>
  <sheetFormatPr defaultColWidth="11" defaultRowHeight="18" x14ac:dyDescent="0.3"/>
  <cols>
    <col min="1" max="1" width="4.625" style="26" customWidth="1"/>
    <col min="2" max="2" width="22.125" style="26" customWidth="1"/>
    <col min="3" max="17" width="9.625" style="26" customWidth="1"/>
    <col min="18" max="18" width="11" style="26" customWidth="1"/>
    <col min="19" max="19" width="8.875" style="26" customWidth="1"/>
    <col min="20" max="16384" width="11" style="26"/>
  </cols>
  <sheetData>
    <row r="1" spans="1:20" ht="24" customHeight="1" x14ac:dyDescent="0.3">
      <c r="A1" s="831" t="s">
        <v>12</v>
      </c>
      <c r="B1" s="831"/>
      <c r="C1" s="831"/>
      <c r="D1" s="831"/>
      <c r="E1" s="831"/>
      <c r="F1" s="831"/>
      <c r="G1" s="831"/>
      <c r="H1" s="831"/>
      <c r="I1" s="831"/>
      <c r="J1" s="831"/>
      <c r="K1" s="831"/>
      <c r="L1" s="831"/>
      <c r="M1" s="831"/>
      <c r="N1" s="831"/>
      <c r="O1" s="831"/>
      <c r="P1" s="831"/>
      <c r="Q1" s="831"/>
      <c r="R1" s="831"/>
      <c r="S1" s="46"/>
    </row>
    <row r="2" spans="1:20" ht="49.5" customHeight="1" x14ac:dyDescent="0.3">
      <c r="A2" s="27" t="s">
        <v>175</v>
      </c>
      <c r="B2" s="27"/>
      <c r="C2" s="832" t="str">
        <f>基础数据!C5</f>
        <v>北京市密云区檀营乡6005地块R2二类居住用地（编号：京土整储挂（密）[2021]026号）居住项目</v>
      </c>
      <c r="D2" s="832"/>
      <c r="E2" s="832"/>
      <c r="F2" s="832"/>
      <c r="G2" s="832"/>
      <c r="H2" s="832"/>
      <c r="I2" s="832"/>
      <c r="J2" s="832"/>
      <c r="K2" s="832"/>
      <c r="L2" s="832"/>
      <c r="M2" s="832"/>
      <c r="N2" s="832"/>
      <c r="O2" s="832"/>
      <c r="P2" s="832"/>
      <c r="Q2" s="832"/>
      <c r="R2" s="832"/>
      <c r="S2" s="46"/>
    </row>
    <row r="3" spans="1:20" ht="24" customHeight="1" x14ac:dyDescent="0.3">
      <c r="A3" s="28" t="s">
        <v>9</v>
      </c>
      <c r="B3" s="28" t="s">
        <v>81</v>
      </c>
      <c r="C3" s="833" t="str">
        <f>'主表1（成本）'!C3</f>
        <v>2021年</v>
      </c>
      <c r="D3" s="834"/>
      <c r="E3" s="834"/>
      <c r="F3" s="835"/>
      <c r="G3" s="833" t="str">
        <f>'主表1（成本）'!G3</f>
        <v>2022年</v>
      </c>
      <c r="H3" s="834"/>
      <c r="I3" s="834"/>
      <c r="J3" s="835"/>
      <c r="K3" s="833" t="str">
        <f>'主表1（成本）'!K3</f>
        <v>2023年</v>
      </c>
      <c r="L3" s="834"/>
      <c r="M3" s="834"/>
      <c r="N3" s="835"/>
      <c r="O3" s="833" t="str">
        <f>'主表1（成本）'!O3</f>
        <v>2024年</v>
      </c>
      <c r="P3" s="834"/>
      <c r="Q3" s="834"/>
      <c r="R3" s="835"/>
      <c r="S3" s="28" t="s">
        <v>34</v>
      </c>
    </row>
    <row r="4" spans="1:20" ht="24" customHeight="1" x14ac:dyDescent="0.3">
      <c r="A4" s="28"/>
      <c r="B4" s="28"/>
      <c r="C4" s="28" t="str">
        <f>'主表1（成本）'!C4</f>
        <v>Q1</v>
      </c>
      <c r="D4" s="28" t="str">
        <f>'主表1（成本）'!D4</f>
        <v>Q2</v>
      </c>
      <c r="E4" s="28" t="str">
        <f>'主表1（成本）'!E4</f>
        <v>Q3</v>
      </c>
      <c r="F4" s="28" t="str">
        <f>'主表1（成本）'!F4</f>
        <v>Q4</v>
      </c>
      <c r="G4" s="28" t="str">
        <f>'主表1（成本）'!G4</f>
        <v>Q1</v>
      </c>
      <c r="H4" s="28" t="str">
        <f>'主表1（成本）'!H4</f>
        <v>Q2</v>
      </c>
      <c r="I4" s="28" t="str">
        <f>'主表1（成本）'!I4</f>
        <v>Q3</v>
      </c>
      <c r="J4" s="28" t="str">
        <f>'主表1（成本）'!J4</f>
        <v>Q4</v>
      </c>
      <c r="K4" s="28" t="str">
        <f>'主表1（成本）'!K4</f>
        <v>Q1</v>
      </c>
      <c r="L4" s="28" t="str">
        <f>'主表1（成本）'!L4</f>
        <v>Q2</v>
      </c>
      <c r="M4" s="28" t="str">
        <f>'主表1（成本）'!M4</f>
        <v>Q3</v>
      </c>
      <c r="N4" s="28" t="str">
        <f>'主表1（成本）'!N4</f>
        <v>Q4</v>
      </c>
      <c r="O4" s="28" t="str">
        <f>'主表1（成本）'!O4</f>
        <v>Q1</v>
      </c>
      <c r="P4" s="28" t="str">
        <f>'主表1（成本）'!P4</f>
        <v>Q2</v>
      </c>
      <c r="Q4" s="28" t="str">
        <f>'主表1（成本）'!Q4</f>
        <v>Q3</v>
      </c>
      <c r="R4" s="28" t="str">
        <f>'主表1（成本）'!R4</f>
        <v>Q4</v>
      </c>
      <c r="S4" s="28"/>
    </row>
    <row r="5" spans="1:20" ht="24" customHeight="1" x14ac:dyDescent="0.3">
      <c r="A5" s="28">
        <v>1</v>
      </c>
      <c r="B5" s="28" t="s">
        <v>13</v>
      </c>
      <c r="C5" s="29" t="e">
        <f t="shared" ref="C5:R5" si="0">SUM(C6:C9)</f>
        <v>#REF!</v>
      </c>
      <c r="D5" s="29" t="e">
        <f t="shared" si="0"/>
        <v>#REF!</v>
      </c>
      <c r="E5" s="29" t="e">
        <f t="shared" si="0"/>
        <v>#REF!</v>
      </c>
      <c r="F5" s="29" t="e">
        <f t="shared" si="0"/>
        <v>#REF!</v>
      </c>
      <c r="G5" s="29" t="e">
        <f t="shared" si="0"/>
        <v>#REF!</v>
      </c>
      <c r="H5" s="29" t="e">
        <f t="shared" si="0"/>
        <v>#REF!</v>
      </c>
      <c r="I5" s="29" t="e">
        <f t="shared" si="0"/>
        <v>#REF!</v>
      </c>
      <c r="J5" s="29" t="e">
        <f t="shared" si="0"/>
        <v>#REF!</v>
      </c>
      <c r="K5" s="29" t="e">
        <f t="shared" si="0"/>
        <v>#REF!</v>
      </c>
      <c r="L5" s="29" t="e">
        <f t="shared" si="0"/>
        <v>#REF!</v>
      </c>
      <c r="M5" s="29" t="e">
        <f t="shared" si="0"/>
        <v>#REF!</v>
      </c>
      <c r="N5" s="29" t="e">
        <f t="shared" si="0"/>
        <v>#REF!</v>
      </c>
      <c r="O5" s="29" t="e">
        <f t="shared" si="0"/>
        <v>#REF!</v>
      </c>
      <c r="P5" s="29" t="e">
        <f t="shared" si="0"/>
        <v>#REF!</v>
      </c>
      <c r="Q5" s="29" t="e">
        <f t="shared" si="0"/>
        <v>#REF!</v>
      </c>
      <c r="R5" s="29" t="e">
        <f t="shared" si="0"/>
        <v>#REF!</v>
      </c>
      <c r="S5" s="29" t="e">
        <f t="shared" ref="S5:S17" si="1">SUM(C5:R5)</f>
        <v>#REF!</v>
      </c>
    </row>
    <row r="6" spans="1:20" ht="24" customHeight="1" x14ac:dyDescent="0.3">
      <c r="A6" s="28">
        <v>2</v>
      </c>
      <c r="B6" s="28" t="s">
        <v>2</v>
      </c>
      <c r="C6" s="47" t="e">
        <f>ROUND('底表1（销售）'!F27,0)</f>
        <v>#REF!</v>
      </c>
      <c r="D6" s="47" t="e">
        <f>ROUND('底表1（销售）'!G27,0)</f>
        <v>#REF!</v>
      </c>
      <c r="E6" s="47" t="e">
        <f>ROUND('底表1（销售）'!H27,0)</f>
        <v>#REF!</v>
      </c>
      <c r="F6" s="47" t="e">
        <f>ROUND('底表1（销售）'!I27,0)</f>
        <v>#REF!</v>
      </c>
      <c r="G6" s="47" t="e">
        <f>ROUND('底表1（销售）'!J27,0)</f>
        <v>#REF!</v>
      </c>
      <c r="H6" s="47" t="e">
        <f>ROUND('底表1（销售）'!K27,0)</f>
        <v>#REF!</v>
      </c>
      <c r="I6" s="47" t="e">
        <f>ROUND('底表1（销售）'!L27,0)</f>
        <v>#REF!</v>
      </c>
      <c r="J6" s="47" t="e">
        <f>ROUND('底表1（销售）'!M27,0)</f>
        <v>#REF!</v>
      </c>
      <c r="K6" s="47" t="e">
        <f>ROUND('底表1（销售）'!N27,0)</f>
        <v>#REF!</v>
      </c>
      <c r="L6" s="47" t="e">
        <f>ROUND('底表1（销售）'!O27,0)</f>
        <v>#REF!</v>
      </c>
      <c r="M6" s="47" t="e">
        <f>ROUND('底表1（销售）'!P27,0)</f>
        <v>#REF!</v>
      </c>
      <c r="N6" s="47" t="e">
        <f>ROUND('底表1（销售）'!Q27,0)</f>
        <v>#REF!</v>
      </c>
      <c r="O6" s="47" t="e">
        <f>ROUND('底表1（销售）'!R27,0)</f>
        <v>#REF!</v>
      </c>
      <c r="P6" s="47" t="e">
        <f>ROUND('底表1（销售）'!S27,0)</f>
        <v>#REF!</v>
      </c>
      <c r="Q6" s="47" t="e">
        <f>ROUND('底表1（销售）'!T27,0)</f>
        <v>#REF!</v>
      </c>
      <c r="R6" s="47" t="e">
        <f>ROUND('底表1（销售）'!U27,0)</f>
        <v>#REF!</v>
      </c>
      <c r="S6" s="29" t="e">
        <f t="shared" si="1"/>
        <v>#REF!</v>
      </c>
      <c r="T6" s="26" t="e">
        <f>'底表1（销售）'!BS6</f>
        <v>#REF!</v>
      </c>
    </row>
    <row r="7" spans="1:20" ht="24" hidden="1" customHeight="1" x14ac:dyDescent="0.3">
      <c r="A7" s="28">
        <v>3</v>
      </c>
      <c r="B7" s="30" t="s">
        <v>10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>
        <f t="shared" si="1"/>
        <v>0</v>
      </c>
    </row>
    <row r="8" spans="1:20" ht="24" hidden="1" customHeight="1" x14ac:dyDescent="0.3">
      <c r="A8" s="28">
        <v>4</v>
      </c>
      <c r="B8" s="28" t="s">
        <v>14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>
        <f t="shared" si="1"/>
        <v>0</v>
      </c>
    </row>
    <row r="9" spans="1:20" ht="24" hidden="1" customHeight="1" x14ac:dyDescent="0.3">
      <c r="A9" s="28">
        <v>5</v>
      </c>
      <c r="B9" s="28" t="s">
        <v>0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>
        <f t="shared" si="1"/>
        <v>0</v>
      </c>
    </row>
    <row r="10" spans="1:20" ht="24" customHeight="1" x14ac:dyDescent="0.3">
      <c r="A10" s="28">
        <v>6</v>
      </c>
      <c r="B10" s="28" t="s">
        <v>15</v>
      </c>
      <c r="C10" s="29" t="e">
        <f t="shared" ref="C10:R10" si="2">SUM(C11:C16)</f>
        <v>#REF!</v>
      </c>
      <c r="D10" s="29" t="e">
        <f t="shared" si="2"/>
        <v>#REF!</v>
      </c>
      <c r="E10" s="29" t="e">
        <f t="shared" si="2"/>
        <v>#REF!</v>
      </c>
      <c r="F10" s="29" t="e">
        <f t="shared" si="2"/>
        <v>#REF!</v>
      </c>
      <c r="G10" s="29" t="e">
        <f t="shared" si="2"/>
        <v>#REF!</v>
      </c>
      <c r="H10" s="29" t="e">
        <f t="shared" si="2"/>
        <v>#REF!</v>
      </c>
      <c r="I10" s="29" t="e">
        <f t="shared" si="2"/>
        <v>#REF!</v>
      </c>
      <c r="J10" s="29" t="e">
        <f t="shared" si="2"/>
        <v>#REF!</v>
      </c>
      <c r="K10" s="29" t="e">
        <f t="shared" si="2"/>
        <v>#REF!</v>
      </c>
      <c r="L10" s="29" t="e">
        <f t="shared" si="2"/>
        <v>#REF!</v>
      </c>
      <c r="M10" s="29" t="e">
        <f t="shared" si="2"/>
        <v>#REF!</v>
      </c>
      <c r="N10" s="29" t="e">
        <f t="shared" si="2"/>
        <v>#REF!</v>
      </c>
      <c r="O10" s="29" t="e">
        <f t="shared" si="2"/>
        <v>#REF!</v>
      </c>
      <c r="P10" s="29" t="e">
        <f t="shared" si="2"/>
        <v>#REF!</v>
      </c>
      <c r="Q10" s="29" t="e">
        <f t="shared" si="2"/>
        <v>#REF!</v>
      </c>
      <c r="R10" s="29" t="e">
        <f t="shared" si="2"/>
        <v>#REF!</v>
      </c>
      <c r="S10" s="29" t="e">
        <f t="shared" si="1"/>
        <v>#REF!</v>
      </c>
    </row>
    <row r="11" spans="1:20" ht="24" customHeight="1" x14ac:dyDescent="0.3">
      <c r="A11" s="51">
        <v>7</v>
      </c>
      <c r="B11" s="51" t="s">
        <v>16</v>
      </c>
      <c r="C11" s="52">
        <f>ROUND('主表1（成本）'!C39*$C$25,0)*(1+$C$29)</f>
        <v>0</v>
      </c>
      <c r="D11" s="52">
        <f>ROUND('主表1（成本）'!D39*$C$25,0)*(1+$C$29)</f>
        <v>161113</v>
      </c>
      <c r="E11" s="52">
        <f>ROUND('主表1（成本）'!E39*$C$25,0)*(1+$C$29)</f>
        <v>21994</v>
      </c>
      <c r="F11" s="52">
        <f>ROUND('主表1（成本）'!F39*$C$25,0)*(1+$C$29)</f>
        <v>12625</v>
      </c>
      <c r="G11" s="52">
        <f>ROUND('主表1（成本）'!G39*$C$25,0)*(1+$C$29)</f>
        <v>8574</v>
      </c>
      <c r="H11" s="52">
        <f>ROUND('主表1（成本）'!H39*$C$25,0)*(1+$C$29)</f>
        <v>8744</v>
      </c>
      <c r="I11" s="52">
        <f>ROUND('主表1（成本）'!I39*$C$25,0)*(1+$C$29)</f>
        <v>8712</v>
      </c>
      <c r="J11" s="52">
        <f>ROUND('主表1（成本）'!J39*$C$25,0)*(1+$C$29)</f>
        <v>8455</v>
      </c>
      <c r="K11" s="52">
        <f>ROUND('主表1（成本）'!K39*$C$25,0)*(1+$C$29)</f>
        <v>6820</v>
      </c>
      <c r="L11" s="52">
        <f>ROUND('主表1（成本）'!L39*$C$25,0)*(1+$C$29)</f>
        <v>6572</v>
      </c>
      <c r="M11" s="52">
        <f>ROUND('主表1（成本）'!M39*$C$25,0)*(1+$C$29)</f>
        <v>4872</v>
      </c>
      <c r="N11" s="52">
        <f>ROUND('主表1（成本）'!N39*$C$25,0)*(1+$C$29)</f>
        <v>4843</v>
      </c>
      <c r="O11" s="52">
        <f>ROUND('主表1（成本）'!O39*$C$25,0)*(1+$C$29)</f>
        <v>3930</v>
      </c>
      <c r="P11" s="52">
        <f>ROUND('主表1（成本）'!P39*$C$25,0)*(1+$C$29)</f>
        <v>3857</v>
      </c>
      <c r="Q11" s="52">
        <f>ROUND('主表1（成本）'!Q39*$C$25,0)*(1+$C$29)</f>
        <v>0</v>
      </c>
      <c r="R11" s="52">
        <f>ROUND('主表1（成本）'!R39*$C$25,0)*(1+$C$29)</f>
        <v>0</v>
      </c>
      <c r="S11" s="52">
        <f t="shared" si="1"/>
        <v>261111</v>
      </c>
      <c r="T11" s="26">
        <f>'主表1（成本）'!B39*(1+C29)</f>
        <v>261110.7</v>
      </c>
    </row>
    <row r="12" spans="1:20" ht="24" hidden="1" customHeight="1" x14ac:dyDescent="0.3">
      <c r="A12" s="28">
        <v>8</v>
      </c>
      <c r="B12" s="28" t="s">
        <v>17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>
        <f t="shared" si="1"/>
        <v>0</v>
      </c>
    </row>
    <row r="13" spans="1:20" ht="24" customHeight="1" x14ac:dyDescent="0.3">
      <c r="A13" s="28">
        <v>9</v>
      </c>
      <c r="B13" s="28" t="s">
        <v>137</v>
      </c>
      <c r="C13" s="29" t="e">
        <f>ROUND('底表1（销售）'!F28,0)</f>
        <v>#REF!</v>
      </c>
      <c r="D13" s="29" t="e">
        <f>ROUND('底表1（销售）'!G28,0)</f>
        <v>#REF!</v>
      </c>
      <c r="E13" s="29" t="e">
        <f>ROUND('底表1（销售）'!H28,0)</f>
        <v>#REF!</v>
      </c>
      <c r="F13" s="29" t="e">
        <f>ROUND('底表1（销售）'!I28,0)</f>
        <v>#REF!</v>
      </c>
      <c r="G13" s="29" t="e">
        <f>ROUND('底表1（销售）'!J28,0)</f>
        <v>#REF!</v>
      </c>
      <c r="H13" s="29" t="e">
        <f>ROUND('底表1（销售）'!K28,0)</f>
        <v>#REF!</v>
      </c>
      <c r="I13" s="29" t="e">
        <f>ROUND('底表1（销售）'!L28,0)</f>
        <v>#REF!</v>
      </c>
      <c r="J13" s="29" t="e">
        <f>ROUND('底表1（销售）'!M28,0)</f>
        <v>#REF!</v>
      </c>
      <c r="K13" s="29" t="e">
        <f>ROUND('底表1（销售）'!N28,0)</f>
        <v>#REF!</v>
      </c>
      <c r="L13" s="29" t="e">
        <f>ROUND('底表1（销售）'!O28,0)</f>
        <v>#REF!</v>
      </c>
      <c r="M13" s="29" t="e">
        <f>ROUND('底表1（销售）'!P28,0)</f>
        <v>#REF!</v>
      </c>
      <c r="N13" s="29" t="e">
        <f>ROUND('底表1（销售）'!Q28,0)</f>
        <v>#REF!</v>
      </c>
      <c r="O13" s="29" t="e">
        <f>ROUND('底表1（销售）'!R28,0)</f>
        <v>#REF!</v>
      </c>
      <c r="P13" s="29" t="e">
        <f>ROUND('底表1（销售）'!S28,0)</f>
        <v>#REF!</v>
      </c>
      <c r="Q13" s="29" t="e">
        <f>ROUND('底表1（销售）'!T28,0)</f>
        <v>#REF!</v>
      </c>
      <c r="R13" s="29" t="e">
        <f>ROUND('底表1（销售）'!U28,0)</f>
        <v>#REF!</v>
      </c>
      <c r="S13" s="29" t="e">
        <f t="shared" si="1"/>
        <v>#REF!</v>
      </c>
      <c r="T13" s="26" t="e">
        <f>'底表1（销售）'!BS13</f>
        <v>#REF!</v>
      </c>
    </row>
    <row r="14" spans="1:20" ht="24" customHeight="1" x14ac:dyDescent="0.3">
      <c r="A14" s="28">
        <v>10</v>
      </c>
      <c r="B14" s="28" t="s">
        <v>19</v>
      </c>
      <c r="C14" s="29">
        <f>'主表4-1（敏感性分析 成本-10%）'!C9</f>
        <v>0</v>
      </c>
      <c r="D14" s="29">
        <f>'主表4-1（敏感性分析 成本-10%）'!D9</f>
        <v>0</v>
      </c>
      <c r="E14" s="29">
        <f>'主表4-1（敏感性分析 成本-10%）'!E9</f>
        <v>0</v>
      </c>
      <c r="F14" s="29">
        <f>'主表4-1（敏感性分析 成本-10%）'!F9</f>
        <v>0</v>
      </c>
      <c r="G14" s="29">
        <f>'主表4-1（敏感性分析 成本-10%）'!G9</f>
        <v>1133</v>
      </c>
      <c r="H14" s="29">
        <f>'主表4-1（敏感性分析 成本-10%）'!H9</f>
        <v>1804</v>
      </c>
      <c r="I14" s="29">
        <f>'主表4-1（敏感性分析 成本-10%）'!I9</f>
        <v>1437</v>
      </c>
      <c r="J14" s="29">
        <f>'主表4-1（敏感性分析 成本-10%）'!J9</f>
        <v>1306</v>
      </c>
      <c r="K14" s="29">
        <f>'主表4-1（敏感性分析 成本-10%）'!K9</f>
        <v>943</v>
      </c>
      <c r="L14" s="29">
        <f>'主表4-1（敏感性分析 成本-10%）'!L9</f>
        <v>0</v>
      </c>
      <c r="M14" s="29">
        <f>'主表4-1（敏感性分析 成本-10%）'!M9</f>
        <v>0</v>
      </c>
      <c r="N14" s="29">
        <f>'主表4-1（敏感性分析 成本-10%）'!N9</f>
        <v>0</v>
      </c>
      <c r="O14" s="29">
        <f>'主表4-1（敏感性分析 成本-10%）'!O9</f>
        <v>0</v>
      </c>
      <c r="P14" s="29">
        <f>'主表4-1（敏感性分析 成本-10%）'!P9</f>
        <v>0</v>
      </c>
      <c r="Q14" s="29">
        <f>'主表4-1（敏感性分析 成本-10%）'!Q9</f>
        <v>0</v>
      </c>
      <c r="R14" s="29">
        <f>'主表4-1（敏感性分析 成本-10%）'!R9</f>
        <v>0</v>
      </c>
      <c r="S14" s="29">
        <f t="shared" si="1"/>
        <v>6623</v>
      </c>
      <c r="T14" s="26">
        <f>'主表3（损益表）'!C10</f>
        <v>0</v>
      </c>
    </row>
    <row r="15" spans="1:20" ht="24" customHeight="1" x14ac:dyDescent="0.3">
      <c r="A15" s="28">
        <v>11</v>
      </c>
      <c r="B15" s="28" t="s">
        <v>11</v>
      </c>
      <c r="C15" s="29">
        <f>'主表4-1（敏感性分析 成本-10%）'!C14</f>
        <v>0</v>
      </c>
      <c r="D15" s="29">
        <f>'主表4-1（敏感性分析 成本-10%）'!D14</f>
        <v>0</v>
      </c>
      <c r="E15" s="29">
        <f>'主表4-1（敏感性分析 成本-10%）'!E14</f>
        <v>0</v>
      </c>
      <c r="F15" s="29" t="e">
        <f>'主表4-1（敏感性分析 成本-10%）'!F14</f>
        <v>#REF!</v>
      </c>
      <c r="G15" s="29">
        <f>'主表4-1（敏感性分析 成本-10%）'!G14</f>
        <v>0</v>
      </c>
      <c r="H15" s="29">
        <f>'主表4-1（敏感性分析 成本-10%）'!H14</f>
        <v>0</v>
      </c>
      <c r="I15" s="29">
        <f>'主表4-1（敏感性分析 成本-10%）'!I14</f>
        <v>0</v>
      </c>
      <c r="J15" s="29" t="e">
        <f>'主表4-1（敏感性分析 成本-10%）'!J14</f>
        <v>#REF!</v>
      </c>
      <c r="K15" s="29">
        <f>'主表4-1（敏感性分析 成本-10%）'!K14</f>
        <v>0</v>
      </c>
      <c r="L15" s="29">
        <f>'主表4-1（敏感性分析 成本-10%）'!L14</f>
        <v>0</v>
      </c>
      <c r="M15" s="29">
        <f>'主表4-1（敏感性分析 成本-10%）'!M14</f>
        <v>0</v>
      </c>
      <c r="N15" s="29" t="e">
        <f>'主表4-1（敏感性分析 成本-10%）'!N14</f>
        <v>#REF!</v>
      </c>
      <c r="O15" s="29">
        <f>'主表4-1（敏感性分析 成本-10%）'!O14</f>
        <v>0</v>
      </c>
      <c r="P15" s="29">
        <f>'主表4-1（敏感性分析 成本-10%）'!P14</f>
        <v>0</v>
      </c>
      <c r="Q15" s="29">
        <f>'主表4-1（敏感性分析 成本-10%）'!Q14</f>
        <v>0</v>
      </c>
      <c r="R15" s="29" t="e">
        <f>'主表4-1（敏感性分析 成本-10%）'!R14</f>
        <v>#REF!</v>
      </c>
      <c r="S15" s="29" t="e">
        <f t="shared" si="1"/>
        <v>#REF!</v>
      </c>
      <c r="T15" s="26">
        <f>'主表3（损益表）'!C15</f>
        <v>10153</v>
      </c>
    </row>
    <row r="16" spans="1:20" ht="24" customHeight="1" x14ac:dyDescent="0.3">
      <c r="A16" s="28">
        <v>12</v>
      </c>
      <c r="B16" s="28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>
        <f t="shared" si="1"/>
        <v>0</v>
      </c>
    </row>
    <row r="17" spans="1:19" ht="24" customHeight="1" x14ac:dyDescent="0.3">
      <c r="A17" s="28">
        <v>13</v>
      </c>
      <c r="B17" s="28" t="s">
        <v>20</v>
      </c>
      <c r="C17" s="29" t="e">
        <f t="shared" ref="C17:R17" si="3">C5-C10</f>
        <v>#REF!</v>
      </c>
      <c r="D17" s="29" t="e">
        <f t="shared" si="3"/>
        <v>#REF!</v>
      </c>
      <c r="E17" s="29" t="e">
        <f t="shared" si="3"/>
        <v>#REF!</v>
      </c>
      <c r="F17" s="29" t="e">
        <f t="shared" si="3"/>
        <v>#REF!</v>
      </c>
      <c r="G17" s="29" t="e">
        <f t="shared" si="3"/>
        <v>#REF!</v>
      </c>
      <c r="H17" s="29" t="e">
        <f t="shared" si="3"/>
        <v>#REF!</v>
      </c>
      <c r="I17" s="29" t="e">
        <f t="shared" si="3"/>
        <v>#REF!</v>
      </c>
      <c r="J17" s="29" t="e">
        <f t="shared" si="3"/>
        <v>#REF!</v>
      </c>
      <c r="K17" s="29" t="e">
        <f t="shared" si="3"/>
        <v>#REF!</v>
      </c>
      <c r="L17" s="29" t="e">
        <f t="shared" si="3"/>
        <v>#REF!</v>
      </c>
      <c r="M17" s="29" t="e">
        <f t="shared" si="3"/>
        <v>#REF!</v>
      </c>
      <c r="N17" s="29" t="e">
        <f t="shared" si="3"/>
        <v>#REF!</v>
      </c>
      <c r="O17" s="29" t="e">
        <f t="shared" si="3"/>
        <v>#REF!</v>
      </c>
      <c r="P17" s="29" t="e">
        <f t="shared" si="3"/>
        <v>#REF!</v>
      </c>
      <c r="Q17" s="29" t="e">
        <f t="shared" si="3"/>
        <v>#REF!</v>
      </c>
      <c r="R17" s="29" t="e">
        <f t="shared" si="3"/>
        <v>#REF!</v>
      </c>
      <c r="S17" s="29" t="e">
        <f t="shared" si="1"/>
        <v>#REF!</v>
      </c>
    </row>
    <row r="18" spans="1:19" ht="24" customHeight="1" x14ac:dyDescent="0.3">
      <c r="A18" s="28">
        <v>14</v>
      </c>
      <c r="B18" s="28" t="s">
        <v>21</v>
      </c>
      <c r="C18" s="29" t="e">
        <f>C17</f>
        <v>#REF!</v>
      </c>
      <c r="D18" s="29" t="e">
        <f>D17+C18</f>
        <v>#REF!</v>
      </c>
      <c r="E18" s="29" t="e">
        <f t="shared" ref="E18:R18" si="4">E17+D18</f>
        <v>#REF!</v>
      </c>
      <c r="F18" s="29" t="e">
        <f t="shared" si="4"/>
        <v>#REF!</v>
      </c>
      <c r="G18" s="29" t="e">
        <f t="shared" si="4"/>
        <v>#REF!</v>
      </c>
      <c r="H18" s="29" t="e">
        <f t="shared" si="4"/>
        <v>#REF!</v>
      </c>
      <c r="I18" s="29" t="e">
        <f t="shared" si="4"/>
        <v>#REF!</v>
      </c>
      <c r="J18" s="29" t="e">
        <f t="shared" si="4"/>
        <v>#REF!</v>
      </c>
      <c r="K18" s="29" t="e">
        <f t="shared" si="4"/>
        <v>#REF!</v>
      </c>
      <c r="L18" s="29" t="e">
        <f t="shared" si="4"/>
        <v>#REF!</v>
      </c>
      <c r="M18" s="29" t="e">
        <f t="shared" si="4"/>
        <v>#REF!</v>
      </c>
      <c r="N18" s="29" t="e">
        <f t="shared" si="4"/>
        <v>#REF!</v>
      </c>
      <c r="O18" s="29" t="e">
        <f t="shared" si="4"/>
        <v>#REF!</v>
      </c>
      <c r="P18" s="29" t="e">
        <f t="shared" si="4"/>
        <v>#REF!</v>
      </c>
      <c r="Q18" s="29" t="e">
        <f t="shared" si="4"/>
        <v>#REF!</v>
      </c>
      <c r="R18" s="29" t="e">
        <f t="shared" si="4"/>
        <v>#REF!</v>
      </c>
      <c r="S18" s="29"/>
    </row>
    <row r="19" spans="1:19" ht="24" customHeight="1" x14ac:dyDescent="0.3">
      <c r="A19" s="28">
        <v>15</v>
      </c>
      <c r="B19" s="28" t="s">
        <v>30</v>
      </c>
      <c r="C19" s="29" t="e">
        <f>C17/(1+$C$22)^C27</f>
        <v>#REF!</v>
      </c>
      <c r="D19" s="29" t="e">
        <f t="shared" ref="D19:R19" si="5">D17/(1+$C$22)^D27</f>
        <v>#REF!</v>
      </c>
      <c r="E19" s="29" t="e">
        <f t="shared" si="5"/>
        <v>#REF!</v>
      </c>
      <c r="F19" s="29" t="e">
        <f t="shared" si="5"/>
        <v>#REF!</v>
      </c>
      <c r="G19" s="29" t="e">
        <f t="shared" si="5"/>
        <v>#REF!</v>
      </c>
      <c r="H19" s="29" t="e">
        <f t="shared" si="5"/>
        <v>#REF!</v>
      </c>
      <c r="I19" s="29" t="e">
        <f t="shared" si="5"/>
        <v>#REF!</v>
      </c>
      <c r="J19" s="29" t="e">
        <f t="shared" si="5"/>
        <v>#REF!</v>
      </c>
      <c r="K19" s="29" t="e">
        <f t="shared" si="5"/>
        <v>#REF!</v>
      </c>
      <c r="L19" s="29" t="e">
        <f t="shared" si="5"/>
        <v>#REF!</v>
      </c>
      <c r="M19" s="29" t="e">
        <f t="shared" si="5"/>
        <v>#REF!</v>
      </c>
      <c r="N19" s="29" t="e">
        <f t="shared" si="5"/>
        <v>#REF!</v>
      </c>
      <c r="O19" s="29" t="e">
        <f t="shared" si="5"/>
        <v>#REF!</v>
      </c>
      <c r="P19" s="29" t="e">
        <f t="shared" si="5"/>
        <v>#REF!</v>
      </c>
      <c r="Q19" s="29" t="e">
        <f t="shared" si="5"/>
        <v>#REF!</v>
      </c>
      <c r="R19" s="29" t="e">
        <f t="shared" si="5"/>
        <v>#REF!</v>
      </c>
      <c r="S19" s="29" t="e">
        <f>SUM(C19:R19)</f>
        <v>#REF!</v>
      </c>
    </row>
    <row r="20" spans="1:19" ht="24" customHeight="1" x14ac:dyDescent="0.3">
      <c r="A20" s="28">
        <v>16</v>
      </c>
      <c r="B20" s="28" t="s">
        <v>22</v>
      </c>
      <c r="C20" s="29" t="e">
        <f>C19</f>
        <v>#REF!</v>
      </c>
      <c r="D20" s="29" t="e">
        <f>D19+C20</f>
        <v>#REF!</v>
      </c>
      <c r="E20" s="29" t="e">
        <f t="shared" ref="E20:R20" si="6">E19+D20</f>
        <v>#REF!</v>
      </c>
      <c r="F20" s="29" t="e">
        <f t="shared" si="6"/>
        <v>#REF!</v>
      </c>
      <c r="G20" s="29" t="e">
        <f t="shared" si="6"/>
        <v>#REF!</v>
      </c>
      <c r="H20" s="29" t="e">
        <f t="shared" si="6"/>
        <v>#REF!</v>
      </c>
      <c r="I20" s="29" t="e">
        <f t="shared" si="6"/>
        <v>#REF!</v>
      </c>
      <c r="J20" s="29" t="e">
        <f t="shared" si="6"/>
        <v>#REF!</v>
      </c>
      <c r="K20" s="29" t="e">
        <f t="shared" si="6"/>
        <v>#REF!</v>
      </c>
      <c r="L20" s="29" t="e">
        <f t="shared" si="6"/>
        <v>#REF!</v>
      </c>
      <c r="M20" s="29" t="e">
        <f t="shared" si="6"/>
        <v>#REF!</v>
      </c>
      <c r="N20" s="29" t="e">
        <f t="shared" si="6"/>
        <v>#REF!</v>
      </c>
      <c r="O20" s="29" t="e">
        <f t="shared" si="6"/>
        <v>#REF!</v>
      </c>
      <c r="P20" s="29" t="e">
        <f t="shared" si="6"/>
        <v>#REF!</v>
      </c>
      <c r="Q20" s="29" t="e">
        <f t="shared" si="6"/>
        <v>#REF!</v>
      </c>
      <c r="R20" s="29" t="e">
        <f t="shared" si="6"/>
        <v>#REF!</v>
      </c>
      <c r="S20" s="29" t="s">
        <v>0</v>
      </c>
    </row>
    <row r="21" spans="1:19" x14ac:dyDescent="0.3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</row>
    <row r="22" spans="1:19" x14ac:dyDescent="0.3">
      <c r="A22" s="46" t="s">
        <v>187</v>
      </c>
      <c r="B22" s="46"/>
      <c r="C22" s="49">
        <f>10%/4</f>
        <v>2.5000000000000001E-2</v>
      </c>
      <c r="D22" s="31"/>
      <c r="E22" s="31"/>
      <c r="F22" s="31"/>
      <c r="G22" s="31"/>
      <c r="H22" s="830" t="s">
        <v>87</v>
      </c>
      <c r="I22" s="830"/>
      <c r="J22" s="830"/>
      <c r="K22" s="32" t="e">
        <f>NPV(C22,C17:R17)</f>
        <v>#REF!</v>
      </c>
      <c r="L22" s="46" t="s">
        <v>53</v>
      </c>
      <c r="M22" s="46"/>
      <c r="N22" s="46"/>
      <c r="O22" s="46"/>
      <c r="P22" s="46"/>
      <c r="S22" s="46"/>
    </row>
    <row r="23" spans="1:19" x14ac:dyDescent="0.3">
      <c r="A23" s="46" t="s">
        <v>188</v>
      </c>
      <c r="B23" s="46"/>
      <c r="C23" s="33" t="e">
        <f>IRR(C17:R17)</f>
        <v>#VALUE!</v>
      </c>
      <c r="D23" s="33"/>
      <c r="E23" s="33"/>
      <c r="F23" s="33"/>
      <c r="G23" s="33"/>
      <c r="H23" s="830" t="s">
        <v>176</v>
      </c>
      <c r="I23" s="830"/>
      <c r="J23" s="830"/>
      <c r="K23" s="50">
        <f>(9*3-1)/12</f>
        <v>2.17</v>
      </c>
      <c r="L23" s="46" t="s">
        <v>54</v>
      </c>
      <c r="M23" s="46"/>
      <c r="N23" s="46"/>
      <c r="O23" s="46"/>
      <c r="P23" s="46"/>
      <c r="S23" s="46"/>
    </row>
    <row r="24" spans="1:19" x14ac:dyDescent="0.3">
      <c r="Q24" s="26">
        <v>5</v>
      </c>
      <c r="R24" s="26">
        <v>6</v>
      </c>
    </row>
    <row r="25" spans="1:19" x14ac:dyDescent="0.3">
      <c r="B25" s="26" t="s">
        <v>110</v>
      </c>
      <c r="C25" s="26">
        <v>1</v>
      </c>
    </row>
    <row r="26" spans="1:19" x14ac:dyDescent="0.3">
      <c r="B26" s="26" t="s">
        <v>111</v>
      </c>
      <c r="C26" s="26">
        <v>1</v>
      </c>
    </row>
    <row r="27" spans="1:19" x14ac:dyDescent="0.3">
      <c r="C27" s="26">
        <v>0</v>
      </c>
      <c r="D27" s="26">
        <v>0</v>
      </c>
      <c r="E27" s="26">
        <v>0.25</v>
      </c>
      <c r="F27" s="26">
        <f>E27+0.25</f>
        <v>0.5</v>
      </c>
      <c r="G27" s="26">
        <f t="shared" ref="G27:R27" si="7">F27+0.25</f>
        <v>0.75</v>
      </c>
      <c r="H27" s="26">
        <f t="shared" si="7"/>
        <v>1</v>
      </c>
      <c r="I27" s="26">
        <f t="shared" si="7"/>
        <v>1.25</v>
      </c>
      <c r="J27" s="26">
        <f t="shared" si="7"/>
        <v>1.5</v>
      </c>
      <c r="K27" s="26">
        <f t="shared" si="7"/>
        <v>1.75</v>
      </c>
      <c r="L27" s="26">
        <f t="shared" si="7"/>
        <v>2</v>
      </c>
      <c r="M27" s="26">
        <f t="shared" si="7"/>
        <v>2.25</v>
      </c>
      <c r="N27" s="26">
        <f t="shared" si="7"/>
        <v>2.5</v>
      </c>
      <c r="O27" s="26">
        <f t="shared" si="7"/>
        <v>2.75</v>
      </c>
      <c r="P27" s="26">
        <f t="shared" si="7"/>
        <v>3</v>
      </c>
      <c r="Q27" s="26">
        <f t="shared" si="7"/>
        <v>3.25</v>
      </c>
      <c r="R27" s="26">
        <f t="shared" si="7"/>
        <v>3.5</v>
      </c>
    </row>
    <row r="29" spans="1:19" x14ac:dyDescent="0.3">
      <c r="B29" s="23" t="s">
        <v>177</v>
      </c>
      <c r="C29" s="24">
        <v>-0.1</v>
      </c>
    </row>
  </sheetData>
  <mergeCells count="8">
    <mergeCell ref="H22:J22"/>
    <mergeCell ref="H23:J23"/>
    <mergeCell ref="A1:R1"/>
    <mergeCell ref="C2:R2"/>
    <mergeCell ref="C3:F3"/>
    <mergeCell ref="G3:J3"/>
    <mergeCell ref="K3:N3"/>
    <mergeCell ref="O3:R3"/>
  </mergeCells>
  <phoneticPr fontId="19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80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theme="3" tint="0.79998168889431442"/>
  </sheetPr>
  <dimension ref="A1:AB25"/>
  <sheetViews>
    <sheetView view="pageBreakPreview" zoomScale="85" zoomScaleNormal="75" zoomScaleSheetLayoutView="85" workbookViewId="0">
      <pane xSplit="2" ySplit="4" topLeftCell="O5" activePane="bottomRight" state="frozen"/>
      <selection pane="topRight" activeCell="C1" sqref="C1"/>
      <selection pane="bottomLeft" activeCell="A5" sqref="A5"/>
      <selection pane="bottomRight" activeCell="O9" sqref="O9"/>
    </sheetView>
  </sheetViews>
  <sheetFormatPr defaultColWidth="11" defaultRowHeight="15.75" x14ac:dyDescent="0.25"/>
  <cols>
    <col min="1" max="1" width="4.625" style="1" customWidth="1"/>
    <col min="2" max="2" width="27" style="1" customWidth="1"/>
    <col min="3" max="19" width="13.125" style="1" customWidth="1"/>
    <col min="20" max="20" width="9.125" style="1" bestFit="1" customWidth="1"/>
    <col min="21" max="21" width="9.875" style="1" bestFit="1" customWidth="1"/>
    <col min="22" max="24" width="9.125" style="1" bestFit="1" customWidth="1"/>
    <col min="25" max="16384" width="11" style="1"/>
  </cols>
  <sheetData>
    <row r="1" spans="1:28" ht="27.75" customHeight="1" x14ac:dyDescent="0.3">
      <c r="A1" s="836" t="s">
        <v>90</v>
      </c>
      <c r="B1" s="836"/>
      <c r="C1" s="836"/>
      <c r="D1" s="836"/>
      <c r="E1" s="836"/>
      <c r="F1" s="836"/>
      <c r="G1" s="836"/>
      <c r="H1" s="836"/>
      <c r="I1" s="836"/>
      <c r="J1" s="836"/>
      <c r="K1" s="836"/>
      <c r="L1" s="836"/>
      <c r="M1" s="836"/>
      <c r="N1" s="836"/>
      <c r="O1" s="836"/>
      <c r="P1" s="836"/>
      <c r="Q1" s="836"/>
      <c r="R1" s="836"/>
      <c r="S1" s="836"/>
      <c r="T1" s="35"/>
      <c r="U1" s="35"/>
      <c r="V1" s="35"/>
      <c r="W1" s="35"/>
      <c r="X1" s="35"/>
    </row>
    <row r="2" spans="1:28" ht="68.25" customHeight="1" x14ac:dyDescent="0.3">
      <c r="A2" s="36" t="s">
        <v>91</v>
      </c>
      <c r="B2" s="36"/>
      <c r="C2" s="837" t="str">
        <f>基础数据!C5</f>
        <v>北京市密云区檀营乡6005地块R2二类居住用地（编号：京土整储挂（密）[2021]026号）居住项目</v>
      </c>
      <c r="D2" s="837"/>
      <c r="E2" s="837"/>
      <c r="F2" s="837"/>
      <c r="G2" s="837"/>
      <c r="H2" s="837"/>
      <c r="I2" s="837"/>
      <c r="J2" s="837"/>
      <c r="K2" s="837"/>
      <c r="L2" s="837"/>
      <c r="M2" s="837"/>
      <c r="N2" s="837"/>
      <c r="O2" s="837"/>
      <c r="P2" s="837"/>
      <c r="Q2" s="838" t="s">
        <v>8</v>
      </c>
      <c r="R2" s="838"/>
      <c r="S2" s="838"/>
      <c r="T2" s="35"/>
      <c r="U2" s="35"/>
      <c r="V2" s="35"/>
      <c r="W2" s="35"/>
      <c r="X2" s="35"/>
    </row>
    <row r="3" spans="1:28" ht="24.95" customHeight="1" x14ac:dyDescent="0.3">
      <c r="A3" s="48" t="s">
        <v>9</v>
      </c>
      <c r="B3" s="37" t="s">
        <v>81</v>
      </c>
      <c r="C3" s="839" t="str">
        <f>'主表1（成本）'!C3</f>
        <v>2021年</v>
      </c>
      <c r="D3" s="840"/>
      <c r="E3" s="840"/>
      <c r="F3" s="841"/>
      <c r="G3" s="839" t="str">
        <f>'主表1（成本）'!G3</f>
        <v>2022年</v>
      </c>
      <c r="H3" s="840"/>
      <c r="I3" s="840"/>
      <c r="J3" s="841"/>
      <c r="K3" s="839" t="str">
        <f>'主表1（成本）'!K3</f>
        <v>2023年</v>
      </c>
      <c r="L3" s="840"/>
      <c r="M3" s="840"/>
      <c r="N3" s="841"/>
      <c r="O3" s="839" t="str">
        <f>'主表1（成本）'!O3</f>
        <v>2024年</v>
      </c>
      <c r="P3" s="840"/>
      <c r="Q3" s="840"/>
      <c r="R3" s="841"/>
      <c r="S3" s="37" t="s">
        <v>93</v>
      </c>
      <c r="T3" s="35"/>
      <c r="U3" s="35"/>
      <c r="V3" s="35"/>
      <c r="W3" s="35"/>
      <c r="X3" s="35"/>
    </row>
    <row r="4" spans="1:28" ht="24.95" customHeight="1" x14ac:dyDescent="0.3">
      <c r="A4" s="48"/>
      <c r="B4" s="37"/>
      <c r="C4" s="37" t="str">
        <f>'主表1（成本）'!C4</f>
        <v>Q1</v>
      </c>
      <c r="D4" s="37" t="str">
        <f>'主表1（成本）'!D4</f>
        <v>Q2</v>
      </c>
      <c r="E4" s="37" t="str">
        <f>'主表1（成本）'!E4</f>
        <v>Q3</v>
      </c>
      <c r="F4" s="37" t="str">
        <f>'主表1（成本）'!F4</f>
        <v>Q4</v>
      </c>
      <c r="G4" s="37" t="str">
        <f>'主表1（成本）'!G4</f>
        <v>Q1</v>
      </c>
      <c r="H4" s="37" t="str">
        <f>'主表1（成本）'!H4</f>
        <v>Q2</v>
      </c>
      <c r="I4" s="37" t="str">
        <f>'主表1（成本）'!I4</f>
        <v>Q3</v>
      </c>
      <c r="J4" s="37" t="str">
        <f>'主表1（成本）'!J4</f>
        <v>Q4</v>
      </c>
      <c r="K4" s="37" t="str">
        <f>'主表1（成本）'!K4</f>
        <v>Q1</v>
      </c>
      <c r="L4" s="37" t="str">
        <f>'主表1（成本）'!L4</f>
        <v>Q2</v>
      </c>
      <c r="M4" s="37" t="str">
        <f>'主表1（成本）'!M4</f>
        <v>Q3</v>
      </c>
      <c r="N4" s="37" t="str">
        <f>'主表1（成本）'!N4</f>
        <v>Q4</v>
      </c>
      <c r="O4" s="37" t="str">
        <f>'主表1（成本）'!O4</f>
        <v>Q1</v>
      </c>
      <c r="P4" s="37" t="str">
        <f>'主表1（成本）'!P4</f>
        <v>Q2</v>
      </c>
      <c r="Q4" s="37" t="str">
        <f>'主表1（成本）'!Q4</f>
        <v>Q3</v>
      </c>
      <c r="R4" s="37" t="str">
        <f>'主表1（成本）'!R4</f>
        <v>Q4</v>
      </c>
      <c r="S4" s="37"/>
      <c r="T4" s="35"/>
      <c r="U4" s="35"/>
      <c r="V4" s="35"/>
      <c r="W4" s="35"/>
      <c r="X4" s="35"/>
    </row>
    <row r="5" spans="1:28" ht="24.95" customHeight="1" x14ac:dyDescent="0.3">
      <c r="A5" s="37">
        <v>1</v>
      </c>
      <c r="B5" s="48" t="s">
        <v>2</v>
      </c>
      <c r="C5" s="38" t="e">
        <f>ROUND('底表1（销售）'!F27,0)</f>
        <v>#REF!</v>
      </c>
      <c r="D5" s="38" t="e">
        <f>ROUND('底表1（销售）'!G27,0)</f>
        <v>#REF!</v>
      </c>
      <c r="E5" s="38" t="e">
        <f>ROUND('底表1（销售）'!H27,0)</f>
        <v>#REF!</v>
      </c>
      <c r="F5" s="38" t="e">
        <f>ROUND('底表1（销售）'!I27,0)</f>
        <v>#REF!</v>
      </c>
      <c r="G5" s="38" t="e">
        <f>ROUND('底表1（销售）'!J27,0)</f>
        <v>#REF!</v>
      </c>
      <c r="H5" s="38" t="e">
        <f>ROUND('底表1（销售）'!K27,0)</f>
        <v>#REF!</v>
      </c>
      <c r="I5" s="38" t="e">
        <f>ROUND('底表1（销售）'!L27,0)</f>
        <v>#REF!</v>
      </c>
      <c r="J5" s="38" t="e">
        <f>ROUND('底表1（销售）'!M27,0)</f>
        <v>#REF!</v>
      </c>
      <c r="K5" s="38" t="e">
        <f>ROUND('底表1（销售）'!N27,0)</f>
        <v>#REF!</v>
      </c>
      <c r="L5" s="38" t="e">
        <f>ROUND('底表1（销售）'!O27,0)</f>
        <v>#REF!</v>
      </c>
      <c r="M5" s="38" t="e">
        <f>ROUND('底表1（销售）'!P27,0)</f>
        <v>#REF!</v>
      </c>
      <c r="N5" s="38" t="e">
        <f>ROUND('底表1（销售）'!Q27,0)</f>
        <v>#REF!</v>
      </c>
      <c r="O5" s="38" t="e">
        <f>ROUND('底表1（销售）'!R27,0)</f>
        <v>#REF!</v>
      </c>
      <c r="P5" s="38" t="e">
        <f>ROUND('底表1（销售）'!S27,0)</f>
        <v>#REF!</v>
      </c>
      <c r="Q5" s="38" t="e">
        <f>ROUND('底表1（销售）'!T27,0)</f>
        <v>#REF!</v>
      </c>
      <c r="R5" s="38" t="e">
        <f>ROUND('底表1（销售）'!U27,0)</f>
        <v>#REF!</v>
      </c>
      <c r="S5" s="38" t="e">
        <f>SUM(C5:R5)</f>
        <v>#REF!</v>
      </c>
      <c r="T5" s="35" t="e">
        <f>'底表1（销售）'!BS6</f>
        <v>#REF!</v>
      </c>
      <c r="U5" s="35"/>
      <c r="V5" s="35"/>
      <c r="W5" s="35"/>
      <c r="X5" s="35"/>
    </row>
    <row r="6" spans="1:28" ht="24.95" customHeight="1" x14ac:dyDescent="0.3">
      <c r="A6" s="37">
        <v>2</v>
      </c>
      <c r="B6" s="48" t="s">
        <v>69</v>
      </c>
      <c r="C6" s="38" t="e">
        <f>C5/$S$5*'主表1（成本）'!$B$37*(1+$C$25)</f>
        <v>#REF!</v>
      </c>
      <c r="D6" s="38" t="e">
        <f>D5/$S$5*'主表1（成本）'!$B$37*(1+$C$25)</f>
        <v>#REF!</v>
      </c>
      <c r="E6" s="38" t="e">
        <f>E5/$S$5*'主表1（成本）'!$B$37*(1+$C$25)</f>
        <v>#REF!</v>
      </c>
      <c r="F6" s="38" t="e">
        <f>F5/$S$5*'主表1（成本）'!$B$37*(1+$C$25)</f>
        <v>#REF!</v>
      </c>
      <c r="G6" s="38" t="e">
        <f>G5/$S$5*'主表1（成本）'!$B$37*(1+$C$25)</f>
        <v>#REF!</v>
      </c>
      <c r="H6" s="38" t="e">
        <f>H5/$S$5*'主表1（成本）'!$B$37*(1+$C$25)</f>
        <v>#REF!</v>
      </c>
      <c r="I6" s="38" t="e">
        <f>I5/$S$5*'主表1（成本）'!$B$37*(1+$C$25)</f>
        <v>#REF!</v>
      </c>
      <c r="J6" s="38" t="e">
        <f>J5/$S$5*'主表1（成本）'!$B$37*(1+$C$25)</f>
        <v>#REF!</v>
      </c>
      <c r="K6" s="38" t="e">
        <f>K5/$S$5*'主表1（成本）'!$B$37*(1+$C$25)</f>
        <v>#REF!</v>
      </c>
      <c r="L6" s="38" t="e">
        <f>L5/$S$5*'主表1（成本）'!$B$37*(1+$C$25)</f>
        <v>#REF!</v>
      </c>
      <c r="M6" s="38" t="e">
        <f>M5/$S$5*'主表1（成本）'!$B$37*(1+$C$25)</f>
        <v>#REF!</v>
      </c>
      <c r="N6" s="38" t="e">
        <f>N5/$S$5*'主表1（成本）'!$B$37*(1+$C$25)</f>
        <v>#REF!</v>
      </c>
      <c r="O6" s="38" t="e">
        <f>O5/$S$5*'主表1（成本）'!$B$37*(1+$C$25)</f>
        <v>#REF!</v>
      </c>
      <c r="P6" s="38" t="e">
        <f>P5/$S$5*'主表1（成本）'!$B$37*(1+$C$25)</f>
        <v>#REF!</v>
      </c>
      <c r="Q6" s="38" t="e">
        <f>Q5/$S$5*'主表1（成本）'!$B$37*(1+$C$25)</f>
        <v>#REF!</v>
      </c>
      <c r="R6" s="38" t="e">
        <f>R5/$S$5*'主表1（成本）'!$B$37*(1+$C$25)</f>
        <v>#REF!</v>
      </c>
      <c r="S6" s="38" t="e">
        <f>SUM(C6:R6)</f>
        <v>#REF!</v>
      </c>
      <c r="T6" s="35">
        <f>'主表1（成本）'!B37*(1+$C$25)</f>
        <v>249797.7</v>
      </c>
      <c r="U6" s="35" t="e">
        <f>T6*'底表1（销售）'!BU17/'底表1（销售）'!BU16</f>
        <v>#DIV/0!</v>
      </c>
      <c r="V6" s="35"/>
      <c r="W6" s="35"/>
      <c r="X6" s="35"/>
    </row>
    <row r="7" spans="1:28" ht="24.95" customHeight="1" x14ac:dyDescent="0.3">
      <c r="A7" s="37">
        <v>3</v>
      </c>
      <c r="B7" s="48" t="s">
        <v>137</v>
      </c>
      <c r="C7" s="38" t="e">
        <f>ROUND('底表1（销售）'!F28,0)</f>
        <v>#REF!</v>
      </c>
      <c r="D7" s="38" t="e">
        <f>ROUND('底表1（销售）'!G28,0)</f>
        <v>#REF!</v>
      </c>
      <c r="E7" s="38" t="e">
        <f>ROUND('底表1（销售）'!H28,0)</f>
        <v>#REF!</v>
      </c>
      <c r="F7" s="38" t="e">
        <f>ROUND('底表1（销售）'!I28,0)</f>
        <v>#REF!</v>
      </c>
      <c r="G7" s="38" t="e">
        <f>ROUND('底表1（销售）'!J28,0)</f>
        <v>#REF!</v>
      </c>
      <c r="H7" s="38" t="e">
        <f>ROUND('底表1（销售）'!K28,0)</f>
        <v>#REF!</v>
      </c>
      <c r="I7" s="38" t="e">
        <f>ROUND('底表1（销售）'!L28,0)</f>
        <v>#REF!</v>
      </c>
      <c r="J7" s="38" t="e">
        <f>ROUND('底表1（销售）'!M28,0)</f>
        <v>#REF!</v>
      </c>
      <c r="K7" s="38" t="e">
        <f>ROUND('底表1（销售）'!N28,0)</f>
        <v>#REF!</v>
      </c>
      <c r="L7" s="38" t="e">
        <f>ROUND('底表1（销售）'!O28,0)</f>
        <v>#REF!</v>
      </c>
      <c r="M7" s="38" t="e">
        <f>ROUND('底表1（销售）'!P28,0)</f>
        <v>#REF!</v>
      </c>
      <c r="N7" s="38" t="e">
        <f>ROUND('底表1（销售）'!Q28,0)</f>
        <v>#REF!</v>
      </c>
      <c r="O7" s="38" t="e">
        <f>ROUND('底表1（销售）'!R28,0)</f>
        <v>#REF!</v>
      </c>
      <c r="P7" s="38" t="e">
        <f>ROUND('底表1（销售）'!S28,0)</f>
        <v>#REF!</v>
      </c>
      <c r="Q7" s="38" t="e">
        <f>ROUND('底表1（销售）'!T28,0)</f>
        <v>#REF!</v>
      </c>
      <c r="R7" s="38" t="e">
        <f>ROUND('底表1（销售）'!U28,0)</f>
        <v>#REF!</v>
      </c>
      <c r="S7" s="38" t="e">
        <f>SUM(C7:R7)</f>
        <v>#REF!</v>
      </c>
      <c r="T7" s="35" t="e">
        <f>'底表1（销售）'!BS13</f>
        <v>#REF!</v>
      </c>
      <c r="U7" s="35"/>
      <c r="V7" s="35"/>
      <c r="W7" s="35"/>
      <c r="X7" s="35"/>
    </row>
    <row r="8" spans="1:28" ht="24.95" hidden="1" customHeight="1" x14ac:dyDescent="0.3">
      <c r="A8" s="37">
        <v>4</v>
      </c>
      <c r="B8" s="48" t="s">
        <v>18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>
        <f>SUM(C8:Q8)</f>
        <v>0</v>
      </c>
      <c r="T8" s="35"/>
      <c r="U8" s="35"/>
      <c r="V8" s="35"/>
      <c r="W8" s="35"/>
      <c r="X8" s="35"/>
    </row>
    <row r="9" spans="1:28" s="6" customFormat="1" ht="24.95" customHeight="1" x14ac:dyDescent="0.3">
      <c r="A9" s="37">
        <v>5</v>
      </c>
      <c r="B9" s="48" t="s">
        <v>19</v>
      </c>
      <c r="C9" s="38">
        <f>ROUND(('底表1（销售）'!F21+'底表1（销售）'!F22+'底表1（销售）'!F23)*2%,0)</f>
        <v>0</v>
      </c>
      <c r="D9" s="38">
        <f>ROUND(('底表1（销售）'!G21+'底表1（销售）'!G22+'底表1（销售）'!G23)*2%,0)</f>
        <v>0</v>
      </c>
      <c r="E9" s="38">
        <f>ROUND(('底表1（销售）'!H21+'底表1（销售）'!H22+'底表1（销售）'!H23)*2%,0)</f>
        <v>0</v>
      </c>
      <c r="F9" s="38">
        <f>ROUND(('底表1（销售）'!I21+'底表1（销售）'!I22+'底表1（销售）'!I23)*2%,0)</f>
        <v>0</v>
      </c>
      <c r="G9" s="38">
        <f>ROUND(('底表1（销售）'!J21+'底表1（销售）'!J22+'底表1（销售）'!J23)*2%,0)</f>
        <v>1133</v>
      </c>
      <c r="H9" s="38">
        <f>ROUND(('底表1（销售）'!K21+'底表1（销售）'!K22+'底表1（销售）'!K23)*2%,0)</f>
        <v>1804</v>
      </c>
      <c r="I9" s="38">
        <f>ROUND(('底表1（销售）'!L21+'底表1（销售）'!L22+'底表1（销售）'!L23)*2%,0)</f>
        <v>1437</v>
      </c>
      <c r="J9" s="38">
        <f>ROUND(('底表1（销售）'!M21+'底表1（销售）'!M22+'底表1（销售）'!M23)*2%,0)</f>
        <v>1306</v>
      </c>
      <c r="K9" s="38">
        <f>ROUND(('底表1（销售）'!N21+'底表1（销售）'!N22+'底表1（销售）'!N23)*2%,0)</f>
        <v>943</v>
      </c>
      <c r="L9" s="38">
        <f>ROUND(('底表1（销售）'!O21+'底表1（销售）'!O22+'底表1（销售）'!O23)*2%,0)</f>
        <v>0</v>
      </c>
      <c r="M9" s="38">
        <f>ROUND(('底表1（销售）'!P21+'底表1（销售）'!P22+'底表1（销售）'!P23)*2%,0)</f>
        <v>0</v>
      </c>
      <c r="N9" s="38">
        <f>ROUND(('底表1（销售）'!Q21+'底表1（销售）'!Q22+'底表1（销售）'!Q23)*2%,0)</f>
        <v>0</v>
      </c>
      <c r="O9" s="38">
        <f>ROUND(('底表1（销售）'!R21+'底表1（销售）'!R22+'底表1（销售）'!R23)*2%,0)</f>
        <v>0</v>
      </c>
      <c r="P9" s="38">
        <f>ROUND(('底表1（销售）'!S21+'底表1（销售）'!S22+'底表1（销售）'!S23)*2%,0)</f>
        <v>0</v>
      </c>
      <c r="Q9" s="38">
        <f>ROUND(('底表1（销售）'!T21+'底表1（销售）'!T22+'底表1（销售）'!T23)*2%,0)</f>
        <v>0</v>
      </c>
      <c r="R9" s="38">
        <f>ROUND(('底表1（销售）'!U21+'底表1（销售）'!U22+'底表1（销售）'!U23)*2%,0)</f>
        <v>0</v>
      </c>
      <c r="S9" s="38">
        <f t="shared" ref="S9:S19" si="0">SUM(C9:R9)</f>
        <v>6623</v>
      </c>
      <c r="T9" s="39">
        <f>S9</f>
        <v>6623</v>
      </c>
      <c r="U9" s="40"/>
      <c r="V9" s="35"/>
      <c r="W9" s="34" t="s">
        <v>170</v>
      </c>
      <c r="X9" s="34" t="s">
        <v>171</v>
      </c>
      <c r="Y9" s="19"/>
      <c r="Z9" s="19" t="s">
        <v>172</v>
      </c>
      <c r="AA9" s="19" t="s">
        <v>173</v>
      </c>
      <c r="AB9" s="19" t="s">
        <v>174</v>
      </c>
    </row>
    <row r="10" spans="1:28" ht="24.95" customHeight="1" x14ac:dyDescent="0.3">
      <c r="A10" s="37">
        <v>6</v>
      </c>
      <c r="B10" s="48" t="s">
        <v>42</v>
      </c>
      <c r="C10" s="38">
        <f>'主表1（成本）'!C32</f>
        <v>0</v>
      </c>
      <c r="D10" s="38">
        <f>'主表1（成本）'!D32</f>
        <v>0</v>
      </c>
      <c r="E10" s="38">
        <f>'主表1（成本）'!E32</f>
        <v>0</v>
      </c>
      <c r="F10" s="38">
        <f>'主表1（成本）'!F32</f>
        <v>1003</v>
      </c>
      <c r="G10" s="38">
        <f>'主表1（成本）'!G32</f>
        <v>994</v>
      </c>
      <c r="H10" s="38">
        <f>'主表1（成本）'!H32</f>
        <v>1183</v>
      </c>
      <c r="I10" s="38">
        <f>'主表1（成本）'!I32</f>
        <v>1147</v>
      </c>
      <c r="J10" s="38">
        <f>'主表1（成本）'!J32</f>
        <v>861</v>
      </c>
      <c r="K10" s="38">
        <f>'主表1（成本）'!K32</f>
        <v>751</v>
      </c>
      <c r="L10" s="38">
        <f>'主表1（成本）'!L32</f>
        <v>475</v>
      </c>
      <c r="M10" s="38">
        <f>'主表1（成本）'!M32</f>
        <v>294</v>
      </c>
      <c r="N10" s="38">
        <f>'主表1（成本）'!N32</f>
        <v>262</v>
      </c>
      <c r="O10" s="38">
        <f>'主表1（成本）'!O32</f>
        <v>101</v>
      </c>
      <c r="P10" s="38">
        <f>'主表1（成本）'!P32</f>
        <v>11</v>
      </c>
      <c r="Q10" s="38">
        <f>'主表1（成本）'!Q32</f>
        <v>0</v>
      </c>
      <c r="R10" s="38">
        <f>'主表1（成本）'!R32</f>
        <v>0</v>
      </c>
      <c r="S10" s="38">
        <f t="shared" si="0"/>
        <v>7082</v>
      </c>
      <c r="T10" s="35">
        <f>'主表1（成本）'!B32</f>
        <v>7082</v>
      </c>
      <c r="U10" s="40"/>
      <c r="V10" s="35"/>
      <c r="W10" s="34" t="e">
        <f>ROUND(S6+'底表1（销售）'!BS13+'主表4-1（敏感性分析 成本-10%）'!S6*20%,0)</f>
        <v>#REF!</v>
      </c>
      <c r="X10" s="41" t="e">
        <f>S5/1.09-W10</f>
        <v>#REF!</v>
      </c>
      <c r="Y10" s="20"/>
      <c r="Z10" s="21" t="e">
        <f>X10/W10</f>
        <v>#REF!</v>
      </c>
      <c r="AA10" s="22">
        <v>0.3</v>
      </c>
      <c r="AB10" s="22">
        <v>0</v>
      </c>
    </row>
    <row r="11" spans="1:28" ht="24.95" customHeight="1" x14ac:dyDescent="0.3">
      <c r="A11" s="37">
        <v>7</v>
      </c>
      <c r="B11" s="48" t="s">
        <v>68</v>
      </c>
      <c r="C11" s="38">
        <f>'主表1（成本）'!C33</f>
        <v>0</v>
      </c>
      <c r="D11" s="38">
        <f>'主表1（成本）'!D33</f>
        <v>3476</v>
      </c>
      <c r="E11" s="38">
        <f>'主表1（成本）'!E33</f>
        <v>474</v>
      </c>
      <c r="F11" s="38">
        <f>'主表1（成本）'!F33</f>
        <v>252</v>
      </c>
      <c r="G11" s="38">
        <f>'主表1（成本）'!G33</f>
        <v>165</v>
      </c>
      <c r="H11" s="38">
        <f>'主表1（成本）'!H33</f>
        <v>165</v>
      </c>
      <c r="I11" s="38">
        <f>'主表1（成本）'!I33</f>
        <v>165</v>
      </c>
      <c r="J11" s="38">
        <f>'主表1（成本）'!J33</f>
        <v>165</v>
      </c>
      <c r="K11" s="38">
        <f>'主表1（成本）'!K33</f>
        <v>132</v>
      </c>
      <c r="L11" s="38">
        <f>'主表1（成本）'!L33</f>
        <v>132</v>
      </c>
      <c r="M11" s="38">
        <f>'主表1（成本）'!M33</f>
        <v>99</v>
      </c>
      <c r="N11" s="38">
        <f>'主表1（成本）'!N33</f>
        <v>99</v>
      </c>
      <c r="O11" s="38">
        <f>'主表1（成本）'!O33</f>
        <v>82</v>
      </c>
      <c r="P11" s="38">
        <f>'主表1（成本）'!P33</f>
        <v>82</v>
      </c>
      <c r="Q11" s="38">
        <f>'主表1（成本）'!Q33</f>
        <v>0</v>
      </c>
      <c r="R11" s="38">
        <f>'主表1（成本）'!R33</f>
        <v>0</v>
      </c>
      <c r="S11" s="38">
        <f t="shared" si="0"/>
        <v>5488</v>
      </c>
      <c r="T11" s="35">
        <f>'主表1（成本）'!B33</f>
        <v>5488</v>
      </c>
      <c r="U11" s="40"/>
      <c r="V11" s="35"/>
      <c r="W11" s="35"/>
      <c r="X11" s="35"/>
    </row>
    <row r="12" spans="1:28" ht="24.95" hidden="1" customHeight="1" x14ac:dyDescent="0.3">
      <c r="A12" s="37">
        <v>8</v>
      </c>
      <c r="B12" s="48" t="s">
        <v>29</v>
      </c>
      <c r="C12" s="38">
        <f>'主表1（成本）'!C34</f>
        <v>0</v>
      </c>
      <c r="D12" s="38"/>
      <c r="E12" s="38"/>
      <c r="F12" s="38"/>
      <c r="G12" s="38"/>
      <c r="H12" s="38"/>
      <c r="I12" s="38"/>
      <c r="J12" s="38"/>
      <c r="K12" s="38"/>
      <c r="L12" s="38"/>
      <c r="M12" s="42">
        <f>'主表1（成本）'!M34</f>
        <v>0</v>
      </c>
      <c r="N12" s="42">
        <f>'主表1（成本）'!N34</f>
        <v>0</v>
      </c>
      <c r="O12" s="38">
        <f>'主表1（成本）'!O34</f>
        <v>0</v>
      </c>
      <c r="P12" s="38">
        <f>'主表1（成本）'!P34</f>
        <v>0</v>
      </c>
      <c r="Q12" s="38"/>
      <c r="R12" s="38"/>
      <c r="S12" s="38">
        <f t="shared" si="0"/>
        <v>0</v>
      </c>
      <c r="T12" s="35">
        <f>'主表1（成本）'!B34</f>
        <v>12470</v>
      </c>
      <c r="U12" s="40"/>
      <c r="V12" s="35"/>
      <c r="W12" s="35"/>
      <c r="X12" s="35"/>
    </row>
    <row r="13" spans="1:28" ht="24.95" customHeight="1" x14ac:dyDescent="0.3">
      <c r="A13" s="37">
        <v>9</v>
      </c>
      <c r="B13" s="48" t="s">
        <v>3</v>
      </c>
      <c r="C13" s="38" t="e">
        <f>C5-C6-C7-C8-C9-C10-C11-C12</f>
        <v>#REF!</v>
      </c>
      <c r="D13" s="38" t="e">
        <f t="shared" ref="D13:R13" si="1">D5-D6-D7-D8-D9-D10-D11-D12</f>
        <v>#REF!</v>
      </c>
      <c r="E13" s="38" t="e">
        <f t="shared" si="1"/>
        <v>#REF!</v>
      </c>
      <c r="F13" s="38" t="e">
        <f t="shared" si="1"/>
        <v>#REF!</v>
      </c>
      <c r="G13" s="38" t="e">
        <f t="shared" si="1"/>
        <v>#REF!</v>
      </c>
      <c r="H13" s="38" t="e">
        <f t="shared" si="1"/>
        <v>#REF!</v>
      </c>
      <c r="I13" s="38" t="e">
        <f t="shared" si="1"/>
        <v>#REF!</v>
      </c>
      <c r="J13" s="38" t="e">
        <f t="shared" si="1"/>
        <v>#REF!</v>
      </c>
      <c r="K13" s="38" t="e">
        <f t="shared" si="1"/>
        <v>#REF!</v>
      </c>
      <c r="L13" s="38" t="e">
        <f t="shared" si="1"/>
        <v>#REF!</v>
      </c>
      <c r="M13" s="38" t="e">
        <f t="shared" si="1"/>
        <v>#REF!</v>
      </c>
      <c r="N13" s="38" t="e">
        <f t="shared" si="1"/>
        <v>#REF!</v>
      </c>
      <c r="O13" s="38" t="e">
        <f t="shared" si="1"/>
        <v>#REF!</v>
      </c>
      <c r="P13" s="38" t="e">
        <f t="shared" si="1"/>
        <v>#REF!</v>
      </c>
      <c r="Q13" s="38" t="e">
        <f t="shared" si="1"/>
        <v>#REF!</v>
      </c>
      <c r="R13" s="38" t="e">
        <f t="shared" si="1"/>
        <v>#REF!</v>
      </c>
      <c r="S13" s="38" t="e">
        <f>SUM(C13:R13)</f>
        <v>#REF!</v>
      </c>
      <c r="T13" s="35"/>
      <c r="U13" s="39" t="e">
        <f>C13</f>
        <v>#REF!</v>
      </c>
      <c r="V13" s="39" t="e">
        <f>M13+C13</f>
        <v>#REF!</v>
      </c>
      <c r="W13" s="39" t="e">
        <f>N13+M13+C13</f>
        <v>#REF!</v>
      </c>
      <c r="X13" s="39"/>
      <c r="Y13" s="3"/>
      <c r="Z13" s="3"/>
    </row>
    <row r="14" spans="1:28" s="6" customFormat="1" ht="24.95" customHeight="1" x14ac:dyDescent="0.3">
      <c r="A14" s="37">
        <v>10</v>
      </c>
      <c r="B14" s="48" t="s">
        <v>31</v>
      </c>
      <c r="C14" s="38"/>
      <c r="D14" s="38"/>
      <c r="E14" s="38"/>
      <c r="F14" s="38" t="e">
        <f>IF((SUM($C$13:F13))&lt;0,0,IF(SUM($C$13:F13)&gt;=0,(SUM($C$13:F13)*基础数据!$C$42)))</f>
        <v>#REF!</v>
      </c>
      <c r="G14" s="38"/>
      <c r="H14" s="38"/>
      <c r="I14" s="38"/>
      <c r="J14" s="38" t="e">
        <f>IF((SUM($C$13:J13))&lt;0,0,IF(SUM($C$13:J13)&gt;=0,(SUM($C$13:J13)*基础数据!$C$42)))</f>
        <v>#REF!</v>
      </c>
      <c r="K14" s="38"/>
      <c r="L14" s="38"/>
      <c r="M14" s="38"/>
      <c r="N14" s="38" t="e">
        <f>IF((SUM($K$13:N13))&lt;0,0,IF(SUM($K$13:N13)&gt;=0,(SUM($K$13:N13)*基础数据!$C$42)))</f>
        <v>#REF!</v>
      </c>
      <c r="O14" s="38"/>
      <c r="P14" s="38"/>
      <c r="Q14" s="38"/>
      <c r="R14" s="38" t="e">
        <f>IF((SUM($O$13:R13))&lt;0,0,IF(SUM($C$13:R13)&gt;=0,(SUM($C$13:R13)*基础数据!$C$42)))</f>
        <v>#REF!</v>
      </c>
      <c r="S14" s="38" t="e">
        <f>SUM(C14:R14)</f>
        <v>#REF!</v>
      </c>
      <c r="T14" s="35"/>
      <c r="U14" s="35"/>
      <c r="V14" s="35"/>
      <c r="W14" s="35"/>
      <c r="X14" s="35"/>
    </row>
    <row r="15" spans="1:28" ht="24.95" customHeight="1" x14ac:dyDescent="0.3">
      <c r="A15" s="37">
        <v>11</v>
      </c>
      <c r="B15" s="48" t="s">
        <v>26</v>
      </c>
      <c r="C15" s="38" t="e">
        <f>C13-C14</f>
        <v>#REF!</v>
      </c>
      <c r="D15" s="38" t="e">
        <f t="shared" ref="D15:R15" si="2">D13-D14</f>
        <v>#REF!</v>
      </c>
      <c r="E15" s="38" t="e">
        <f t="shared" si="2"/>
        <v>#REF!</v>
      </c>
      <c r="F15" s="38" t="e">
        <f t="shared" si="2"/>
        <v>#REF!</v>
      </c>
      <c r="G15" s="38" t="e">
        <f t="shared" si="2"/>
        <v>#REF!</v>
      </c>
      <c r="H15" s="38" t="e">
        <f t="shared" si="2"/>
        <v>#REF!</v>
      </c>
      <c r="I15" s="38" t="e">
        <f t="shared" si="2"/>
        <v>#REF!</v>
      </c>
      <c r="J15" s="38" t="e">
        <f t="shared" si="2"/>
        <v>#REF!</v>
      </c>
      <c r="K15" s="38" t="e">
        <f t="shared" si="2"/>
        <v>#REF!</v>
      </c>
      <c r="L15" s="38" t="e">
        <f t="shared" si="2"/>
        <v>#REF!</v>
      </c>
      <c r="M15" s="38" t="e">
        <f t="shared" si="2"/>
        <v>#REF!</v>
      </c>
      <c r="N15" s="38" t="e">
        <f t="shared" si="2"/>
        <v>#REF!</v>
      </c>
      <c r="O15" s="38" t="e">
        <f t="shared" si="2"/>
        <v>#REF!</v>
      </c>
      <c r="P15" s="38" t="e">
        <f t="shared" si="2"/>
        <v>#REF!</v>
      </c>
      <c r="Q15" s="38" t="e">
        <f t="shared" si="2"/>
        <v>#REF!</v>
      </c>
      <c r="R15" s="38" t="e">
        <f t="shared" si="2"/>
        <v>#REF!</v>
      </c>
      <c r="S15" s="38" t="e">
        <f t="shared" si="0"/>
        <v>#REF!</v>
      </c>
      <c r="T15" s="35"/>
      <c r="U15" s="35"/>
      <c r="V15" s="35"/>
      <c r="W15" s="35"/>
      <c r="X15" s="35"/>
    </row>
    <row r="16" spans="1:28" ht="24.95" customHeight="1" x14ac:dyDescent="0.3">
      <c r="A16" s="37">
        <v>12</v>
      </c>
      <c r="B16" s="48" t="s">
        <v>103</v>
      </c>
      <c r="C16" s="38"/>
      <c r="D16" s="38" t="e">
        <f>C21</f>
        <v>#REF!</v>
      </c>
      <c r="E16" s="38" t="e">
        <f t="shared" ref="E16:R16" si="3">D21</f>
        <v>#REF!</v>
      </c>
      <c r="F16" s="38" t="e">
        <f t="shared" si="3"/>
        <v>#REF!</v>
      </c>
      <c r="G16" s="38" t="e">
        <f t="shared" si="3"/>
        <v>#REF!</v>
      </c>
      <c r="H16" s="38" t="e">
        <f t="shared" si="3"/>
        <v>#REF!</v>
      </c>
      <c r="I16" s="38" t="e">
        <f t="shared" si="3"/>
        <v>#REF!</v>
      </c>
      <c r="J16" s="38" t="e">
        <f t="shared" si="3"/>
        <v>#REF!</v>
      </c>
      <c r="K16" s="38" t="e">
        <f t="shared" si="3"/>
        <v>#REF!</v>
      </c>
      <c r="L16" s="38" t="e">
        <f t="shared" si="3"/>
        <v>#REF!</v>
      </c>
      <c r="M16" s="38" t="e">
        <f t="shared" si="3"/>
        <v>#REF!</v>
      </c>
      <c r="N16" s="38" t="e">
        <f t="shared" si="3"/>
        <v>#REF!</v>
      </c>
      <c r="O16" s="38" t="e">
        <f t="shared" si="3"/>
        <v>#REF!</v>
      </c>
      <c r="P16" s="38" t="e">
        <f t="shared" si="3"/>
        <v>#REF!</v>
      </c>
      <c r="Q16" s="38" t="e">
        <f t="shared" si="3"/>
        <v>#REF!</v>
      </c>
      <c r="R16" s="38" t="e">
        <f t="shared" si="3"/>
        <v>#REF!</v>
      </c>
      <c r="S16" s="38"/>
      <c r="T16" s="35"/>
      <c r="U16" s="35"/>
      <c r="V16" s="35"/>
      <c r="W16" s="35"/>
      <c r="X16" s="35"/>
    </row>
    <row r="17" spans="1:24" ht="24.95" customHeight="1" x14ac:dyDescent="0.3">
      <c r="A17" s="37">
        <v>13</v>
      </c>
      <c r="B17" s="48" t="s">
        <v>27</v>
      </c>
      <c r="C17" s="38" t="e">
        <f>C16+C15</f>
        <v>#REF!</v>
      </c>
      <c r="D17" s="38" t="e">
        <f t="shared" ref="D17:R17" si="4">D16+D15</f>
        <v>#REF!</v>
      </c>
      <c r="E17" s="38" t="e">
        <f t="shared" si="4"/>
        <v>#REF!</v>
      </c>
      <c r="F17" s="38" t="e">
        <f t="shared" si="4"/>
        <v>#REF!</v>
      </c>
      <c r="G17" s="38" t="e">
        <f t="shared" si="4"/>
        <v>#REF!</v>
      </c>
      <c r="H17" s="38" t="e">
        <f t="shared" si="4"/>
        <v>#REF!</v>
      </c>
      <c r="I17" s="38" t="e">
        <f t="shared" si="4"/>
        <v>#REF!</v>
      </c>
      <c r="J17" s="38" t="e">
        <f t="shared" si="4"/>
        <v>#REF!</v>
      </c>
      <c r="K17" s="38" t="e">
        <f t="shared" si="4"/>
        <v>#REF!</v>
      </c>
      <c r="L17" s="38" t="e">
        <f t="shared" si="4"/>
        <v>#REF!</v>
      </c>
      <c r="M17" s="38" t="e">
        <f t="shared" si="4"/>
        <v>#REF!</v>
      </c>
      <c r="N17" s="38" t="e">
        <f t="shared" si="4"/>
        <v>#REF!</v>
      </c>
      <c r="O17" s="38" t="e">
        <f t="shared" si="4"/>
        <v>#REF!</v>
      </c>
      <c r="P17" s="38" t="e">
        <f t="shared" si="4"/>
        <v>#REF!</v>
      </c>
      <c r="Q17" s="38" t="e">
        <f t="shared" si="4"/>
        <v>#REF!</v>
      </c>
      <c r="R17" s="38" t="e">
        <f t="shared" si="4"/>
        <v>#REF!</v>
      </c>
      <c r="S17" s="38"/>
      <c r="T17" s="35"/>
      <c r="U17" s="35"/>
      <c r="V17" s="35"/>
      <c r="W17" s="35"/>
      <c r="X17" s="35"/>
    </row>
    <row r="18" spans="1:24" s="6" customFormat="1" ht="24.95" customHeight="1" x14ac:dyDescent="0.3">
      <c r="A18" s="37">
        <v>14</v>
      </c>
      <c r="B18" s="48" t="s">
        <v>138</v>
      </c>
      <c r="C18" s="38"/>
      <c r="D18" s="38"/>
      <c r="E18" s="38"/>
      <c r="F18" s="38" t="e">
        <f>IF(SUM(C15:F15)&lt;0,0,IF(SUM(C15:F15)&gt;=0,SUM(C15:F15)*基础数据!$C$46))</f>
        <v>#REF!</v>
      </c>
      <c r="G18" s="38"/>
      <c r="H18" s="38"/>
      <c r="I18" s="38"/>
      <c r="J18" s="38" t="e">
        <f>IF(SUM(G15:J15)&lt;0,0,IF(SUM(G15:J15)&gt;=0,SUM(G15:J15)*基础数据!$C$46))</f>
        <v>#REF!</v>
      </c>
      <c r="K18" s="38"/>
      <c r="L18" s="38"/>
      <c r="M18" s="38"/>
      <c r="N18" s="38" t="e">
        <f>IF(SUM(K15:N15)&lt;0,0,IF(SUM(K15:N15)&gt;=0,SUM(K15:N15)*基础数据!$C$46))</f>
        <v>#REF!</v>
      </c>
      <c r="O18" s="38"/>
      <c r="P18" s="38"/>
      <c r="Q18" s="38"/>
      <c r="R18" s="38" t="e">
        <f>IF(SUM(O15:R15)&lt;0,0,IF(SUM(O15:R15)&gt;=0,SUM(O15:R15)*基础数据!$C$46))</f>
        <v>#REF!</v>
      </c>
      <c r="S18" s="38" t="e">
        <f t="shared" si="0"/>
        <v>#REF!</v>
      </c>
      <c r="T18" s="35"/>
      <c r="U18" s="35"/>
      <c r="V18" s="35"/>
      <c r="W18" s="35"/>
      <c r="X18" s="35"/>
    </row>
    <row r="19" spans="1:24" s="6" customFormat="1" ht="24.95" hidden="1" customHeight="1" x14ac:dyDescent="0.3">
      <c r="A19" s="37">
        <v>15</v>
      </c>
      <c r="B19" s="48"/>
      <c r="C19" s="38" t="e">
        <f>IF(C15&lt;0,0,IF(C15&gt;=0,C15*基础数据!$C$47))</f>
        <v>#REF!</v>
      </c>
      <c r="D19" s="38"/>
      <c r="E19" s="38"/>
      <c r="F19" s="38"/>
      <c r="G19" s="38"/>
      <c r="H19" s="38"/>
      <c r="I19" s="38"/>
      <c r="J19" s="38"/>
      <c r="K19" s="38"/>
      <c r="L19" s="38"/>
      <c r="M19" s="38" t="e">
        <f>IF(M15&lt;0,0,IF(M15&gt;=0,M15*基础数据!$C$47))</f>
        <v>#REF!</v>
      </c>
      <c r="N19" s="38" t="e">
        <f>IF(N15&lt;0,0,IF(N15&gt;=0,N15*基础数据!$C$47))</f>
        <v>#REF!</v>
      </c>
      <c r="O19" s="38" t="e">
        <f>IF(O15&lt;0,0,IF(O15&gt;=0,O15*基础数据!$C$47))</f>
        <v>#REF!</v>
      </c>
      <c r="P19" s="38" t="e">
        <f>IF(P15&lt;0,0,IF(P15&gt;=0,P15*基础数据!$C$47))</f>
        <v>#REF!</v>
      </c>
      <c r="Q19" s="38"/>
      <c r="R19" s="38"/>
      <c r="S19" s="38" t="e">
        <f t="shared" si="0"/>
        <v>#REF!</v>
      </c>
      <c r="T19" s="35"/>
      <c r="U19" s="35"/>
      <c r="V19" s="35"/>
      <c r="W19" s="35"/>
      <c r="X19" s="35"/>
    </row>
    <row r="20" spans="1:24" ht="24.95" hidden="1" customHeight="1" x14ac:dyDescent="0.3">
      <c r="A20" s="37">
        <v>16</v>
      </c>
      <c r="B20" s="48" t="s">
        <v>105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>
        <f>SUM(C20:Q20)</f>
        <v>0</v>
      </c>
      <c r="T20" s="35"/>
      <c r="U20" s="35"/>
      <c r="V20" s="35"/>
      <c r="W20" s="43" t="e">
        <f>S13/S5</f>
        <v>#REF!</v>
      </c>
      <c r="X20" s="35"/>
    </row>
    <row r="21" spans="1:24" ht="24.95" customHeight="1" x14ac:dyDescent="0.3">
      <c r="A21" s="37">
        <v>17</v>
      </c>
      <c r="B21" s="48" t="s">
        <v>28</v>
      </c>
      <c r="C21" s="38" t="e">
        <f>C17-C18-C20</f>
        <v>#REF!</v>
      </c>
      <c r="D21" s="38" t="e">
        <f t="shared" ref="D21:R21" si="5">D17-D18-D20</f>
        <v>#REF!</v>
      </c>
      <c r="E21" s="38" t="e">
        <f t="shared" si="5"/>
        <v>#REF!</v>
      </c>
      <c r="F21" s="38" t="e">
        <f>F17-F18-F20</f>
        <v>#REF!</v>
      </c>
      <c r="G21" s="38" t="e">
        <f t="shared" si="5"/>
        <v>#REF!</v>
      </c>
      <c r="H21" s="38" t="e">
        <f t="shared" si="5"/>
        <v>#REF!</v>
      </c>
      <c r="I21" s="38" t="e">
        <f t="shared" si="5"/>
        <v>#REF!</v>
      </c>
      <c r="J21" s="38" t="e">
        <f t="shared" si="5"/>
        <v>#REF!</v>
      </c>
      <c r="K21" s="38" t="e">
        <f t="shared" si="5"/>
        <v>#REF!</v>
      </c>
      <c r="L21" s="38" t="e">
        <f t="shared" si="5"/>
        <v>#REF!</v>
      </c>
      <c r="M21" s="38" t="e">
        <f t="shared" si="5"/>
        <v>#REF!</v>
      </c>
      <c r="N21" s="38" t="e">
        <f t="shared" si="5"/>
        <v>#REF!</v>
      </c>
      <c r="O21" s="38" t="e">
        <f t="shared" si="5"/>
        <v>#REF!</v>
      </c>
      <c r="P21" s="38" t="e">
        <f t="shared" si="5"/>
        <v>#REF!</v>
      </c>
      <c r="Q21" s="38" t="e">
        <f t="shared" si="5"/>
        <v>#REF!</v>
      </c>
      <c r="R21" s="38" t="e">
        <f t="shared" si="5"/>
        <v>#REF!</v>
      </c>
      <c r="S21" s="38"/>
      <c r="T21" s="35"/>
      <c r="U21" s="35"/>
      <c r="V21" s="35"/>
      <c r="W21" s="43">
        <f>结论表!J10</f>
        <v>0.13400000000000001</v>
      </c>
      <c r="X21" s="35"/>
    </row>
    <row r="24" spans="1:24" hidden="1" x14ac:dyDescent="0.25">
      <c r="B24" s="2" t="s">
        <v>73</v>
      </c>
      <c r="C24" s="4" t="e">
        <f>(S12+S13)/S12</f>
        <v>#REF!</v>
      </c>
      <c r="D24" s="4"/>
      <c r="E24" s="4"/>
      <c r="F24" s="4"/>
      <c r="G24" s="4"/>
      <c r="H24" s="4"/>
      <c r="I24" s="4"/>
      <c r="J24" s="4"/>
      <c r="K24" s="4"/>
      <c r="L24" s="4"/>
      <c r="M24" s="5" t="s">
        <v>74</v>
      </c>
    </row>
    <row r="25" spans="1:24" ht="18" x14ac:dyDescent="0.3">
      <c r="B25" s="23" t="s">
        <v>177</v>
      </c>
      <c r="C25" s="24">
        <v>-0.1</v>
      </c>
      <c r="J25" s="3"/>
    </row>
  </sheetData>
  <mergeCells count="7">
    <mergeCell ref="A1:S1"/>
    <mergeCell ref="C2:P2"/>
    <mergeCell ref="Q2:S2"/>
    <mergeCell ref="C3:F3"/>
    <mergeCell ref="G3:J3"/>
    <mergeCell ref="K3:N3"/>
    <mergeCell ref="O3:R3"/>
  </mergeCells>
  <phoneticPr fontId="19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AQ33"/>
  <sheetViews>
    <sheetView view="pageBreakPreview" zoomScaleNormal="100" zoomScaleSheetLayoutView="100" workbookViewId="0">
      <pane xSplit="3" topLeftCell="D1" activePane="topRight" state="frozen"/>
      <selection pane="topRight" activeCell="G25" sqref="G25"/>
    </sheetView>
  </sheetViews>
  <sheetFormatPr defaultColWidth="11" defaultRowHeight="18" customHeight="1" x14ac:dyDescent="0.15"/>
  <cols>
    <col min="1" max="1" width="6" style="197" customWidth="1"/>
    <col min="2" max="2" width="22.375" style="198" customWidth="1"/>
    <col min="3" max="3" width="13.625" style="197" customWidth="1"/>
    <col min="4" max="19" width="13.625" style="198" customWidth="1"/>
    <col min="20" max="43" width="13.625" style="198" hidden="1" customWidth="1"/>
    <col min="44" max="68" width="13.75" style="198" customWidth="1"/>
    <col min="69" max="72" width="9" style="198" customWidth="1"/>
    <col min="73" max="16384" width="11" style="198"/>
  </cols>
  <sheetData>
    <row r="1" spans="1:43" ht="18" customHeight="1" x14ac:dyDescent="0.15">
      <c r="A1" s="283" t="s">
        <v>465</v>
      </c>
      <c r="B1" s="284"/>
      <c r="C1" s="284"/>
      <c r="D1" s="284" t="s">
        <v>475</v>
      </c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284"/>
      <c r="X1" s="284"/>
      <c r="Y1" s="284"/>
      <c r="Z1" s="284"/>
      <c r="AA1" s="284"/>
      <c r="AB1" s="284"/>
      <c r="AC1" s="284"/>
      <c r="AD1" s="284"/>
      <c r="AE1" s="284"/>
      <c r="AF1" s="284"/>
      <c r="AG1" s="284"/>
      <c r="AH1" s="284"/>
      <c r="AI1" s="284"/>
      <c r="AJ1" s="284"/>
      <c r="AK1" s="284"/>
      <c r="AL1" s="284"/>
      <c r="AM1" s="284"/>
      <c r="AN1" s="284"/>
      <c r="AO1" s="284"/>
      <c r="AP1" s="284"/>
      <c r="AQ1" s="284"/>
    </row>
    <row r="2" spans="1:43" ht="18" customHeight="1" x14ac:dyDescent="0.15">
      <c r="A2" s="283"/>
      <c r="B2" s="237" t="s">
        <v>8</v>
      </c>
      <c r="C2" s="283"/>
      <c r="D2" s="284"/>
      <c r="E2" s="284"/>
      <c r="F2" s="284"/>
      <c r="G2" s="284"/>
      <c r="H2" s="283"/>
      <c r="I2" s="283"/>
      <c r="J2" s="283"/>
      <c r="K2" s="283"/>
      <c r="L2" s="283"/>
      <c r="M2" s="283"/>
      <c r="N2" s="283"/>
      <c r="O2" s="283"/>
      <c r="P2" s="283"/>
      <c r="Q2" s="283"/>
      <c r="R2" s="283"/>
      <c r="S2" s="283"/>
      <c r="T2" s="283"/>
      <c r="U2" s="283"/>
      <c r="V2" s="283"/>
      <c r="W2" s="283"/>
      <c r="X2" s="680"/>
      <c r="Y2" s="680"/>
      <c r="Z2" s="680"/>
      <c r="AA2" s="680"/>
      <c r="AB2" s="680"/>
      <c r="AC2" s="680"/>
      <c r="AD2" s="680"/>
      <c r="AE2" s="680"/>
      <c r="AF2" s="680"/>
      <c r="AG2" s="680"/>
      <c r="AH2" s="680"/>
      <c r="AI2" s="680"/>
      <c r="AJ2" s="680"/>
      <c r="AK2" s="680"/>
      <c r="AL2" s="680"/>
      <c r="AM2" s="680"/>
      <c r="AN2" s="283"/>
      <c r="AO2" s="283"/>
      <c r="AP2" s="283"/>
      <c r="AQ2" s="283"/>
    </row>
    <row r="3" spans="1:43" ht="18" customHeight="1" x14ac:dyDescent="0.15">
      <c r="A3" s="845" t="s">
        <v>43</v>
      </c>
      <c r="B3" s="845" t="s">
        <v>347</v>
      </c>
      <c r="C3" s="845" t="s">
        <v>158</v>
      </c>
      <c r="D3" s="842" t="str">
        <f>'主表1（成本）'!C3</f>
        <v>2021年</v>
      </c>
      <c r="E3" s="843"/>
      <c r="F3" s="843"/>
      <c r="G3" s="844"/>
      <c r="H3" s="842" t="str">
        <f>'主表1（成本）'!G3</f>
        <v>2022年</v>
      </c>
      <c r="I3" s="843"/>
      <c r="J3" s="843"/>
      <c r="K3" s="844"/>
      <c r="L3" s="842" t="str">
        <f>'主表1（成本）'!K3</f>
        <v>2023年</v>
      </c>
      <c r="M3" s="843"/>
      <c r="N3" s="843"/>
      <c r="O3" s="844"/>
      <c r="P3" s="842" t="str">
        <f>'主表1（成本）'!O3</f>
        <v>2024年</v>
      </c>
      <c r="Q3" s="843"/>
      <c r="R3" s="843"/>
      <c r="S3" s="844"/>
      <c r="T3" s="842" t="str">
        <f>'主表1（成本）'!S3</f>
        <v>2025年</v>
      </c>
      <c r="U3" s="843"/>
      <c r="V3" s="843"/>
      <c r="W3" s="844"/>
      <c r="X3" s="842" t="str">
        <f>'主表1（成本）'!W3</f>
        <v>2026年</v>
      </c>
      <c r="Y3" s="843"/>
      <c r="Z3" s="843"/>
      <c r="AA3" s="844"/>
      <c r="AB3" s="842" t="str">
        <f>'主表1（成本）'!AA3</f>
        <v>2027年</v>
      </c>
      <c r="AC3" s="843"/>
      <c r="AD3" s="843"/>
      <c r="AE3" s="844"/>
      <c r="AF3" s="842" t="str">
        <f>'主表1（成本）'!AE3</f>
        <v>2028年</v>
      </c>
      <c r="AG3" s="843"/>
      <c r="AH3" s="843"/>
      <c r="AI3" s="844"/>
      <c r="AJ3" s="842" t="str">
        <f>'主表1（成本）'!AI3</f>
        <v>2029年</v>
      </c>
      <c r="AK3" s="843"/>
      <c r="AL3" s="843"/>
      <c r="AM3" s="844"/>
      <c r="AN3" s="842" t="str">
        <f>'主表1（成本）'!AM3</f>
        <v>2030年</v>
      </c>
      <c r="AO3" s="843"/>
      <c r="AP3" s="843"/>
      <c r="AQ3" s="844"/>
    </row>
    <row r="4" spans="1:43" ht="18" customHeight="1" x14ac:dyDescent="0.15">
      <c r="A4" s="845"/>
      <c r="B4" s="845"/>
      <c r="C4" s="845"/>
      <c r="D4" s="536" t="str">
        <f>'主表1（成本）'!C4</f>
        <v>Q1</v>
      </c>
      <c r="E4" s="537" t="str">
        <f>'主表1（成本）'!D4</f>
        <v>Q2</v>
      </c>
      <c r="F4" s="537" t="str">
        <f>'主表1（成本）'!E4</f>
        <v>Q3</v>
      </c>
      <c r="G4" s="538" t="str">
        <f>'主表1（成本）'!F4</f>
        <v>Q4</v>
      </c>
      <c r="H4" s="536" t="str">
        <f>'主表1（成本）'!G4</f>
        <v>Q1</v>
      </c>
      <c r="I4" s="537" t="str">
        <f>'主表1（成本）'!H4</f>
        <v>Q2</v>
      </c>
      <c r="J4" s="537" t="str">
        <f>'主表1（成本）'!I4</f>
        <v>Q3</v>
      </c>
      <c r="K4" s="538" t="str">
        <f>'主表1（成本）'!J4</f>
        <v>Q4</v>
      </c>
      <c r="L4" s="536" t="str">
        <f>'主表1（成本）'!K4</f>
        <v>Q1</v>
      </c>
      <c r="M4" s="537" t="str">
        <f>'主表1（成本）'!L4</f>
        <v>Q2</v>
      </c>
      <c r="N4" s="537" t="str">
        <f>'主表1（成本）'!M4</f>
        <v>Q3</v>
      </c>
      <c r="O4" s="538" t="str">
        <f>'主表1（成本）'!N4</f>
        <v>Q4</v>
      </c>
      <c r="P4" s="536" t="str">
        <f>'主表1（成本）'!O4</f>
        <v>Q1</v>
      </c>
      <c r="Q4" s="537" t="str">
        <f>'主表1（成本）'!P4</f>
        <v>Q2</v>
      </c>
      <c r="R4" s="537" t="str">
        <f>'主表1（成本）'!Q4</f>
        <v>Q3</v>
      </c>
      <c r="S4" s="538" t="str">
        <f>'主表1（成本）'!R4</f>
        <v>Q4</v>
      </c>
      <c r="T4" s="536" t="str">
        <f>'主表1（成本）'!S4</f>
        <v>Q1</v>
      </c>
      <c r="U4" s="537" t="str">
        <f>'主表1（成本）'!T4</f>
        <v>Q2</v>
      </c>
      <c r="V4" s="537" t="str">
        <f>'主表1（成本）'!U4</f>
        <v>Q3</v>
      </c>
      <c r="W4" s="538" t="str">
        <f>'主表1（成本）'!V4</f>
        <v>Q4</v>
      </c>
      <c r="X4" s="536" t="str">
        <f>'主表1（成本）'!W4</f>
        <v>Q1</v>
      </c>
      <c r="Y4" s="537" t="str">
        <f>'主表1（成本）'!X4</f>
        <v>Q2</v>
      </c>
      <c r="Z4" s="537" t="str">
        <f>'主表1（成本）'!Y4</f>
        <v>Q3</v>
      </c>
      <c r="AA4" s="538" t="str">
        <f>'主表1（成本）'!Z4</f>
        <v>Q4</v>
      </c>
      <c r="AB4" s="536" t="str">
        <f>'主表1（成本）'!AA4</f>
        <v>Q1</v>
      </c>
      <c r="AC4" s="537" t="str">
        <f>'主表1（成本）'!AB4</f>
        <v>Q2</v>
      </c>
      <c r="AD4" s="537" t="str">
        <f>'主表1（成本）'!AC4</f>
        <v>Q3</v>
      </c>
      <c r="AE4" s="538" t="str">
        <f>'主表1（成本）'!AD4</f>
        <v>Q4</v>
      </c>
      <c r="AF4" s="536" t="str">
        <f>'主表1（成本）'!AE4</f>
        <v>Q1</v>
      </c>
      <c r="AG4" s="537" t="str">
        <f>'主表1（成本）'!AF4</f>
        <v>Q2</v>
      </c>
      <c r="AH4" s="537" t="str">
        <f>'主表1（成本）'!AG4</f>
        <v>Q3</v>
      </c>
      <c r="AI4" s="538" t="str">
        <f>'主表1（成本）'!AH4</f>
        <v>Q4</v>
      </c>
      <c r="AJ4" s="536" t="str">
        <f>'主表1（成本）'!AI4</f>
        <v>Q1</v>
      </c>
      <c r="AK4" s="537" t="str">
        <f>'主表1（成本）'!AJ4</f>
        <v>Q2</v>
      </c>
      <c r="AL4" s="537" t="str">
        <f>'主表1（成本）'!AK4</f>
        <v>Q3</v>
      </c>
      <c r="AM4" s="538" t="str">
        <f>'主表1（成本）'!AL4</f>
        <v>Q4</v>
      </c>
      <c r="AN4" s="536" t="str">
        <f>'主表1（成本）'!AM4</f>
        <v>Q1</v>
      </c>
      <c r="AO4" s="537" t="str">
        <f>'主表1（成本）'!AN4</f>
        <v>Q2</v>
      </c>
      <c r="AP4" s="537" t="str">
        <f>'主表1（成本）'!AO4</f>
        <v>Q3</v>
      </c>
      <c r="AQ4" s="538" t="str">
        <f>'主表1（成本）'!AP4</f>
        <v>Q4</v>
      </c>
    </row>
    <row r="5" spans="1:43" ht="18" customHeight="1" x14ac:dyDescent="0.15">
      <c r="A5" s="288">
        <v>1</v>
      </c>
      <c r="B5" s="291" t="s">
        <v>480</v>
      </c>
      <c r="C5" s="292">
        <f>SUM(D5:AO5)</f>
        <v>3688905</v>
      </c>
      <c r="D5" s="292">
        <f>SUM(D6:D8)</f>
        <v>0</v>
      </c>
      <c r="E5" s="292">
        <f>SUM(E6:E8)</f>
        <v>0</v>
      </c>
      <c r="F5" s="292">
        <f>SUM(F6:F8)</f>
        <v>0</v>
      </c>
      <c r="G5" s="292">
        <f t="shared" ref="G5:AO5" si="0">SUM(G6:G8)</f>
        <v>29794</v>
      </c>
      <c r="H5" s="292">
        <f t="shared" si="0"/>
        <v>40497</v>
      </c>
      <c r="I5" s="292">
        <f t="shared" si="0"/>
        <v>53041</v>
      </c>
      <c r="J5" s="292">
        <f t="shared" si="0"/>
        <v>51913</v>
      </c>
      <c r="K5" s="292">
        <f t="shared" si="0"/>
        <v>57837</v>
      </c>
      <c r="L5" s="292">
        <f t="shared" si="0"/>
        <v>85541</v>
      </c>
      <c r="M5" s="292">
        <f t="shared" si="0"/>
        <v>100560</v>
      </c>
      <c r="N5" s="292">
        <f t="shared" si="0"/>
        <v>108969</v>
      </c>
      <c r="O5" s="292">
        <f t="shared" si="0"/>
        <v>112980</v>
      </c>
      <c r="P5" s="292">
        <f t="shared" si="0"/>
        <v>113373</v>
      </c>
      <c r="Q5" s="292">
        <f t="shared" si="0"/>
        <v>117376</v>
      </c>
      <c r="R5" s="292">
        <f t="shared" si="0"/>
        <v>117376</v>
      </c>
      <c r="S5" s="292">
        <f t="shared" si="0"/>
        <v>117376</v>
      </c>
      <c r="T5" s="292">
        <f t="shared" si="0"/>
        <v>117376</v>
      </c>
      <c r="U5" s="292">
        <f t="shared" si="0"/>
        <v>117376</v>
      </c>
      <c r="V5" s="292">
        <f t="shared" si="0"/>
        <v>117376</v>
      </c>
      <c r="W5" s="292">
        <f t="shared" si="0"/>
        <v>117376</v>
      </c>
      <c r="X5" s="292">
        <f t="shared" ref="X5:AE5" si="1">SUM(X6:X8)</f>
        <v>117376</v>
      </c>
      <c r="Y5" s="292">
        <f t="shared" si="1"/>
        <v>117376</v>
      </c>
      <c r="Z5" s="292">
        <f t="shared" si="1"/>
        <v>117376</v>
      </c>
      <c r="AA5" s="292">
        <f t="shared" si="1"/>
        <v>117376</v>
      </c>
      <c r="AB5" s="292">
        <f t="shared" si="1"/>
        <v>117376</v>
      </c>
      <c r="AC5" s="292">
        <f t="shared" si="1"/>
        <v>117376</v>
      </c>
      <c r="AD5" s="292">
        <f t="shared" si="1"/>
        <v>117376</v>
      </c>
      <c r="AE5" s="292">
        <f t="shared" si="1"/>
        <v>117376</v>
      </c>
      <c r="AF5" s="292">
        <f t="shared" ref="AF5:AN5" si="2">SUM(AF6:AF8)</f>
        <v>117376</v>
      </c>
      <c r="AG5" s="292">
        <f t="shared" si="2"/>
        <v>117376</v>
      </c>
      <c r="AH5" s="292">
        <f t="shared" si="2"/>
        <v>117376</v>
      </c>
      <c r="AI5" s="292">
        <f t="shared" si="2"/>
        <v>117376</v>
      </c>
      <c r="AJ5" s="292">
        <f t="shared" si="2"/>
        <v>117376</v>
      </c>
      <c r="AK5" s="292">
        <f t="shared" si="2"/>
        <v>117376</v>
      </c>
      <c r="AL5" s="292">
        <f t="shared" si="2"/>
        <v>117376</v>
      </c>
      <c r="AM5" s="292">
        <f t="shared" si="2"/>
        <v>117376</v>
      </c>
      <c r="AN5" s="292">
        <f t="shared" si="2"/>
        <v>117376</v>
      </c>
      <c r="AO5" s="292">
        <f t="shared" si="0"/>
        <v>117376</v>
      </c>
      <c r="AP5" s="292"/>
      <c r="AQ5" s="292"/>
    </row>
    <row r="6" spans="1:43" ht="18" customHeight="1" x14ac:dyDescent="0.15">
      <c r="A6" s="285"/>
      <c r="B6" s="287" t="s">
        <v>481</v>
      </c>
      <c r="C6" s="286"/>
      <c r="D6" s="286">
        <f>'主表5（资金来源与运用）'!C28</f>
        <v>0</v>
      </c>
      <c r="E6" s="286">
        <f>'主表5（资金来源与运用）'!D28</f>
        <v>0</v>
      </c>
      <c r="F6" s="286">
        <f>'主表5（资金来源与运用）'!E28</f>
        <v>0</v>
      </c>
      <c r="G6" s="286">
        <f>'主表5（资金来源与运用）'!F28</f>
        <v>29794</v>
      </c>
      <c r="H6" s="286">
        <f>'主表5（资金来源与运用）'!G28</f>
        <v>34703</v>
      </c>
      <c r="I6" s="286">
        <f>'主表5（资金来源与运用）'!H28</f>
        <v>44544</v>
      </c>
      <c r="J6" s="286">
        <f>'主表5（资金来源与运用）'!I28</f>
        <v>43872</v>
      </c>
      <c r="K6" s="286">
        <f>'主表5（资金来源与运用）'!J28</f>
        <v>26584</v>
      </c>
      <c r="L6" s="286">
        <f>'主表5（资金来源与运用）'!K28</f>
        <v>27704</v>
      </c>
      <c r="M6" s="286">
        <f>'主表5（资金来源与运用）'!L28</f>
        <v>15019</v>
      </c>
      <c r="N6" s="286">
        <f>'主表5（资金来源与运用）'!M28</f>
        <v>8409</v>
      </c>
      <c r="O6" s="286">
        <f>'主表5（资金来源与运用）'!N28</f>
        <v>4011</v>
      </c>
      <c r="P6" s="286">
        <f>'主表5（资金来源与运用）'!O28</f>
        <v>393</v>
      </c>
      <c r="Q6" s="286">
        <f>'主表5（资金来源与运用）'!P28</f>
        <v>4003</v>
      </c>
      <c r="R6" s="286">
        <f>'主表5（资金来源与运用）'!Q28</f>
        <v>0</v>
      </c>
      <c r="S6" s="286">
        <f>'主表5（资金来源与运用）'!R28</f>
        <v>0</v>
      </c>
      <c r="T6" s="286">
        <f>'主表5（资金来源与运用）'!S28</f>
        <v>0</v>
      </c>
      <c r="U6" s="286">
        <f>'主表5（资金来源与运用）'!T28</f>
        <v>0</v>
      </c>
      <c r="V6" s="286">
        <f>'主表5（资金来源与运用）'!U28</f>
        <v>0</v>
      </c>
      <c r="W6" s="286">
        <f>'主表5（资金来源与运用）'!V28</f>
        <v>0</v>
      </c>
      <c r="X6" s="286">
        <f>'主表5（资金来源与运用）'!W28</f>
        <v>0</v>
      </c>
      <c r="Y6" s="286">
        <f>'主表5（资金来源与运用）'!X28</f>
        <v>0</v>
      </c>
      <c r="Z6" s="286">
        <f>'主表5（资金来源与运用）'!Y28</f>
        <v>0</v>
      </c>
      <c r="AA6" s="286">
        <f>'主表5（资金来源与运用）'!Z28</f>
        <v>0</v>
      </c>
      <c r="AB6" s="286">
        <f>'主表5（资金来源与运用）'!AA28</f>
        <v>0</v>
      </c>
      <c r="AC6" s="286">
        <f>'主表5（资金来源与运用）'!AB28</f>
        <v>0</v>
      </c>
      <c r="AD6" s="286">
        <f>'主表5（资金来源与运用）'!AC28</f>
        <v>0</v>
      </c>
      <c r="AE6" s="286">
        <f>'主表5（资金来源与运用）'!AD28</f>
        <v>0</v>
      </c>
      <c r="AF6" s="286">
        <f>'主表5（资金来源与运用）'!AE28</f>
        <v>0</v>
      </c>
      <c r="AG6" s="286">
        <f>'主表5（资金来源与运用）'!AF28</f>
        <v>0</v>
      </c>
      <c r="AH6" s="286">
        <f>'主表5（资金来源与运用）'!AG28</f>
        <v>0</v>
      </c>
      <c r="AI6" s="286">
        <f>'主表5（资金来源与运用）'!AH28</f>
        <v>0</v>
      </c>
      <c r="AJ6" s="286">
        <f>'主表5（资金来源与运用）'!AI28</f>
        <v>0</v>
      </c>
      <c r="AK6" s="286">
        <f>'主表5（资金来源与运用）'!AJ28</f>
        <v>0</v>
      </c>
      <c r="AL6" s="286">
        <f>'主表5（资金来源与运用）'!AK28</f>
        <v>0</v>
      </c>
      <c r="AM6" s="286">
        <f>'主表5（资金来源与运用）'!AL28</f>
        <v>0</v>
      </c>
      <c r="AN6" s="286">
        <f>'主表5（资金来源与运用）'!AM28</f>
        <v>0</v>
      </c>
      <c r="AO6" s="286">
        <f>'主表5（资金来源与运用）'!AN28</f>
        <v>0</v>
      </c>
      <c r="AP6" s="286">
        <f>'主表5（资金来源与运用）'!AO28</f>
        <v>0</v>
      </c>
      <c r="AQ6" s="286">
        <f>'主表5（资金来源与运用）'!AP28</f>
        <v>0</v>
      </c>
    </row>
    <row r="7" spans="1:43" ht="18" customHeight="1" x14ac:dyDescent="0.15">
      <c r="A7" s="285"/>
      <c r="B7" s="287" t="s">
        <v>471</v>
      </c>
      <c r="C7" s="286"/>
      <c r="D7" s="286"/>
      <c r="E7" s="286">
        <f>D30</f>
        <v>0</v>
      </c>
      <c r="F7" s="286">
        <f>E30</f>
        <v>0</v>
      </c>
      <c r="G7" s="286">
        <f>F30</f>
        <v>0</v>
      </c>
      <c r="H7" s="286">
        <f t="shared" ref="H7:AP7" si="3">G30</f>
        <v>5794</v>
      </c>
      <c r="I7" s="286">
        <f t="shared" si="3"/>
        <v>8497</v>
      </c>
      <c r="J7" s="286">
        <f t="shared" si="3"/>
        <v>8041</v>
      </c>
      <c r="K7" s="286">
        <f t="shared" si="3"/>
        <v>31253</v>
      </c>
      <c r="L7" s="286">
        <f t="shared" si="3"/>
        <v>57837</v>
      </c>
      <c r="M7" s="286">
        <f t="shared" si="3"/>
        <v>85541</v>
      </c>
      <c r="N7" s="286">
        <f t="shared" si="3"/>
        <v>100560</v>
      </c>
      <c r="O7" s="286">
        <f t="shared" si="3"/>
        <v>108969</v>
      </c>
      <c r="P7" s="286">
        <f t="shared" si="3"/>
        <v>112980</v>
      </c>
      <c r="Q7" s="286">
        <f t="shared" si="3"/>
        <v>113373</v>
      </c>
      <c r="R7" s="286">
        <f t="shared" si="3"/>
        <v>117376</v>
      </c>
      <c r="S7" s="286">
        <f t="shared" si="3"/>
        <v>117376</v>
      </c>
      <c r="T7" s="286">
        <f t="shared" si="3"/>
        <v>117376</v>
      </c>
      <c r="U7" s="286">
        <f t="shared" si="3"/>
        <v>117376</v>
      </c>
      <c r="V7" s="286">
        <f t="shared" si="3"/>
        <v>117376</v>
      </c>
      <c r="W7" s="286">
        <f t="shared" si="3"/>
        <v>117376</v>
      </c>
      <c r="X7" s="286">
        <f t="shared" si="3"/>
        <v>117376</v>
      </c>
      <c r="Y7" s="286">
        <f t="shared" si="3"/>
        <v>117376</v>
      </c>
      <c r="Z7" s="286">
        <f t="shared" si="3"/>
        <v>117376</v>
      </c>
      <c r="AA7" s="286">
        <f t="shared" si="3"/>
        <v>117376</v>
      </c>
      <c r="AB7" s="286">
        <f t="shared" si="3"/>
        <v>117376</v>
      </c>
      <c r="AC7" s="286">
        <f t="shared" si="3"/>
        <v>117376</v>
      </c>
      <c r="AD7" s="286">
        <f t="shared" si="3"/>
        <v>117376</v>
      </c>
      <c r="AE7" s="286">
        <f t="shared" si="3"/>
        <v>117376</v>
      </c>
      <c r="AF7" s="286">
        <f t="shared" si="3"/>
        <v>117376</v>
      </c>
      <c r="AG7" s="286">
        <f t="shared" si="3"/>
        <v>117376</v>
      </c>
      <c r="AH7" s="286">
        <f t="shared" si="3"/>
        <v>117376</v>
      </c>
      <c r="AI7" s="286">
        <f t="shared" si="3"/>
        <v>117376</v>
      </c>
      <c r="AJ7" s="286">
        <f t="shared" si="3"/>
        <v>117376</v>
      </c>
      <c r="AK7" s="286">
        <f t="shared" si="3"/>
        <v>117376</v>
      </c>
      <c r="AL7" s="286">
        <f t="shared" si="3"/>
        <v>117376</v>
      </c>
      <c r="AM7" s="286">
        <f t="shared" si="3"/>
        <v>117376</v>
      </c>
      <c r="AN7" s="286">
        <f t="shared" si="3"/>
        <v>117376</v>
      </c>
      <c r="AO7" s="286">
        <f t="shared" si="3"/>
        <v>117376</v>
      </c>
      <c r="AP7" s="286">
        <f t="shared" si="3"/>
        <v>117376</v>
      </c>
      <c r="AQ7" s="286">
        <f>AP30</f>
        <v>0</v>
      </c>
    </row>
    <row r="8" spans="1:43" ht="18" customHeight="1" x14ac:dyDescent="0.15">
      <c r="A8" s="285"/>
      <c r="B8" s="287" t="s">
        <v>469</v>
      </c>
      <c r="C8" s="286"/>
      <c r="D8" s="286"/>
      <c r="E8" s="286"/>
      <c r="F8" s="286"/>
      <c r="G8" s="286"/>
      <c r="H8" s="286"/>
      <c r="I8" s="286"/>
      <c r="J8" s="286"/>
      <c r="K8" s="286"/>
      <c r="L8" s="286"/>
      <c r="M8" s="286"/>
      <c r="N8" s="286"/>
      <c r="O8" s="286"/>
      <c r="P8" s="286"/>
      <c r="Q8" s="286"/>
      <c r="R8" s="286"/>
      <c r="S8" s="286"/>
      <c r="T8" s="286"/>
      <c r="U8" s="286"/>
      <c r="V8" s="286"/>
      <c r="W8" s="286"/>
      <c r="X8" s="286"/>
      <c r="Y8" s="286"/>
      <c r="Z8" s="286"/>
      <c r="AA8" s="286"/>
      <c r="AB8" s="286"/>
      <c r="AC8" s="286"/>
      <c r="AD8" s="286"/>
      <c r="AE8" s="286"/>
      <c r="AF8" s="286"/>
      <c r="AG8" s="286"/>
      <c r="AH8" s="286"/>
      <c r="AI8" s="286"/>
      <c r="AJ8" s="286"/>
      <c r="AK8" s="286"/>
      <c r="AL8" s="286"/>
      <c r="AM8" s="286"/>
      <c r="AN8" s="286"/>
      <c r="AO8" s="286"/>
      <c r="AP8" s="286"/>
      <c r="AQ8" s="286"/>
    </row>
    <row r="9" spans="1:43" ht="18" customHeight="1" x14ac:dyDescent="0.15">
      <c r="A9" s="288">
        <v>2</v>
      </c>
      <c r="B9" s="291" t="s">
        <v>474</v>
      </c>
      <c r="C9" s="292"/>
      <c r="D9" s="292">
        <f t="shared" ref="D9:Q9" si="4">SUM(D10:D13)</f>
        <v>0</v>
      </c>
      <c r="E9" s="292">
        <f t="shared" si="4"/>
        <v>0</v>
      </c>
      <c r="F9" s="292">
        <f t="shared" si="4"/>
        <v>110000</v>
      </c>
      <c r="G9" s="292">
        <f t="shared" si="4"/>
        <v>121660</v>
      </c>
      <c r="H9" s="292">
        <f t="shared" si="4"/>
        <v>97660</v>
      </c>
      <c r="I9" s="292">
        <f t="shared" si="4"/>
        <v>65660</v>
      </c>
      <c r="J9" s="292">
        <f t="shared" si="4"/>
        <v>20660</v>
      </c>
      <c r="K9" s="292">
        <f t="shared" si="4"/>
        <v>0</v>
      </c>
      <c r="L9" s="292">
        <f t="shared" si="4"/>
        <v>0</v>
      </c>
      <c r="M9" s="292">
        <f t="shared" si="4"/>
        <v>0</v>
      </c>
      <c r="N9" s="292">
        <f t="shared" si="4"/>
        <v>0</v>
      </c>
      <c r="O9" s="292">
        <f t="shared" si="4"/>
        <v>0</v>
      </c>
      <c r="P9" s="292">
        <f t="shared" si="4"/>
        <v>0</v>
      </c>
      <c r="Q9" s="292">
        <f t="shared" si="4"/>
        <v>0</v>
      </c>
      <c r="R9" s="292">
        <f t="shared" ref="R9:AQ9" si="5">SUM(R10:R13)</f>
        <v>0</v>
      </c>
      <c r="S9" s="292">
        <f t="shared" si="5"/>
        <v>0</v>
      </c>
      <c r="T9" s="292">
        <f t="shared" si="5"/>
        <v>0</v>
      </c>
      <c r="U9" s="292">
        <f t="shared" si="5"/>
        <v>0</v>
      </c>
      <c r="V9" s="292">
        <f t="shared" si="5"/>
        <v>0</v>
      </c>
      <c r="W9" s="292">
        <f t="shared" si="5"/>
        <v>0</v>
      </c>
      <c r="X9" s="292">
        <f t="shared" si="5"/>
        <v>0</v>
      </c>
      <c r="Y9" s="292">
        <f t="shared" si="5"/>
        <v>0</v>
      </c>
      <c r="Z9" s="292">
        <f t="shared" si="5"/>
        <v>0</v>
      </c>
      <c r="AA9" s="292">
        <f t="shared" si="5"/>
        <v>0</v>
      </c>
      <c r="AB9" s="292">
        <f t="shared" si="5"/>
        <v>0</v>
      </c>
      <c r="AC9" s="292">
        <f t="shared" si="5"/>
        <v>0</v>
      </c>
      <c r="AD9" s="292">
        <f t="shared" si="5"/>
        <v>0</v>
      </c>
      <c r="AE9" s="292">
        <f t="shared" si="5"/>
        <v>0</v>
      </c>
      <c r="AF9" s="292">
        <f t="shared" si="5"/>
        <v>0</v>
      </c>
      <c r="AG9" s="292">
        <f t="shared" si="5"/>
        <v>0</v>
      </c>
      <c r="AH9" s="292">
        <f t="shared" si="5"/>
        <v>0</v>
      </c>
      <c r="AI9" s="292">
        <f t="shared" si="5"/>
        <v>0</v>
      </c>
      <c r="AJ9" s="292">
        <f t="shared" si="5"/>
        <v>0</v>
      </c>
      <c r="AK9" s="292">
        <f t="shared" si="5"/>
        <v>0</v>
      </c>
      <c r="AL9" s="292">
        <f t="shared" si="5"/>
        <v>0</v>
      </c>
      <c r="AM9" s="292">
        <f t="shared" si="5"/>
        <v>0</v>
      </c>
      <c r="AN9" s="292">
        <f t="shared" si="5"/>
        <v>0</v>
      </c>
      <c r="AO9" s="292">
        <f t="shared" si="5"/>
        <v>0</v>
      </c>
      <c r="AP9" s="292">
        <f t="shared" si="5"/>
        <v>0</v>
      </c>
      <c r="AQ9" s="292">
        <f t="shared" si="5"/>
        <v>0</v>
      </c>
    </row>
    <row r="10" spans="1:43" ht="18" customHeight="1" x14ac:dyDescent="0.15">
      <c r="A10" s="285"/>
      <c r="B10" s="287" t="str">
        <f>'主表1（成本）'!A8</f>
        <v>信托-股东借款</v>
      </c>
      <c r="C10" s="286"/>
      <c r="D10" s="293"/>
      <c r="E10" s="754">
        <f t="shared" ref="E10:AQ10" si="6">D10+D15-D20</f>
        <v>0</v>
      </c>
      <c r="F10" s="754">
        <f t="shared" si="6"/>
        <v>110000</v>
      </c>
      <c r="G10" s="754">
        <f t="shared" si="6"/>
        <v>121660</v>
      </c>
      <c r="H10" s="754">
        <f t="shared" si="6"/>
        <v>97660</v>
      </c>
      <c r="I10" s="754">
        <f t="shared" si="6"/>
        <v>65660</v>
      </c>
      <c r="J10" s="754">
        <f t="shared" si="6"/>
        <v>20660</v>
      </c>
      <c r="K10" s="754">
        <f t="shared" si="6"/>
        <v>0</v>
      </c>
      <c r="L10" s="754">
        <f t="shared" si="6"/>
        <v>0</v>
      </c>
      <c r="M10" s="754">
        <f t="shared" si="6"/>
        <v>0</v>
      </c>
      <c r="N10" s="754">
        <f t="shared" si="6"/>
        <v>0</v>
      </c>
      <c r="O10" s="754">
        <f t="shared" si="6"/>
        <v>0</v>
      </c>
      <c r="P10" s="754">
        <f t="shared" si="6"/>
        <v>0</v>
      </c>
      <c r="Q10" s="754">
        <f t="shared" si="6"/>
        <v>0</v>
      </c>
      <c r="R10" s="754">
        <f t="shared" si="6"/>
        <v>0</v>
      </c>
      <c r="S10" s="754">
        <f t="shared" si="6"/>
        <v>0</v>
      </c>
      <c r="T10" s="754">
        <f t="shared" si="6"/>
        <v>0</v>
      </c>
      <c r="U10" s="754">
        <f t="shared" si="6"/>
        <v>0</v>
      </c>
      <c r="V10" s="754">
        <f t="shared" si="6"/>
        <v>0</v>
      </c>
      <c r="W10" s="754">
        <f t="shared" si="6"/>
        <v>0</v>
      </c>
      <c r="X10" s="754">
        <f t="shared" si="6"/>
        <v>0</v>
      </c>
      <c r="Y10" s="754">
        <f t="shared" si="6"/>
        <v>0</v>
      </c>
      <c r="Z10" s="754">
        <f t="shared" si="6"/>
        <v>0</v>
      </c>
      <c r="AA10" s="754">
        <f t="shared" si="6"/>
        <v>0</v>
      </c>
      <c r="AB10" s="754">
        <f t="shared" si="6"/>
        <v>0</v>
      </c>
      <c r="AC10" s="754">
        <f t="shared" si="6"/>
        <v>0</v>
      </c>
      <c r="AD10" s="754">
        <f t="shared" si="6"/>
        <v>0</v>
      </c>
      <c r="AE10" s="754">
        <f t="shared" si="6"/>
        <v>0</v>
      </c>
      <c r="AF10" s="754">
        <f t="shared" si="6"/>
        <v>0</v>
      </c>
      <c r="AG10" s="754">
        <f t="shared" si="6"/>
        <v>0</v>
      </c>
      <c r="AH10" s="754">
        <f t="shared" si="6"/>
        <v>0</v>
      </c>
      <c r="AI10" s="754">
        <f t="shared" si="6"/>
        <v>0</v>
      </c>
      <c r="AJ10" s="754">
        <f t="shared" si="6"/>
        <v>0</v>
      </c>
      <c r="AK10" s="754">
        <f t="shared" si="6"/>
        <v>0</v>
      </c>
      <c r="AL10" s="754">
        <f t="shared" si="6"/>
        <v>0</v>
      </c>
      <c r="AM10" s="754">
        <f t="shared" si="6"/>
        <v>0</v>
      </c>
      <c r="AN10" s="754">
        <f t="shared" si="6"/>
        <v>0</v>
      </c>
      <c r="AO10" s="754">
        <f t="shared" si="6"/>
        <v>0</v>
      </c>
      <c r="AP10" s="754">
        <f t="shared" si="6"/>
        <v>0</v>
      </c>
      <c r="AQ10" s="754">
        <f t="shared" si="6"/>
        <v>0</v>
      </c>
    </row>
    <row r="11" spans="1:43" ht="18" customHeight="1" x14ac:dyDescent="0.15">
      <c r="A11" s="285"/>
      <c r="B11" s="287" t="str">
        <f>'主表1（成本）'!A9</f>
        <v>集团-股东借款</v>
      </c>
      <c r="C11" s="286"/>
      <c r="D11" s="293"/>
      <c r="E11" s="754">
        <f t="shared" ref="E11:AQ11" si="7">D11+D16-D21</f>
        <v>0</v>
      </c>
      <c r="F11" s="754">
        <f t="shared" si="7"/>
        <v>0</v>
      </c>
      <c r="G11" s="754">
        <f t="shared" si="7"/>
        <v>0</v>
      </c>
      <c r="H11" s="754">
        <f t="shared" si="7"/>
        <v>0</v>
      </c>
      <c r="I11" s="754">
        <f t="shared" si="7"/>
        <v>0</v>
      </c>
      <c r="J11" s="754">
        <f t="shared" si="7"/>
        <v>0</v>
      </c>
      <c r="K11" s="754">
        <f t="shared" si="7"/>
        <v>0</v>
      </c>
      <c r="L11" s="754">
        <f t="shared" si="7"/>
        <v>0</v>
      </c>
      <c r="M11" s="754">
        <f t="shared" si="7"/>
        <v>0</v>
      </c>
      <c r="N11" s="754">
        <f t="shared" si="7"/>
        <v>0</v>
      </c>
      <c r="O11" s="754">
        <f t="shared" si="7"/>
        <v>0</v>
      </c>
      <c r="P11" s="754">
        <f t="shared" si="7"/>
        <v>0</v>
      </c>
      <c r="Q11" s="754">
        <f t="shared" si="7"/>
        <v>0</v>
      </c>
      <c r="R11" s="754">
        <f t="shared" si="7"/>
        <v>0</v>
      </c>
      <c r="S11" s="754">
        <f t="shared" si="7"/>
        <v>0</v>
      </c>
      <c r="T11" s="754">
        <f t="shared" si="7"/>
        <v>0</v>
      </c>
      <c r="U11" s="754">
        <f t="shared" si="7"/>
        <v>0</v>
      </c>
      <c r="V11" s="754">
        <f t="shared" si="7"/>
        <v>0</v>
      </c>
      <c r="W11" s="754">
        <f t="shared" si="7"/>
        <v>0</v>
      </c>
      <c r="X11" s="754">
        <f t="shared" si="7"/>
        <v>0</v>
      </c>
      <c r="Y11" s="754">
        <f t="shared" si="7"/>
        <v>0</v>
      </c>
      <c r="Z11" s="754">
        <f t="shared" si="7"/>
        <v>0</v>
      </c>
      <c r="AA11" s="754">
        <f t="shared" si="7"/>
        <v>0</v>
      </c>
      <c r="AB11" s="754">
        <f t="shared" si="7"/>
        <v>0</v>
      </c>
      <c r="AC11" s="754">
        <f t="shared" si="7"/>
        <v>0</v>
      </c>
      <c r="AD11" s="754">
        <f t="shared" si="7"/>
        <v>0</v>
      </c>
      <c r="AE11" s="754">
        <f t="shared" si="7"/>
        <v>0</v>
      </c>
      <c r="AF11" s="754">
        <f t="shared" si="7"/>
        <v>0</v>
      </c>
      <c r="AG11" s="754">
        <f t="shared" si="7"/>
        <v>0</v>
      </c>
      <c r="AH11" s="754">
        <f t="shared" si="7"/>
        <v>0</v>
      </c>
      <c r="AI11" s="754">
        <f t="shared" si="7"/>
        <v>0</v>
      </c>
      <c r="AJ11" s="754">
        <f t="shared" si="7"/>
        <v>0</v>
      </c>
      <c r="AK11" s="754">
        <f t="shared" si="7"/>
        <v>0</v>
      </c>
      <c r="AL11" s="754">
        <f t="shared" si="7"/>
        <v>0</v>
      </c>
      <c r="AM11" s="754">
        <f t="shared" si="7"/>
        <v>0</v>
      </c>
      <c r="AN11" s="754">
        <f t="shared" si="7"/>
        <v>0</v>
      </c>
      <c r="AO11" s="754">
        <f t="shared" si="7"/>
        <v>0</v>
      </c>
      <c r="AP11" s="754">
        <f t="shared" si="7"/>
        <v>0</v>
      </c>
      <c r="AQ11" s="754">
        <f t="shared" si="7"/>
        <v>0</v>
      </c>
    </row>
    <row r="12" spans="1:43" ht="18" customHeight="1" x14ac:dyDescent="0.15">
      <c r="A12" s="285"/>
      <c r="B12" s="287" t="str">
        <f>'主表1（成本）'!A10</f>
        <v>银行-开发贷</v>
      </c>
      <c r="C12" s="286"/>
      <c r="D12" s="293"/>
      <c r="E12" s="754">
        <f t="shared" ref="E12:AQ12" si="8">D12+D17-D22</f>
        <v>0</v>
      </c>
      <c r="F12" s="754">
        <f t="shared" si="8"/>
        <v>0</v>
      </c>
      <c r="G12" s="754">
        <f t="shared" si="8"/>
        <v>0</v>
      </c>
      <c r="H12" s="754">
        <f t="shared" si="8"/>
        <v>0</v>
      </c>
      <c r="I12" s="754">
        <f t="shared" si="8"/>
        <v>0</v>
      </c>
      <c r="J12" s="754">
        <f t="shared" si="8"/>
        <v>0</v>
      </c>
      <c r="K12" s="754">
        <f t="shared" si="8"/>
        <v>0</v>
      </c>
      <c r="L12" s="754">
        <f t="shared" si="8"/>
        <v>0</v>
      </c>
      <c r="M12" s="754">
        <f t="shared" si="8"/>
        <v>0</v>
      </c>
      <c r="N12" s="754">
        <f t="shared" si="8"/>
        <v>0</v>
      </c>
      <c r="O12" s="754">
        <f t="shared" si="8"/>
        <v>0</v>
      </c>
      <c r="P12" s="754">
        <f t="shared" si="8"/>
        <v>0</v>
      </c>
      <c r="Q12" s="754">
        <f t="shared" si="8"/>
        <v>0</v>
      </c>
      <c r="R12" s="754">
        <f t="shared" si="8"/>
        <v>0</v>
      </c>
      <c r="S12" s="754">
        <f t="shared" si="8"/>
        <v>0</v>
      </c>
      <c r="T12" s="754">
        <f t="shared" si="8"/>
        <v>0</v>
      </c>
      <c r="U12" s="754">
        <f t="shared" si="8"/>
        <v>0</v>
      </c>
      <c r="V12" s="754">
        <f t="shared" si="8"/>
        <v>0</v>
      </c>
      <c r="W12" s="754">
        <f t="shared" si="8"/>
        <v>0</v>
      </c>
      <c r="X12" s="754">
        <f t="shared" si="8"/>
        <v>0</v>
      </c>
      <c r="Y12" s="754">
        <f t="shared" si="8"/>
        <v>0</v>
      </c>
      <c r="Z12" s="754">
        <f t="shared" si="8"/>
        <v>0</v>
      </c>
      <c r="AA12" s="754">
        <f t="shared" si="8"/>
        <v>0</v>
      </c>
      <c r="AB12" s="754">
        <f t="shared" si="8"/>
        <v>0</v>
      </c>
      <c r="AC12" s="754">
        <f t="shared" si="8"/>
        <v>0</v>
      </c>
      <c r="AD12" s="754">
        <f t="shared" si="8"/>
        <v>0</v>
      </c>
      <c r="AE12" s="754">
        <f t="shared" si="8"/>
        <v>0</v>
      </c>
      <c r="AF12" s="754">
        <f t="shared" si="8"/>
        <v>0</v>
      </c>
      <c r="AG12" s="754">
        <f t="shared" si="8"/>
        <v>0</v>
      </c>
      <c r="AH12" s="754">
        <f t="shared" si="8"/>
        <v>0</v>
      </c>
      <c r="AI12" s="754">
        <f t="shared" si="8"/>
        <v>0</v>
      </c>
      <c r="AJ12" s="754">
        <f t="shared" si="8"/>
        <v>0</v>
      </c>
      <c r="AK12" s="754">
        <f t="shared" si="8"/>
        <v>0</v>
      </c>
      <c r="AL12" s="754">
        <f t="shared" si="8"/>
        <v>0</v>
      </c>
      <c r="AM12" s="754">
        <f t="shared" si="8"/>
        <v>0</v>
      </c>
      <c r="AN12" s="754">
        <f t="shared" si="8"/>
        <v>0</v>
      </c>
      <c r="AO12" s="754">
        <f t="shared" si="8"/>
        <v>0</v>
      </c>
      <c r="AP12" s="754">
        <f t="shared" si="8"/>
        <v>0</v>
      </c>
      <c r="AQ12" s="754">
        <f t="shared" si="8"/>
        <v>0</v>
      </c>
    </row>
    <row r="13" spans="1:43" ht="18" customHeight="1" x14ac:dyDescent="0.15">
      <c r="A13" s="285"/>
      <c r="B13" s="287" t="s">
        <v>469</v>
      </c>
      <c r="C13" s="286"/>
      <c r="D13" s="293"/>
      <c r="E13" s="754">
        <f t="shared" ref="E13:AQ13" si="9">D13+D18-D23</f>
        <v>0</v>
      </c>
      <c r="F13" s="754">
        <f t="shared" si="9"/>
        <v>0</v>
      </c>
      <c r="G13" s="754">
        <f t="shared" si="9"/>
        <v>0</v>
      </c>
      <c r="H13" s="754">
        <f t="shared" si="9"/>
        <v>0</v>
      </c>
      <c r="I13" s="754">
        <f t="shared" si="9"/>
        <v>0</v>
      </c>
      <c r="J13" s="754">
        <f t="shared" si="9"/>
        <v>0</v>
      </c>
      <c r="K13" s="754">
        <f t="shared" si="9"/>
        <v>0</v>
      </c>
      <c r="L13" s="754">
        <f t="shared" si="9"/>
        <v>0</v>
      </c>
      <c r="M13" s="754">
        <f t="shared" si="9"/>
        <v>0</v>
      </c>
      <c r="N13" s="754">
        <f t="shared" si="9"/>
        <v>0</v>
      </c>
      <c r="O13" s="754">
        <f t="shared" si="9"/>
        <v>0</v>
      </c>
      <c r="P13" s="754">
        <f t="shared" si="9"/>
        <v>0</v>
      </c>
      <c r="Q13" s="754">
        <f t="shared" si="9"/>
        <v>0</v>
      </c>
      <c r="R13" s="754">
        <f t="shared" si="9"/>
        <v>0</v>
      </c>
      <c r="S13" s="754">
        <f t="shared" si="9"/>
        <v>0</v>
      </c>
      <c r="T13" s="754">
        <f t="shared" si="9"/>
        <v>0</v>
      </c>
      <c r="U13" s="754">
        <f t="shared" si="9"/>
        <v>0</v>
      </c>
      <c r="V13" s="754">
        <f t="shared" si="9"/>
        <v>0</v>
      </c>
      <c r="W13" s="754">
        <f t="shared" si="9"/>
        <v>0</v>
      </c>
      <c r="X13" s="754">
        <f t="shared" si="9"/>
        <v>0</v>
      </c>
      <c r="Y13" s="754">
        <f t="shared" si="9"/>
        <v>0</v>
      </c>
      <c r="Z13" s="754">
        <f t="shared" si="9"/>
        <v>0</v>
      </c>
      <c r="AA13" s="754">
        <f t="shared" si="9"/>
        <v>0</v>
      </c>
      <c r="AB13" s="754">
        <f t="shared" si="9"/>
        <v>0</v>
      </c>
      <c r="AC13" s="754">
        <f t="shared" si="9"/>
        <v>0</v>
      </c>
      <c r="AD13" s="754">
        <f t="shared" si="9"/>
        <v>0</v>
      </c>
      <c r="AE13" s="754">
        <f t="shared" si="9"/>
        <v>0</v>
      </c>
      <c r="AF13" s="754">
        <f t="shared" si="9"/>
        <v>0</v>
      </c>
      <c r="AG13" s="754">
        <f t="shared" si="9"/>
        <v>0</v>
      </c>
      <c r="AH13" s="754">
        <f t="shared" si="9"/>
        <v>0</v>
      </c>
      <c r="AI13" s="754">
        <f t="shared" si="9"/>
        <v>0</v>
      </c>
      <c r="AJ13" s="754">
        <f t="shared" si="9"/>
        <v>0</v>
      </c>
      <c r="AK13" s="754">
        <f t="shared" si="9"/>
        <v>0</v>
      </c>
      <c r="AL13" s="754">
        <f t="shared" si="9"/>
        <v>0</v>
      </c>
      <c r="AM13" s="754">
        <f t="shared" si="9"/>
        <v>0</v>
      </c>
      <c r="AN13" s="754">
        <f t="shared" si="9"/>
        <v>0</v>
      </c>
      <c r="AO13" s="754">
        <f t="shared" si="9"/>
        <v>0</v>
      </c>
      <c r="AP13" s="754">
        <f t="shared" si="9"/>
        <v>0</v>
      </c>
      <c r="AQ13" s="754">
        <f t="shared" si="9"/>
        <v>0</v>
      </c>
    </row>
    <row r="14" spans="1:43" ht="18" customHeight="1" x14ac:dyDescent="0.15">
      <c r="A14" s="288">
        <v>3</v>
      </c>
      <c r="B14" s="291" t="s">
        <v>473</v>
      </c>
      <c r="C14" s="292">
        <f>SUM(C15:C18)</f>
        <v>121660</v>
      </c>
      <c r="D14" s="292">
        <f>SUM(D15:D18)</f>
        <v>0</v>
      </c>
      <c r="E14" s="292">
        <f>SUM(E15:E18)</f>
        <v>110000</v>
      </c>
      <c r="F14" s="292">
        <f t="shared" ref="F14:AQ14" si="10">SUM(F15:F18)</f>
        <v>11660</v>
      </c>
      <c r="G14" s="292">
        <f t="shared" si="10"/>
        <v>0</v>
      </c>
      <c r="H14" s="292">
        <f t="shared" si="10"/>
        <v>0</v>
      </c>
      <c r="I14" s="292">
        <f t="shared" si="10"/>
        <v>0</v>
      </c>
      <c r="J14" s="292">
        <f t="shared" si="10"/>
        <v>0</v>
      </c>
      <c r="K14" s="292">
        <f t="shared" si="10"/>
        <v>0</v>
      </c>
      <c r="L14" s="292">
        <f t="shared" si="10"/>
        <v>0</v>
      </c>
      <c r="M14" s="292">
        <f t="shared" si="10"/>
        <v>0</v>
      </c>
      <c r="N14" s="292">
        <f t="shared" si="10"/>
        <v>0</v>
      </c>
      <c r="O14" s="292">
        <f t="shared" si="10"/>
        <v>0</v>
      </c>
      <c r="P14" s="292">
        <f t="shared" si="10"/>
        <v>0</v>
      </c>
      <c r="Q14" s="292">
        <f t="shared" si="10"/>
        <v>0</v>
      </c>
      <c r="R14" s="292">
        <f t="shared" si="10"/>
        <v>0</v>
      </c>
      <c r="S14" s="292">
        <f t="shared" si="10"/>
        <v>0</v>
      </c>
      <c r="T14" s="292">
        <f t="shared" si="10"/>
        <v>0</v>
      </c>
      <c r="U14" s="292">
        <f t="shared" si="10"/>
        <v>0</v>
      </c>
      <c r="V14" s="292">
        <f t="shared" si="10"/>
        <v>0</v>
      </c>
      <c r="W14" s="292">
        <f t="shared" si="10"/>
        <v>0</v>
      </c>
      <c r="X14" s="292">
        <f t="shared" ref="X14:AE14" si="11">SUM(X15:X18)</f>
        <v>0</v>
      </c>
      <c r="Y14" s="292">
        <f t="shared" si="11"/>
        <v>0</v>
      </c>
      <c r="Z14" s="292">
        <f t="shared" si="11"/>
        <v>0</v>
      </c>
      <c r="AA14" s="292">
        <f t="shared" si="11"/>
        <v>0</v>
      </c>
      <c r="AB14" s="292">
        <f t="shared" si="11"/>
        <v>0</v>
      </c>
      <c r="AC14" s="292">
        <f t="shared" si="11"/>
        <v>0</v>
      </c>
      <c r="AD14" s="292">
        <f t="shared" si="11"/>
        <v>0</v>
      </c>
      <c r="AE14" s="292">
        <f t="shared" si="11"/>
        <v>0</v>
      </c>
      <c r="AF14" s="292">
        <f t="shared" ref="AF14:AM14" si="12">SUM(AF15:AF18)</f>
        <v>0</v>
      </c>
      <c r="AG14" s="292">
        <f t="shared" si="12"/>
        <v>0</v>
      </c>
      <c r="AH14" s="292">
        <f t="shared" si="12"/>
        <v>0</v>
      </c>
      <c r="AI14" s="292">
        <f t="shared" si="12"/>
        <v>0</v>
      </c>
      <c r="AJ14" s="292">
        <f t="shared" si="12"/>
        <v>0</v>
      </c>
      <c r="AK14" s="292">
        <f t="shared" si="12"/>
        <v>0</v>
      </c>
      <c r="AL14" s="292">
        <f t="shared" si="12"/>
        <v>0</v>
      </c>
      <c r="AM14" s="292">
        <f t="shared" si="12"/>
        <v>0</v>
      </c>
      <c r="AN14" s="292">
        <f t="shared" si="10"/>
        <v>0</v>
      </c>
      <c r="AO14" s="292">
        <f t="shared" si="10"/>
        <v>0</v>
      </c>
      <c r="AP14" s="292">
        <f t="shared" si="10"/>
        <v>0</v>
      </c>
      <c r="AQ14" s="292">
        <f t="shared" si="10"/>
        <v>0</v>
      </c>
    </row>
    <row r="15" spans="1:43" ht="18" customHeight="1" x14ac:dyDescent="0.15">
      <c r="A15" s="285"/>
      <c r="B15" s="287" t="str">
        <f>B10</f>
        <v>信托-股东借款</v>
      </c>
      <c r="C15" s="286">
        <f>SUM(D15:AQ15)</f>
        <v>121660</v>
      </c>
      <c r="D15" s="293"/>
      <c r="E15" s="293">
        <v>110000</v>
      </c>
      <c r="F15" s="293">
        <f>基础数据!D13-'主表6（负债偿还预测）'!E15</f>
        <v>11660</v>
      </c>
      <c r="G15" s="293"/>
      <c r="H15" s="293"/>
      <c r="I15" s="293"/>
      <c r="J15" s="293"/>
      <c r="K15" s="293"/>
      <c r="L15" s="293"/>
      <c r="M15" s="293"/>
      <c r="N15" s="293"/>
      <c r="O15" s="293"/>
      <c r="P15" s="293"/>
      <c r="Q15" s="293"/>
      <c r="R15" s="293"/>
      <c r="S15" s="293"/>
      <c r="T15" s="293"/>
      <c r="U15" s="293"/>
      <c r="V15" s="293"/>
      <c r="W15" s="293"/>
      <c r="X15" s="293"/>
      <c r="Y15" s="293"/>
      <c r="Z15" s="293"/>
      <c r="AA15" s="293"/>
      <c r="AB15" s="293"/>
      <c r="AC15" s="293"/>
      <c r="AD15" s="293"/>
      <c r="AE15" s="293"/>
      <c r="AF15" s="293"/>
      <c r="AG15" s="293"/>
      <c r="AH15" s="293"/>
      <c r="AI15" s="293"/>
      <c r="AJ15" s="293"/>
      <c r="AK15" s="293"/>
      <c r="AL15" s="293"/>
      <c r="AM15" s="293"/>
      <c r="AN15" s="293"/>
      <c r="AO15" s="293"/>
      <c r="AP15" s="293"/>
      <c r="AQ15" s="293"/>
    </row>
    <row r="16" spans="1:43" ht="18" customHeight="1" x14ac:dyDescent="0.15">
      <c r="A16" s="285"/>
      <c r="B16" s="287" t="str">
        <f>B11</f>
        <v>集团-股东借款</v>
      </c>
      <c r="C16" s="286">
        <f>SUM(D16:AQ16)</f>
        <v>0</v>
      </c>
      <c r="D16" s="293"/>
      <c r="E16" s="293"/>
      <c r="F16" s="293"/>
      <c r="G16" s="293"/>
      <c r="H16" s="293"/>
      <c r="I16" s="293"/>
      <c r="J16" s="293"/>
      <c r="K16" s="293"/>
      <c r="L16" s="293"/>
      <c r="M16" s="293"/>
      <c r="N16" s="293"/>
      <c r="O16" s="293"/>
      <c r="P16" s="293"/>
      <c r="Q16" s="293"/>
      <c r="R16" s="293"/>
      <c r="S16" s="293"/>
      <c r="T16" s="293"/>
      <c r="U16" s="293"/>
      <c r="V16" s="293"/>
      <c r="W16" s="293"/>
      <c r="X16" s="293"/>
      <c r="Y16" s="293"/>
      <c r="Z16" s="293"/>
      <c r="AA16" s="293"/>
      <c r="AB16" s="293"/>
      <c r="AC16" s="293"/>
      <c r="AD16" s="293"/>
      <c r="AE16" s="293"/>
      <c r="AF16" s="293"/>
      <c r="AG16" s="293"/>
      <c r="AH16" s="293"/>
      <c r="AI16" s="293"/>
      <c r="AJ16" s="293"/>
      <c r="AK16" s="293"/>
      <c r="AL16" s="293"/>
      <c r="AM16" s="293"/>
      <c r="AN16" s="293"/>
      <c r="AO16" s="293"/>
      <c r="AP16" s="293"/>
      <c r="AQ16" s="293"/>
    </row>
    <row r="17" spans="1:43" ht="18" customHeight="1" x14ac:dyDescent="0.15">
      <c r="A17" s="285"/>
      <c r="B17" s="287" t="str">
        <f>B12</f>
        <v>银行-开发贷</v>
      </c>
      <c r="C17" s="286">
        <f>SUM(D17:AQ17)</f>
        <v>0</v>
      </c>
      <c r="D17" s="293"/>
      <c r="E17" s="293"/>
      <c r="F17" s="293"/>
      <c r="G17" s="293"/>
      <c r="H17" s="293"/>
      <c r="I17" s="293"/>
      <c r="J17" s="293"/>
      <c r="K17" s="293"/>
      <c r="L17" s="293"/>
      <c r="M17" s="293"/>
      <c r="N17" s="293"/>
      <c r="O17" s="293"/>
      <c r="P17" s="293"/>
      <c r="Q17" s="293"/>
      <c r="R17" s="293"/>
      <c r="S17" s="293"/>
      <c r="T17" s="293"/>
      <c r="U17" s="293"/>
      <c r="V17" s="293"/>
      <c r="W17" s="293"/>
      <c r="X17" s="293"/>
      <c r="Y17" s="293"/>
      <c r="Z17" s="293"/>
      <c r="AA17" s="293"/>
      <c r="AB17" s="293"/>
      <c r="AC17" s="293"/>
      <c r="AD17" s="293"/>
      <c r="AE17" s="293"/>
      <c r="AF17" s="293"/>
      <c r="AG17" s="293"/>
      <c r="AH17" s="293"/>
      <c r="AI17" s="293"/>
      <c r="AJ17" s="293"/>
      <c r="AK17" s="293"/>
      <c r="AL17" s="293"/>
      <c r="AM17" s="293"/>
      <c r="AN17" s="293"/>
      <c r="AO17" s="293"/>
      <c r="AP17" s="293"/>
      <c r="AQ17" s="293"/>
    </row>
    <row r="18" spans="1:43" ht="18" customHeight="1" x14ac:dyDescent="0.15">
      <c r="A18" s="285"/>
      <c r="B18" s="287" t="str">
        <f>B13</f>
        <v>其他</v>
      </c>
      <c r="C18" s="286">
        <f>SUM(D18:AQ18)</f>
        <v>0</v>
      </c>
      <c r="D18" s="293"/>
      <c r="E18" s="293"/>
      <c r="F18" s="293"/>
      <c r="G18" s="293"/>
      <c r="H18" s="293"/>
      <c r="I18" s="293"/>
      <c r="J18" s="293"/>
      <c r="K18" s="293"/>
      <c r="L18" s="293"/>
      <c r="M18" s="293"/>
      <c r="N18" s="293"/>
      <c r="O18" s="293"/>
      <c r="P18" s="293"/>
      <c r="Q18" s="293"/>
      <c r="R18" s="293"/>
      <c r="S18" s="293"/>
      <c r="T18" s="293"/>
      <c r="U18" s="293"/>
      <c r="V18" s="293"/>
      <c r="W18" s="293"/>
      <c r="X18" s="293"/>
      <c r="Y18" s="293"/>
      <c r="Z18" s="293"/>
      <c r="AA18" s="293"/>
      <c r="AB18" s="293"/>
      <c r="AC18" s="293"/>
      <c r="AD18" s="293"/>
      <c r="AE18" s="293"/>
      <c r="AF18" s="293"/>
      <c r="AG18" s="293"/>
      <c r="AH18" s="293"/>
      <c r="AI18" s="293"/>
      <c r="AJ18" s="293"/>
      <c r="AK18" s="293"/>
      <c r="AL18" s="293"/>
      <c r="AM18" s="293"/>
      <c r="AN18" s="293"/>
      <c r="AO18" s="293"/>
      <c r="AP18" s="293"/>
      <c r="AQ18" s="293"/>
    </row>
    <row r="19" spans="1:43" ht="18" customHeight="1" x14ac:dyDescent="0.15">
      <c r="A19" s="288">
        <v>4</v>
      </c>
      <c r="B19" s="291" t="s">
        <v>472</v>
      </c>
      <c r="C19" s="292">
        <f>SUM(C20:C23)</f>
        <v>121660</v>
      </c>
      <c r="D19" s="292">
        <f>SUM(D20:D23)</f>
        <v>0</v>
      </c>
      <c r="E19" s="292">
        <f t="shared" ref="E19:AN19" si="13">SUM(E20:E23)</f>
        <v>0</v>
      </c>
      <c r="F19" s="292">
        <f t="shared" si="13"/>
        <v>0</v>
      </c>
      <c r="G19" s="292">
        <f t="shared" si="13"/>
        <v>24000</v>
      </c>
      <c r="H19" s="292">
        <f t="shared" si="13"/>
        <v>32000</v>
      </c>
      <c r="I19" s="292">
        <f t="shared" si="13"/>
        <v>45000</v>
      </c>
      <c r="J19" s="292">
        <f t="shared" si="13"/>
        <v>20660</v>
      </c>
      <c r="K19" s="292">
        <f t="shared" si="13"/>
        <v>0</v>
      </c>
      <c r="L19" s="292">
        <f t="shared" si="13"/>
        <v>0</v>
      </c>
      <c r="M19" s="292">
        <f t="shared" si="13"/>
        <v>0</v>
      </c>
      <c r="N19" s="292">
        <f t="shared" si="13"/>
        <v>0</v>
      </c>
      <c r="O19" s="292">
        <f t="shared" si="13"/>
        <v>0</v>
      </c>
      <c r="P19" s="292">
        <f t="shared" si="13"/>
        <v>0</v>
      </c>
      <c r="Q19" s="292">
        <f t="shared" si="13"/>
        <v>0</v>
      </c>
      <c r="R19" s="292">
        <f t="shared" si="13"/>
        <v>0</v>
      </c>
      <c r="S19" s="292">
        <f t="shared" si="13"/>
        <v>0</v>
      </c>
      <c r="T19" s="292">
        <f t="shared" si="13"/>
        <v>0</v>
      </c>
      <c r="U19" s="292">
        <f t="shared" si="13"/>
        <v>0</v>
      </c>
      <c r="V19" s="292">
        <f t="shared" si="13"/>
        <v>0</v>
      </c>
      <c r="W19" s="292">
        <f t="shared" si="13"/>
        <v>0</v>
      </c>
      <c r="X19" s="292">
        <f t="shared" ref="X19:AE19" si="14">SUM(X20:X23)</f>
        <v>0</v>
      </c>
      <c r="Y19" s="292">
        <f t="shared" si="14"/>
        <v>0</v>
      </c>
      <c r="Z19" s="292">
        <f t="shared" si="14"/>
        <v>0</v>
      </c>
      <c r="AA19" s="292">
        <f t="shared" si="14"/>
        <v>0</v>
      </c>
      <c r="AB19" s="292">
        <f t="shared" si="14"/>
        <v>0</v>
      </c>
      <c r="AC19" s="292">
        <f t="shared" si="14"/>
        <v>0</v>
      </c>
      <c r="AD19" s="292">
        <f t="shared" si="14"/>
        <v>0</v>
      </c>
      <c r="AE19" s="292">
        <f t="shared" si="14"/>
        <v>0</v>
      </c>
      <c r="AF19" s="292">
        <f t="shared" ref="AF19:AM19" si="15">SUM(AF20:AF23)</f>
        <v>0</v>
      </c>
      <c r="AG19" s="292">
        <f t="shared" si="15"/>
        <v>0</v>
      </c>
      <c r="AH19" s="292">
        <f t="shared" si="15"/>
        <v>0</v>
      </c>
      <c r="AI19" s="292">
        <f t="shared" si="15"/>
        <v>0</v>
      </c>
      <c r="AJ19" s="292">
        <f t="shared" si="15"/>
        <v>0</v>
      </c>
      <c r="AK19" s="292">
        <f t="shared" si="15"/>
        <v>0</v>
      </c>
      <c r="AL19" s="292">
        <f t="shared" si="15"/>
        <v>0</v>
      </c>
      <c r="AM19" s="292">
        <f t="shared" si="15"/>
        <v>0</v>
      </c>
      <c r="AN19" s="292">
        <f t="shared" si="13"/>
        <v>0</v>
      </c>
      <c r="AO19" s="292">
        <f>SUM(AO20:AO23)</f>
        <v>0</v>
      </c>
      <c r="AP19" s="292">
        <f>SUM(AP20:AP23)</f>
        <v>0</v>
      </c>
      <c r="AQ19" s="292">
        <f>SUM(AQ20:AQ23)</f>
        <v>0</v>
      </c>
    </row>
    <row r="20" spans="1:43" ht="18" customHeight="1" x14ac:dyDescent="0.15">
      <c r="A20" s="285"/>
      <c r="B20" s="287" t="str">
        <f>B10</f>
        <v>信托-股东借款</v>
      </c>
      <c r="C20" s="286">
        <f>SUM(D20:AQ20)</f>
        <v>121660</v>
      </c>
      <c r="D20" s="293"/>
      <c r="E20" s="293"/>
      <c r="F20" s="293"/>
      <c r="G20" s="293">
        <v>24000</v>
      </c>
      <c r="H20" s="293">
        <v>32000</v>
      </c>
      <c r="I20" s="293">
        <v>45000</v>
      </c>
      <c r="J20" s="293">
        <f>C15-H20-G20-I20</f>
        <v>20660</v>
      </c>
      <c r="K20" s="293"/>
      <c r="L20" s="293"/>
      <c r="M20" s="293"/>
      <c r="N20" s="293"/>
      <c r="O20" s="293"/>
      <c r="P20" s="293"/>
      <c r="Q20" s="293"/>
      <c r="R20" s="293"/>
      <c r="S20" s="293"/>
      <c r="T20" s="293"/>
      <c r="U20" s="293"/>
      <c r="V20" s="293"/>
      <c r="W20" s="293"/>
      <c r="X20" s="293"/>
      <c r="Y20" s="293"/>
      <c r="Z20" s="293"/>
      <c r="AA20" s="293"/>
      <c r="AB20" s="293"/>
      <c r="AC20" s="293"/>
      <c r="AD20" s="293"/>
      <c r="AE20" s="293"/>
      <c r="AF20" s="293"/>
      <c r="AG20" s="293"/>
      <c r="AH20" s="293"/>
      <c r="AI20" s="293"/>
      <c r="AJ20" s="293"/>
      <c r="AK20" s="293"/>
      <c r="AL20" s="293"/>
      <c r="AM20" s="293"/>
      <c r="AN20" s="293"/>
      <c r="AO20" s="293"/>
      <c r="AP20" s="293"/>
      <c r="AQ20" s="293"/>
    </row>
    <row r="21" spans="1:43" ht="18" customHeight="1" x14ac:dyDescent="0.15">
      <c r="A21" s="285"/>
      <c r="B21" s="287" t="str">
        <f>B11</f>
        <v>集团-股东借款</v>
      </c>
      <c r="C21" s="286">
        <f>SUM(D21:AQ21)</f>
        <v>0</v>
      </c>
      <c r="D21" s="293"/>
      <c r="E21" s="293"/>
      <c r="F21" s="293"/>
      <c r="G21" s="293"/>
      <c r="H21" s="293"/>
      <c r="I21" s="293"/>
      <c r="J21" s="293"/>
      <c r="K21" s="293"/>
      <c r="L21" s="293"/>
      <c r="M21" s="293"/>
      <c r="N21" s="293"/>
      <c r="O21" s="293"/>
      <c r="P21" s="293"/>
      <c r="Q21" s="293"/>
      <c r="R21" s="293"/>
      <c r="S21" s="293"/>
      <c r="T21" s="293"/>
      <c r="U21" s="293"/>
      <c r="V21" s="293"/>
      <c r="W21" s="293"/>
      <c r="X21" s="293"/>
      <c r="Y21" s="293"/>
      <c r="Z21" s="293"/>
      <c r="AA21" s="293"/>
      <c r="AB21" s="293"/>
      <c r="AC21" s="293"/>
      <c r="AD21" s="293"/>
      <c r="AE21" s="293"/>
      <c r="AF21" s="293"/>
      <c r="AG21" s="293"/>
      <c r="AH21" s="293"/>
      <c r="AI21" s="293"/>
      <c r="AJ21" s="293"/>
      <c r="AK21" s="293"/>
      <c r="AL21" s="293"/>
      <c r="AM21" s="293"/>
      <c r="AN21" s="293"/>
      <c r="AO21" s="293"/>
      <c r="AP21" s="293"/>
      <c r="AQ21" s="293"/>
    </row>
    <row r="22" spans="1:43" ht="18" customHeight="1" x14ac:dyDescent="0.15">
      <c r="A22" s="285"/>
      <c r="B22" s="287" t="str">
        <f>B12</f>
        <v>银行-开发贷</v>
      </c>
      <c r="C22" s="286">
        <f>SUM(D22:AQ22)</f>
        <v>0</v>
      </c>
      <c r="D22" s="293"/>
      <c r="E22" s="293"/>
      <c r="F22" s="293"/>
      <c r="G22" s="293"/>
      <c r="H22" s="293"/>
      <c r="I22" s="293"/>
      <c r="J22" s="293"/>
      <c r="K22" s="293"/>
      <c r="L22" s="293"/>
      <c r="M22" s="293"/>
      <c r="N22" s="293"/>
      <c r="O22" s="293"/>
      <c r="P22" s="293"/>
      <c r="Q22" s="293"/>
      <c r="R22" s="293"/>
      <c r="S22" s="293"/>
      <c r="T22" s="293"/>
      <c r="U22" s="293"/>
      <c r="V22" s="293"/>
      <c r="W22" s="293"/>
      <c r="X22" s="293"/>
      <c r="Y22" s="293"/>
      <c r="Z22" s="293"/>
      <c r="AA22" s="293"/>
      <c r="AB22" s="293"/>
      <c r="AC22" s="293"/>
      <c r="AD22" s="293"/>
      <c r="AE22" s="293"/>
      <c r="AF22" s="293"/>
      <c r="AG22" s="293"/>
      <c r="AH22" s="293"/>
      <c r="AI22" s="293"/>
      <c r="AJ22" s="293"/>
      <c r="AK22" s="293"/>
      <c r="AL22" s="293"/>
      <c r="AM22" s="293"/>
      <c r="AN22" s="293"/>
      <c r="AO22" s="293"/>
      <c r="AP22" s="293"/>
      <c r="AQ22" s="293"/>
    </row>
    <row r="23" spans="1:43" ht="18" customHeight="1" x14ac:dyDescent="0.15">
      <c r="A23" s="285"/>
      <c r="B23" s="287" t="str">
        <f>B13</f>
        <v>其他</v>
      </c>
      <c r="C23" s="286">
        <f>SUM(D23:AQ23)</f>
        <v>0</v>
      </c>
      <c r="D23" s="293"/>
      <c r="E23" s="293"/>
      <c r="F23" s="293"/>
      <c r="G23" s="293"/>
      <c r="H23" s="293"/>
      <c r="I23" s="293"/>
      <c r="J23" s="293"/>
      <c r="K23" s="293"/>
      <c r="L23" s="293"/>
      <c r="M23" s="293"/>
      <c r="N23" s="293"/>
      <c r="O23" s="293"/>
      <c r="P23" s="293"/>
      <c r="Q23" s="293"/>
      <c r="R23" s="293"/>
      <c r="S23" s="293"/>
      <c r="T23" s="293"/>
      <c r="U23" s="293"/>
      <c r="V23" s="293"/>
      <c r="W23" s="293"/>
      <c r="X23" s="293"/>
      <c r="Y23" s="293"/>
      <c r="Z23" s="293"/>
      <c r="AA23" s="293"/>
      <c r="AB23" s="293"/>
      <c r="AC23" s="293"/>
      <c r="AD23" s="293"/>
      <c r="AE23" s="293"/>
      <c r="AF23" s="293"/>
      <c r="AG23" s="293"/>
      <c r="AH23" s="293"/>
      <c r="AI23" s="293"/>
      <c r="AJ23" s="293"/>
      <c r="AK23" s="293"/>
      <c r="AL23" s="293"/>
      <c r="AM23" s="293"/>
      <c r="AN23" s="293"/>
      <c r="AO23" s="293"/>
      <c r="AP23" s="293"/>
      <c r="AQ23" s="293"/>
    </row>
    <row r="24" spans="1:43" ht="18" customHeight="1" x14ac:dyDescent="0.15">
      <c r="A24" s="288">
        <v>5</v>
      </c>
      <c r="B24" s="291" t="s">
        <v>468</v>
      </c>
      <c r="C24" s="292">
        <f>SUM(C25:C28)</f>
        <v>12470</v>
      </c>
      <c r="D24" s="292">
        <f>SUM(D25:D28)</f>
        <v>0</v>
      </c>
      <c r="E24" s="292">
        <f t="shared" ref="E24:AQ24" si="16">SUM(E25:E28)</f>
        <v>1650</v>
      </c>
      <c r="F24" s="292">
        <f t="shared" si="16"/>
        <v>3475</v>
      </c>
      <c r="G24" s="292">
        <f t="shared" si="16"/>
        <v>3290</v>
      </c>
      <c r="H24" s="292">
        <f t="shared" si="16"/>
        <v>2450</v>
      </c>
      <c r="I24" s="292">
        <f t="shared" si="16"/>
        <v>1295</v>
      </c>
      <c r="J24" s="292">
        <f t="shared" si="16"/>
        <v>310</v>
      </c>
      <c r="K24" s="292">
        <f t="shared" si="16"/>
        <v>0</v>
      </c>
      <c r="L24" s="292">
        <f t="shared" si="16"/>
        <v>0</v>
      </c>
      <c r="M24" s="292">
        <f t="shared" si="16"/>
        <v>0</v>
      </c>
      <c r="N24" s="292">
        <f t="shared" si="16"/>
        <v>0</v>
      </c>
      <c r="O24" s="292">
        <f t="shared" si="16"/>
        <v>0</v>
      </c>
      <c r="P24" s="292">
        <f t="shared" si="16"/>
        <v>0</v>
      </c>
      <c r="Q24" s="292">
        <f t="shared" si="16"/>
        <v>0</v>
      </c>
      <c r="R24" s="292">
        <f t="shared" si="16"/>
        <v>0</v>
      </c>
      <c r="S24" s="292">
        <f t="shared" si="16"/>
        <v>0</v>
      </c>
      <c r="T24" s="292">
        <f t="shared" si="16"/>
        <v>0</v>
      </c>
      <c r="U24" s="292">
        <f t="shared" si="16"/>
        <v>0</v>
      </c>
      <c r="V24" s="292">
        <f t="shared" si="16"/>
        <v>0</v>
      </c>
      <c r="W24" s="292">
        <f t="shared" si="16"/>
        <v>0</v>
      </c>
      <c r="X24" s="292">
        <f t="shared" ref="X24:AE24" si="17">SUM(X25:X28)</f>
        <v>0</v>
      </c>
      <c r="Y24" s="292">
        <f t="shared" si="17"/>
        <v>0</v>
      </c>
      <c r="Z24" s="292">
        <f t="shared" si="17"/>
        <v>0</v>
      </c>
      <c r="AA24" s="292">
        <f t="shared" si="17"/>
        <v>0</v>
      </c>
      <c r="AB24" s="292">
        <f t="shared" si="17"/>
        <v>0</v>
      </c>
      <c r="AC24" s="292">
        <f t="shared" si="17"/>
        <v>0</v>
      </c>
      <c r="AD24" s="292">
        <f t="shared" si="17"/>
        <v>0</v>
      </c>
      <c r="AE24" s="292">
        <f t="shared" si="17"/>
        <v>0</v>
      </c>
      <c r="AF24" s="292">
        <f t="shared" ref="AF24:AM24" si="18">SUM(AF25:AF28)</f>
        <v>0</v>
      </c>
      <c r="AG24" s="292">
        <f t="shared" si="18"/>
        <v>0</v>
      </c>
      <c r="AH24" s="292">
        <f t="shared" si="18"/>
        <v>0</v>
      </c>
      <c r="AI24" s="292">
        <f t="shared" si="18"/>
        <v>0</v>
      </c>
      <c r="AJ24" s="292">
        <f t="shared" si="18"/>
        <v>0</v>
      </c>
      <c r="AK24" s="292">
        <f t="shared" si="18"/>
        <v>0</v>
      </c>
      <c r="AL24" s="292">
        <f t="shared" si="18"/>
        <v>0</v>
      </c>
      <c r="AM24" s="292">
        <f t="shared" si="18"/>
        <v>0</v>
      </c>
      <c r="AN24" s="292">
        <f t="shared" si="16"/>
        <v>0</v>
      </c>
      <c r="AO24" s="292">
        <f t="shared" si="16"/>
        <v>0</v>
      </c>
      <c r="AP24" s="292">
        <f t="shared" si="16"/>
        <v>0</v>
      </c>
      <c r="AQ24" s="292">
        <f t="shared" si="16"/>
        <v>0</v>
      </c>
    </row>
    <row r="25" spans="1:43" ht="18" customHeight="1" x14ac:dyDescent="0.15">
      <c r="A25" s="285"/>
      <c r="B25" s="287" t="str">
        <f>B10</f>
        <v>信托-股东借款</v>
      </c>
      <c r="C25" s="286">
        <f>SUM(D25:AQ25)</f>
        <v>12470</v>
      </c>
      <c r="D25" s="286">
        <f>D10*基础数据!$C$13/4+(D15-D20)*基础数据!$C$13/4/2</f>
        <v>0</v>
      </c>
      <c r="E25" s="286">
        <f>E10*基础数据!$C$13/4+(E15-E20)*基础数据!$C$13/4/2</f>
        <v>1650</v>
      </c>
      <c r="F25" s="286">
        <f>F10*基础数据!$C$13/4+(F15-F20)*基础数据!$C$13/4/2</f>
        <v>3475</v>
      </c>
      <c r="G25" s="286">
        <f>G10*基础数据!$C$13/4+(G15-G20)*基础数据!$C$13/4/2</f>
        <v>3290</v>
      </c>
      <c r="H25" s="286">
        <f>H10*基础数据!$C$13/4+(H15-H20)*基础数据!$C$13/4/2</f>
        <v>2450</v>
      </c>
      <c r="I25" s="286">
        <f>I10*基础数据!$C$13/4+(I15-I20)*基础数据!$C$13/4/2</f>
        <v>1295</v>
      </c>
      <c r="J25" s="286">
        <f>J10*基础数据!$C$13/4+(J15-J20)*基础数据!$C$13/4/2</f>
        <v>310</v>
      </c>
      <c r="K25" s="286">
        <f>K10*基础数据!$C$13/4+(K15-K20)*基础数据!$C$13/4/2</f>
        <v>0</v>
      </c>
      <c r="L25" s="286">
        <f>L10*基础数据!$C$13/4+(L15-L20)*基础数据!$C$13/4/2</f>
        <v>0</v>
      </c>
      <c r="M25" s="286">
        <f>M10*基础数据!$C$13/4+(M15-M20)*基础数据!$C$13/4/2</f>
        <v>0</v>
      </c>
      <c r="N25" s="286">
        <f>N10*基础数据!$C$13/4+(N15-N20)*基础数据!$C$13/4/2</f>
        <v>0</v>
      </c>
      <c r="O25" s="286">
        <f>O10*基础数据!$C$13/4+(O15-O20)*基础数据!$C$13/4/2</f>
        <v>0</v>
      </c>
      <c r="P25" s="286">
        <f>P10*基础数据!$C$13/4+(P15-P20)*基础数据!$C$13/4/2</f>
        <v>0</v>
      </c>
      <c r="Q25" s="286">
        <f>Q10*基础数据!$C$13/4+(Q15-Q20)*基础数据!$C$13/4/2</f>
        <v>0</v>
      </c>
      <c r="R25" s="286">
        <f>R10*基础数据!$C$13/4+(R15-R20)*基础数据!$C$13/4/2</f>
        <v>0</v>
      </c>
      <c r="S25" s="286">
        <f>S10*基础数据!$C$13/4+(S15-S20)*基础数据!$C$13/4/2</f>
        <v>0</v>
      </c>
      <c r="T25" s="286">
        <f>T10*基础数据!$C$13/4+(T15-T20)*基础数据!$C$13/4/2</f>
        <v>0</v>
      </c>
      <c r="U25" s="286">
        <f>U10*基础数据!$C$13/4+(U15-U20)*基础数据!$C$13/4/2</f>
        <v>0</v>
      </c>
      <c r="V25" s="286">
        <f>V10*基础数据!$C$13/4+(V15-V20)*基础数据!$C$13/4/2</f>
        <v>0</v>
      </c>
      <c r="W25" s="286">
        <f>W10*基础数据!$C$13/4+(W15-W20)*基础数据!$C$13/4/2</f>
        <v>0</v>
      </c>
      <c r="X25" s="286">
        <f>X10*基础数据!$C$13/4+(X15-X20)*基础数据!$C$13/4/2</f>
        <v>0</v>
      </c>
      <c r="Y25" s="286">
        <f>Y10*基础数据!$C$13/4+(Y15-Y20)*基础数据!$C$13/4/2</f>
        <v>0</v>
      </c>
      <c r="Z25" s="286">
        <f>Z10*基础数据!$C$13/4+(Z15-Z20)*基础数据!$C$13/4/2</f>
        <v>0</v>
      </c>
      <c r="AA25" s="286">
        <f>AA10*基础数据!$C$13/4+(AA15-AA20)*基础数据!$C$13/4/2</f>
        <v>0</v>
      </c>
      <c r="AB25" s="286">
        <f>AB10*基础数据!$C$13/4+(AB15-AB20)*基础数据!$C$13/4/2</f>
        <v>0</v>
      </c>
      <c r="AC25" s="286">
        <f>AC10*基础数据!$C$13/4+(AC15-AC20)*基础数据!$C$13/4/2</f>
        <v>0</v>
      </c>
      <c r="AD25" s="286">
        <f>AD10*基础数据!$C$13/4+(AD15-AD20)*基础数据!$C$13/4/2</f>
        <v>0</v>
      </c>
      <c r="AE25" s="286">
        <f>AE10*基础数据!$C$13/4+(AE15-AE20)*基础数据!$C$13/4/2</f>
        <v>0</v>
      </c>
      <c r="AF25" s="286">
        <f>AF10*基础数据!$C$13/4+(AF15-AF20)*基础数据!$C$13/4/2</f>
        <v>0</v>
      </c>
      <c r="AG25" s="286">
        <f>AG10*基础数据!$C$13/4+(AG15-AG20)*基础数据!$C$13/4/2</f>
        <v>0</v>
      </c>
      <c r="AH25" s="286">
        <f>AH10*基础数据!$C$13/4+(AH15-AH20)*基础数据!$C$13/4/2</f>
        <v>0</v>
      </c>
      <c r="AI25" s="286">
        <f>AI10*基础数据!$C$13/4+(AI15-AI20)*基础数据!$C$13/4/2</f>
        <v>0</v>
      </c>
      <c r="AJ25" s="286">
        <f>AJ10*基础数据!$C$13/4+(AJ15-AJ20)*基础数据!$C$13/4/2</f>
        <v>0</v>
      </c>
      <c r="AK25" s="286">
        <f>AK10*基础数据!$C$13/4+(AK15-AK20)*基础数据!$C$13/4/2</f>
        <v>0</v>
      </c>
      <c r="AL25" s="286">
        <f>AL10*基础数据!$C$13/4+(AL15-AL20)*基础数据!$C$13/4/2</f>
        <v>0</v>
      </c>
      <c r="AM25" s="286">
        <f>AM10*基础数据!$C$13/4+(AM15-AM20)*基础数据!$C$13/4/2</f>
        <v>0</v>
      </c>
      <c r="AN25" s="286">
        <f>AN10*基础数据!$C$13/4+(AN15-AN20)*基础数据!$C$13/4/2</f>
        <v>0</v>
      </c>
      <c r="AO25" s="286">
        <f>AO10*基础数据!$C$13/4+(AO15-AO20)*基础数据!$C$13/4/2</f>
        <v>0</v>
      </c>
      <c r="AP25" s="286">
        <f>AP10*基础数据!$C$13/4+(AP15-AP20)*基础数据!$C$13/4/2</f>
        <v>0</v>
      </c>
      <c r="AQ25" s="286">
        <f>AQ10*基础数据!$C$13/4+(AQ15-AQ20)*基础数据!$C$13/4/2</f>
        <v>0</v>
      </c>
    </row>
    <row r="26" spans="1:43" ht="18" customHeight="1" x14ac:dyDescent="0.15">
      <c r="A26" s="285"/>
      <c r="B26" s="287" t="str">
        <f>B11</f>
        <v>集团-股东借款</v>
      </c>
      <c r="C26" s="286">
        <f>SUM(D26:AQ26)</f>
        <v>0</v>
      </c>
      <c r="D26" s="286">
        <f>(D11)*基础数据!$C$14/4+(D16-D21)*基础数据!$C$14/4/2</f>
        <v>0</v>
      </c>
      <c r="E26" s="286">
        <f>(E11)*基础数据!$C$14/4+(E16-E21)*基础数据!$C$14/4/2</f>
        <v>0</v>
      </c>
      <c r="F26" s="286">
        <f>(F11)*基础数据!$C$14/4+(F16-F21)*基础数据!$C$14/4/2</f>
        <v>0</v>
      </c>
      <c r="G26" s="286">
        <f>(G11)*基础数据!$C$14/4+(G16-G21)*基础数据!$C$14/4/2</f>
        <v>0</v>
      </c>
      <c r="H26" s="286">
        <f>(H11)*基础数据!$C$14/4+(H16-H21)*基础数据!$C$14/4/2</f>
        <v>0</v>
      </c>
      <c r="I26" s="286">
        <f>(I11)*基础数据!$C$14/4+(I16-I21)*基础数据!$C$14/4/2</f>
        <v>0</v>
      </c>
      <c r="J26" s="286">
        <f>(J11)*基础数据!$C$14/4+(J16-J21)*基础数据!$C$14/4/2</f>
        <v>0</v>
      </c>
      <c r="K26" s="286">
        <f>(K11)*基础数据!$C$14/4+(K16-K21)*基础数据!$C$14/4/2</f>
        <v>0</v>
      </c>
      <c r="L26" s="286">
        <f>(L11)*基础数据!$C$14/4+(L16-L21)*基础数据!$C$14/4/2</f>
        <v>0</v>
      </c>
      <c r="M26" s="286">
        <f>(M11)*基础数据!$C$14/4+(M16-M21)*基础数据!$C$14/4/2</f>
        <v>0</v>
      </c>
      <c r="N26" s="286">
        <f>(N11)*基础数据!$C$14/4+(N16-N21)*基础数据!$C$14/4/2</f>
        <v>0</v>
      </c>
      <c r="O26" s="286">
        <f>(O11)*基础数据!$C$14/4+(O16-O21)*基础数据!$C$14/4/2</f>
        <v>0</v>
      </c>
      <c r="P26" s="286">
        <f>(P11)*基础数据!$C$14/4+(P16-P21)*基础数据!$C$14/4/2</f>
        <v>0</v>
      </c>
      <c r="Q26" s="286">
        <f>(Q11)*基础数据!$C$14/4+(Q16-Q21)*基础数据!$C$14/4/2</f>
        <v>0</v>
      </c>
      <c r="R26" s="286">
        <f>(R11)*基础数据!$C$14/4+(R16-R21)*基础数据!$C$14/4/2</f>
        <v>0</v>
      </c>
      <c r="S26" s="286">
        <f>(S11)*基础数据!$C$14/4+(S16-S21)*基础数据!$C$14/4/2</f>
        <v>0</v>
      </c>
      <c r="T26" s="286">
        <f>(T11)*基础数据!$C$14/4+(T16-T21)*基础数据!$C$14/4/2</f>
        <v>0</v>
      </c>
      <c r="U26" s="286">
        <f>(U11)*基础数据!$C$14/4+(U16-U21)*基础数据!$C$14/4/2</f>
        <v>0</v>
      </c>
      <c r="V26" s="286">
        <f>(V11)*基础数据!$C$14/4+(V16-V21)*基础数据!$C$14/4/2</f>
        <v>0</v>
      </c>
      <c r="W26" s="286">
        <f>(W11)*基础数据!$C$14/4+(W16-W21)*基础数据!$C$14/4/2</f>
        <v>0</v>
      </c>
      <c r="X26" s="286">
        <f>(X11)*基础数据!$C$14/4+(X16-X21)*基础数据!$C$14/4/2</f>
        <v>0</v>
      </c>
      <c r="Y26" s="286">
        <f>(Y11)*基础数据!$C$14/4+(Y16-Y21)*基础数据!$C$14/4/2</f>
        <v>0</v>
      </c>
      <c r="Z26" s="286">
        <f>(Z11)*基础数据!$C$14/4+(Z16-Z21)*基础数据!$C$14/4/2</f>
        <v>0</v>
      </c>
      <c r="AA26" s="286">
        <f>(AA11)*基础数据!$C$14/4+(AA16-AA21)*基础数据!$C$14/4/2</f>
        <v>0</v>
      </c>
      <c r="AB26" s="286">
        <f>(AB11)*基础数据!$C$14/4+(AB16-AB21)*基础数据!$C$14/4/2</f>
        <v>0</v>
      </c>
      <c r="AC26" s="286">
        <f>(AC11)*基础数据!$C$14/4+(AC16-AC21)*基础数据!$C$14/4/2</f>
        <v>0</v>
      </c>
      <c r="AD26" s="286">
        <f>(AD11)*基础数据!$C$14/4+(AD16-AD21)*基础数据!$C$14/4/2</f>
        <v>0</v>
      </c>
      <c r="AE26" s="286">
        <f>(AE11)*基础数据!$C$14/4+(AE16-AE21)*基础数据!$C$14/4/2</f>
        <v>0</v>
      </c>
      <c r="AF26" s="286">
        <f>(AF11)*基础数据!$C$14/4+(AF16-AF21)*基础数据!$C$14/4/2</f>
        <v>0</v>
      </c>
      <c r="AG26" s="286">
        <f>(AG11)*基础数据!$C$14/4+(AG16-AG21)*基础数据!$C$14/4/2</f>
        <v>0</v>
      </c>
      <c r="AH26" s="286">
        <f>(AH11)*基础数据!$C$14/4+(AH16-AH21)*基础数据!$C$14/4/2</f>
        <v>0</v>
      </c>
      <c r="AI26" s="286">
        <f>(AI11)*基础数据!$C$14/4+(AI16-AI21)*基础数据!$C$14/4/2</f>
        <v>0</v>
      </c>
      <c r="AJ26" s="286">
        <f>(AJ11)*基础数据!$C$14/4+(AJ16-AJ21)*基础数据!$C$14/4/2</f>
        <v>0</v>
      </c>
      <c r="AK26" s="286">
        <f>(AK11)*基础数据!$C$14/4+(AK16-AK21)*基础数据!$C$14/4/2</f>
        <v>0</v>
      </c>
      <c r="AL26" s="286">
        <f>(AL11)*基础数据!$C$14/4+(AL16-AL21)*基础数据!$C$14/4/2</f>
        <v>0</v>
      </c>
      <c r="AM26" s="286">
        <f>(AM11)*基础数据!$C$14/4+(AM16-AM21)*基础数据!$C$14/4/2</f>
        <v>0</v>
      </c>
      <c r="AN26" s="286">
        <f>(AN11)*基础数据!$C$14/4+(AN16-AN21)*基础数据!$C$14/4/2</f>
        <v>0</v>
      </c>
      <c r="AO26" s="286">
        <f>(AO11)*基础数据!$C$14/4+(AO16-AO21)*基础数据!$C$14/4/2</f>
        <v>0</v>
      </c>
      <c r="AP26" s="286">
        <f>(AP11)*基础数据!$C$14/4+(AP16-AP21)*基础数据!$C$14/4/2</f>
        <v>0</v>
      </c>
      <c r="AQ26" s="286">
        <f>(AQ11)*基础数据!$C$14/4+(AQ16-AQ21)*基础数据!$C$14/4/2</f>
        <v>0</v>
      </c>
    </row>
    <row r="27" spans="1:43" ht="18" customHeight="1" x14ac:dyDescent="0.15">
      <c r="A27" s="285"/>
      <c r="B27" s="287" t="str">
        <f>B12</f>
        <v>银行-开发贷</v>
      </c>
      <c r="C27" s="286">
        <f>SUM(D27:AQ27)</f>
        <v>0</v>
      </c>
      <c r="D27" s="286">
        <f>D12*基础数据!$C$15/4+(D17-D22)*基础数据!$C$15/4/2</f>
        <v>0</v>
      </c>
      <c r="E27" s="286">
        <f>E12*基础数据!$C$15/4+(E17-E22)*基础数据!$C$15/4/2</f>
        <v>0</v>
      </c>
      <c r="F27" s="286">
        <f>F12*基础数据!$C$15/4+(F17-F22)*基础数据!$C$15/4/2</f>
        <v>0</v>
      </c>
      <c r="G27" s="286">
        <f>G12*基础数据!$C$15/4+(G17-G22)*基础数据!$C$15/4/2</f>
        <v>0</v>
      </c>
      <c r="H27" s="286">
        <f>H12*基础数据!$C$15/4+(H17-H22)*基础数据!$C$15/4/2</f>
        <v>0</v>
      </c>
      <c r="I27" s="286">
        <f>I12*基础数据!$C$15/4+(I17-I22)*基础数据!$C$15/4/2</f>
        <v>0</v>
      </c>
      <c r="J27" s="286">
        <f>J12*基础数据!$C$15/4+(J17-J22)*基础数据!$C$15/4/2</f>
        <v>0</v>
      </c>
      <c r="K27" s="286">
        <f>K12*基础数据!$C$15/4+(K17-K22)*基础数据!$C$15/4/2</f>
        <v>0</v>
      </c>
      <c r="L27" s="286">
        <f>L12*基础数据!$C$15/4+(L17-L22)*基础数据!$C$15/4/2</f>
        <v>0</v>
      </c>
      <c r="M27" s="286">
        <f>M12*基础数据!$C$15/4+(M17-M22)*基础数据!$C$15/4/2</f>
        <v>0</v>
      </c>
      <c r="N27" s="286">
        <f>N12*基础数据!$C$15/4+(N17-N22)*基础数据!$C$15/4/2</f>
        <v>0</v>
      </c>
      <c r="O27" s="286">
        <f>O12*基础数据!$C$15/4+(O17-O22)*基础数据!$C$15/4/2</f>
        <v>0</v>
      </c>
      <c r="P27" s="286">
        <f>P12*基础数据!$C$15/4+(P17-P22)*基础数据!$C$15/4/2</f>
        <v>0</v>
      </c>
      <c r="Q27" s="286">
        <f>Q12*基础数据!$C$15/4+(Q17-Q22)*基础数据!$C$15/4/2</f>
        <v>0</v>
      </c>
      <c r="R27" s="286">
        <f>R12*基础数据!$C$15/4+(R17-R22)*基础数据!$C$15/4/2</f>
        <v>0</v>
      </c>
      <c r="S27" s="286">
        <f>S12*基础数据!$C$15/4+(S17-S22)*基础数据!$C$15/4/2</f>
        <v>0</v>
      </c>
      <c r="T27" s="286">
        <f>T12*基础数据!$C$15/4+(T17-T22)*基础数据!$C$15/4/2</f>
        <v>0</v>
      </c>
      <c r="U27" s="286">
        <f>U12*基础数据!$C$15/4+(U17-U22)*基础数据!$C$15/4/2</f>
        <v>0</v>
      </c>
      <c r="V27" s="286">
        <f>V12*基础数据!$C$15/4+(V17-V22)*基础数据!$C$15/4/2</f>
        <v>0</v>
      </c>
      <c r="W27" s="286">
        <f>W12*基础数据!$C$15/4+(W17-W22)*基础数据!$C$15/4/2</f>
        <v>0</v>
      </c>
      <c r="X27" s="286">
        <f>X12*基础数据!$C$15/4+(X17-X22)*基础数据!$C$15/4/2</f>
        <v>0</v>
      </c>
      <c r="Y27" s="286">
        <f>Y12*基础数据!$C$15/4+(Y17-Y22)*基础数据!$C$15/4/2</f>
        <v>0</v>
      </c>
      <c r="Z27" s="286">
        <f>Z12*基础数据!$C$15/4+(Z17-Z22)*基础数据!$C$15/4/2</f>
        <v>0</v>
      </c>
      <c r="AA27" s="286">
        <f>AA12*基础数据!$C$15/4+(AA17-AA22)*基础数据!$C$15/4/2</f>
        <v>0</v>
      </c>
      <c r="AB27" s="286">
        <f>AB12*基础数据!$C$15/4+(AB17-AB22)*基础数据!$C$15/4/2</f>
        <v>0</v>
      </c>
      <c r="AC27" s="286">
        <f>AC12*基础数据!$C$15/4+(AC17-AC22)*基础数据!$C$15/4/2</f>
        <v>0</v>
      </c>
      <c r="AD27" s="286">
        <f>AD12*基础数据!$C$15/4+(AD17-AD22)*基础数据!$C$15/4/2</f>
        <v>0</v>
      </c>
      <c r="AE27" s="286">
        <f>AE12*基础数据!$C$15/4+(AE17-AE22)*基础数据!$C$15/4/2</f>
        <v>0</v>
      </c>
      <c r="AF27" s="286">
        <f>AF12*基础数据!$C$15/4+(AF17-AF22)*基础数据!$C$15/4/2</f>
        <v>0</v>
      </c>
      <c r="AG27" s="286">
        <f>AG12*基础数据!$C$15/4+(AG17-AG22)*基础数据!$C$15/4/2</f>
        <v>0</v>
      </c>
      <c r="AH27" s="286">
        <f>AH12*基础数据!$C$15/4+(AH17-AH22)*基础数据!$C$15/4/2</f>
        <v>0</v>
      </c>
      <c r="AI27" s="286">
        <f>AI12*基础数据!$C$15/4+(AI17-AI22)*基础数据!$C$15/4/2</f>
        <v>0</v>
      </c>
      <c r="AJ27" s="286">
        <f>AJ12*基础数据!$C$15/4+(AJ17-AJ22)*基础数据!$C$15/4/2</f>
        <v>0</v>
      </c>
      <c r="AK27" s="286">
        <f>AK12*基础数据!$C$15/4+(AK17-AK22)*基础数据!$C$15/4/2</f>
        <v>0</v>
      </c>
      <c r="AL27" s="286">
        <f>AL12*基础数据!$C$15/4+(AL17-AL22)*基础数据!$C$15/4/2</f>
        <v>0</v>
      </c>
      <c r="AM27" s="286">
        <f>AM12*基础数据!$C$15/4+(AM17-AM22)*基础数据!$C$15/4/2</f>
        <v>0</v>
      </c>
      <c r="AN27" s="286">
        <f>AN12*基础数据!$C$15/4+(AN17-AN22)*基础数据!$C$15/4/2</f>
        <v>0</v>
      </c>
      <c r="AO27" s="286">
        <f>AO12*基础数据!$C$15/4+(AO17-AO22)*基础数据!$C$15/4/2</f>
        <v>0</v>
      </c>
      <c r="AP27" s="286">
        <f>AP12*基础数据!$C$15/4+(AP17-AP22)*基础数据!$C$15/4/2</f>
        <v>0</v>
      </c>
      <c r="AQ27" s="286">
        <f>AQ12*基础数据!$C$15/4+(AQ17-AQ22)*基础数据!$C$15/4/2</f>
        <v>0</v>
      </c>
    </row>
    <row r="28" spans="1:43" ht="18" customHeight="1" x14ac:dyDescent="0.15">
      <c r="A28" s="285"/>
      <c r="B28" s="287" t="str">
        <f>B13</f>
        <v>其他</v>
      </c>
      <c r="C28" s="286">
        <f>SUM(D28:AQ28)</f>
        <v>0</v>
      </c>
      <c r="D28" s="286"/>
      <c r="E28" s="286"/>
      <c r="F28" s="286"/>
      <c r="G28" s="286"/>
      <c r="H28" s="286"/>
      <c r="I28" s="286"/>
      <c r="J28" s="286"/>
      <c r="K28" s="286"/>
      <c r="L28" s="286"/>
      <c r="M28" s="286"/>
      <c r="N28" s="286"/>
      <c r="O28" s="286"/>
      <c r="P28" s="286"/>
      <c r="Q28" s="286"/>
      <c r="R28" s="286"/>
      <c r="S28" s="286"/>
      <c r="T28" s="286"/>
      <c r="U28" s="286"/>
      <c r="V28" s="286"/>
      <c r="W28" s="286"/>
      <c r="X28" s="286"/>
      <c r="Y28" s="286"/>
      <c r="Z28" s="286"/>
      <c r="AA28" s="286"/>
      <c r="AB28" s="286"/>
      <c r="AC28" s="286"/>
      <c r="AD28" s="286"/>
      <c r="AE28" s="286"/>
      <c r="AF28" s="286"/>
      <c r="AG28" s="286"/>
      <c r="AH28" s="286"/>
      <c r="AI28" s="286"/>
      <c r="AJ28" s="286"/>
      <c r="AK28" s="286"/>
      <c r="AL28" s="286"/>
      <c r="AM28" s="286"/>
      <c r="AN28" s="286"/>
      <c r="AO28" s="286"/>
      <c r="AP28" s="286"/>
      <c r="AQ28" s="286"/>
    </row>
    <row r="29" spans="1:43" s="199" customFormat="1" ht="18" customHeight="1" x14ac:dyDescent="0.15">
      <c r="A29" s="288">
        <v>6</v>
      </c>
      <c r="B29" s="289" t="s">
        <v>466</v>
      </c>
      <c r="C29" s="290"/>
      <c r="D29" s="290" t="s">
        <v>345</v>
      </c>
      <c r="E29" s="290" t="s">
        <v>345</v>
      </c>
      <c r="F29" s="290" t="s">
        <v>345</v>
      </c>
      <c r="G29" s="290" t="s">
        <v>345</v>
      </c>
      <c r="H29" s="290" t="s">
        <v>345</v>
      </c>
      <c r="I29" s="290" t="s">
        <v>345</v>
      </c>
      <c r="J29" s="290">
        <f t="shared" ref="J29:O29" si="19">J5/J19</f>
        <v>2.5099999999999998</v>
      </c>
      <c r="K29" s="290" t="e">
        <f t="shared" si="19"/>
        <v>#DIV/0!</v>
      </c>
      <c r="L29" s="290" t="e">
        <f t="shared" si="19"/>
        <v>#DIV/0!</v>
      </c>
      <c r="M29" s="290" t="e">
        <f t="shared" si="19"/>
        <v>#DIV/0!</v>
      </c>
      <c r="N29" s="290" t="e">
        <f t="shared" si="19"/>
        <v>#DIV/0!</v>
      </c>
      <c r="O29" s="290" t="e">
        <f t="shared" si="19"/>
        <v>#DIV/0!</v>
      </c>
      <c r="P29" s="290" t="s">
        <v>345</v>
      </c>
      <c r="Q29" s="290" t="s">
        <v>345</v>
      </c>
      <c r="R29" s="290" t="s">
        <v>487</v>
      </c>
      <c r="S29" s="290" t="e">
        <f>S5/S19</f>
        <v>#DIV/0!</v>
      </c>
      <c r="T29" s="290"/>
      <c r="U29" s="290"/>
      <c r="V29" s="290"/>
      <c r="W29" s="290"/>
      <c r="X29" s="290" t="s">
        <v>345</v>
      </c>
      <c r="Y29" s="290" t="s">
        <v>345</v>
      </c>
      <c r="Z29" s="290" t="s">
        <v>288</v>
      </c>
      <c r="AA29" s="290" t="e">
        <f>AA5/AA19</f>
        <v>#DIV/0!</v>
      </c>
      <c r="AB29" s="290"/>
      <c r="AC29" s="290"/>
      <c r="AD29" s="290"/>
      <c r="AE29" s="290"/>
      <c r="AF29" s="290" t="s">
        <v>345</v>
      </c>
      <c r="AG29" s="290" t="s">
        <v>345</v>
      </c>
      <c r="AH29" s="290" t="s">
        <v>288</v>
      </c>
      <c r="AI29" s="290" t="e">
        <f>AI5/AI19</f>
        <v>#DIV/0!</v>
      </c>
      <c r="AJ29" s="290"/>
      <c r="AK29" s="290"/>
      <c r="AL29" s="290"/>
      <c r="AM29" s="290"/>
      <c r="AN29" s="290"/>
      <c r="AO29" s="290"/>
      <c r="AP29" s="290"/>
      <c r="AQ29" s="290"/>
    </row>
    <row r="30" spans="1:43" ht="18" customHeight="1" x14ac:dyDescent="0.15">
      <c r="A30" s="288">
        <v>7</v>
      </c>
      <c r="B30" s="291" t="s">
        <v>467</v>
      </c>
      <c r="C30" s="292"/>
      <c r="D30" s="292">
        <f t="shared" ref="D30:AQ30" si="20">D5-D19</f>
        <v>0</v>
      </c>
      <c r="E30" s="292">
        <f t="shared" si="20"/>
        <v>0</v>
      </c>
      <c r="F30" s="292">
        <f t="shared" si="20"/>
        <v>0</v>
      </c>
      <c r="G30" s="292">
        <f t="shared" si="20"/>
        <v>5794</v>
      </c>
      <c r="H30" s="292">
        <f t="shared" si="20"/>
        <v>8497</v>
      </c>
      <c r="I30" s="292">
        <f t="shared" si="20"/>
        <v>8041</v>
      </c>
      <c r="J30" s="292">
        <f t="shared" si="20"/>
        <v>31253</v>
      </c>
      <c r="K30" s="292">
        <f t="shared" si="20"/>
        <v>57837</v>
      </c>
      <c r="L30" s="292">
        <f t="shared" si="20"/>
        <v>85541</v>
      </c>
      <c r="M30" s="292">
        <f t="shared" si="20"/>
        <v>100560</v>
      </c>
      <c r="N30" s="292">
        <f t="shared" si="20"/>
        <v>108969</v>
      </c>
      <c r="O30" s="292">
        <f t="shared" si="20"/>
        <v>112980</v>
      </c>
      <c r="P30" s="292">
        <f t="shared" si="20"/>
        <v>113373</v>
      </c>
      <c r="Q30" s="292">
        <f t="shared" si="20"/>
        <v>117376</v>
      </c>
      <c r="R30" s="292">
        <f t="shared" si="20"/>
        <v>117376</v>
      </c>
      <c r="S30" s="292">
        <f t="shared" si="20"/>
        <v>117376</v>
      </c>
      <c r="T30" s="292">
        <f t="shared" si="20"/>
        <v>117376</v>
      </c>
      <c r="U30" s="292">
        <f t="shared" si="20"/>
        <v>117376</v>
      </c>
      <c r="V30" s="292">
        <f t="shared" si="20"/>
        <v>117376</v>
      </c>
      <c r="W30" s="292">
        <f t="shared" si="20"/>
        <v>117376</v>
      </c>
      <c r="X30" s="292">
        <f t="shared" si="20"/>
        <v>117376</v>
      </c>
      <c r="Y30" s="292">
        <f t="shared" si="20"/>
        <v>117376</v>
      </c>
      <c r="Z30" s="292">
        <f t="shared" si="20"/>
        <v>117376</v>
      </c>
      <c r="AA30" s="292">
        <f t="shared" si="20"/>
        <v>117376</v>
      </c>
      <c r="AB30" s="292">
        <f t="shared" si="20"/>
        <v>117376</v>
      </c>
      <c r="AC30" s="292">
        <f t="shared" si="20"/>
        <v>117376</v>
      </c>
      <c r="AD30" s="292">
        <f t="shared" si="20"/>
        <v>117376</v>
      </c>
      <c r="AE30" s="292">
        <f t="shared" si="20"/>
        <v>117376</v>
      </c>
      <c r="AF30" s="292">
        <f t="shared" si="20"/>
        <v>117376</v>
      </c>
      <c r="AG30" s="292">
        <f t="shared" si="20"/>
        <v>117376</v>
      </c>
      <c r="AH30" s="292">
        <f t="shared" si="20"/>
        <v>117376</v>
      </c>
      <c r="AI30" s="292">
        <f t="shared" si="20"/>
        <v>117376</v>
      </c>
      <c r="AJ30" s="292">
        <f t="shared" si="20"/>
        <v>117376</v>
      </c>
      <c r="AK30" s="292">
        <f t="shared" si="20"/>
        <v>117376</v>
      </c>
      <c r="AL30" s="292">
        <f t="shared" si="20"/>
        <v>117376</v>
      </c>
      <c r="AM30" s="292">
        <f t="shared" si="20"/>
        <v>117376</v>
      </c>
      <c r="AN30" s="292">
        <f t="shared" si="20"/>
        <v>117376</v>
      </c>
      <c r="AO30" s="292">
        <f t="shared" si="20"/>
        <v>117376</v>
      </c>
      <c r="AP30" s="292">
        <f t="shared" si="20"/>
        <v>0</v>
      </c>
      <c r="AQ30" s="292">
        <f t="shared" si="20"/>
        <v>0</v>
      </c>
    </row>
    <row r="33" spans="13:41" ht="18" customHeight="1" x14ac:dyDescent="0.15">
      <c r="M33" s="200"/>
      <c r="O33" s="200"/>
      <c r="P33" s="200"/>
      <c r="Q33" s="200"/>
      <c r="R33" s="200"/>
      <c r="S33" s="200"/>
      <c r="T33" s="200"/>
      <c r="U33" s="200"/>
      <c r="V33" s="200"/>
      <c r="W33" s="200"/>
      <c r="X33" s="200"/>
      <c r="Y33" s="200"/>
      <c r="Z33" s="200"/>
      <c r="AA33" s="200"/>
      <c r="AB33" s="200"/>
      <c r="AC33" s="200"/>
      <c r="AD33" s="200"/>
      <c r="AE33" s="200"/>
      <c r="AF33" s="200"/>
      <c r="AG33" s="200"/>
      <c r="AH33" s="200"/>
      <c r="AI33" s="200"/>
      <c r="AJ33" s="200"/>
      <c r="AK33" s="200"/>
      <c r="AL33" s="200"/>
      <c r="AM33" s="200"/>
      <c r="AN33" s="200"/>
      <c r="AO33" s="200"/>
    </row>
  </sheetData>
  <mergeCells count="13">
    <mergeCell ref="AJ3:AM3"/>
    <mergeCell ref="C3:C4"/>
    <mergeCell ref="AN3:AQ3"/>
    <mergeCell ref="A3:A4"/>
    <mergeCell ref="B3:B4"/>
    <mergeCell ref="D3:G3"/>
    <mergeCell ref="H3:K3"/>
    <mergeCell ref="L3:O3"/>
    <mergeCell ref="P3:S3"/>
    <mergeCell ref="T3:W3"/>
    <mergeCell ref="X3:AA3"/>
    <mergeCell ref="AB3:AE3"/>
    <mergeCell ref="AF3:AI3"/>
  </mergeCells>
  <phoneticPr fontId="2" type="noConversion"/>
  <pageMargins left="0.75" right="0.75" top="1" bottom="1" header="0.5" footer="0.5"/>
  <pageSetup paperSize="9" scale="20" orientation="landscape" horizontalDpi="360" verticalDpi="36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theme="3"/>
  </sheetPr>
  <dimension ref="A1:AE41"/>
  <sheetViews>
    <sheetView workbookViewId="0">
      <selection activeCell="E24" sqref="E24"/>
    </sheetView>
  </sheetViews>
  <sheetFormatPr defaultColWidth="8.875" defaultRowHeight="18" customHeight="1" x14ac:dyDescent="0.3"/>
  <cols>
    <col min="1" max="1" width="32.75" style="550" customWidth="1"/>
    <col min="2" max="2" width="11.625" style="550" hidden="1" customWidth="1"/>
    <col min="3" max="4" width="17.5" style="550" customWidth="1"/>
    <col min="5" max="5" width="20.25" style="550" customWidth="1"/>
    <col min="6" max="6" width="14.875" style="550" customWidth="1"/>
    <col min="7" max="7" width="11.25" style="550" customWidth="1"/>
    <col min="8" max="31" width="13.75" style="550" customWidth="1"/>
    <col min="32" max="16384" width="8.875" style="550"/>
  </cols>
  <sheetData>
    <row r="1" spans="1:31" ht="72.75" thickBot="1" x14ac:dyDescent="0.35">
      <c r="A1" s="548" t="s">
        <v>263</v>
      </c>
      <c r="B1" s="549">
        <v>1</v>
      </c>
      <c r="C1" s="579" t="s">
        <v>543</v>
      </c>
      <c r="D1" s="579" t="s">
        <v>544</v>
      </c>
      <c r="H1" s="551"/>
      <c r="I1" s="552"/>
    </row>
    <row r="2" spans="1:31" ht="18" customHeight="1" x14ac:dyDescent="0.3">
      <c r="A2" s="553" t="s">
        <v>264</v>
      </c>
      <c r="B2" s="554">
        <v>0.95</v>
      </c>
      <c r="C2" s="555"/>
      <c r="D2" s="554"/>
      <c r="F2" s="598"/>
      <c r="G2" s="610"/>
      <c r="H2" s="586"/>
      <c r="I2" s="586"/>
      <c r="J2" s="586"/>
      <c r="K2" s="586"/>
      <c r="L2" s="586"/>
      <c r="M2" s="586"/>
      <c r="N2" s="586"/>
      <c r="O2" s="586"/>
      <c r="P2" s="586"/>
      <c r="Q2" s="586"/>
      <c r="R2" s="586"/>
      <c r="S2" s="586"/>
      <c r="T2" s="599"/>
      <c r="U2" s="599"/>
      <c r="V2" s="599"/>
      <c r="W2" s="599"/>
      <c r="X2" s="599"/>
      <c r="Y2" s="599"/>
      <c r="Z2" s="599"/>
      <c r="AA2" s="599"/>
      <c r="AB2" s="599"/>
      <c r="AC2" s="599"/>
      <c r="AD2" s="599"/>
      <c r="AE2" s="600"/>
    </row>
    <row r="3" spans="1:31" ht="18" customHeight="1" x14ac:dyDescent="0.3">
      <c r="A3" s="556"/>
      <c r="B3" s="551"/>
      <c r="C3" s="551"/>
      <c r="D3" s="551"/>
      <c r="F3" s="601"/>
      <c r="G3" s="611"/>
      <c r="H3" s="587">
        <v>2020</v>
      </c>
      <c r="I3" s="587"/>
      <c r="J3" s="587"/>
      <c r="K3" s="587"/>
      <c r="L3" s="587">
        <v>2021</v>
      </c>
      <c r="M3" s="587"/>
      <c r="N3" s="587"/>
      <c r="O3" s="587"/>
      <c r="P3" s="587">
        <v>2022</v>
      </c>
      <c r="Q3" s="587"/>
      <c r="R3" s="587"/>
      <c r="S3" s="587"/>
      <c r="T3" s="587">
        <v>2023</v>
      </c>
      <c r="U3" s="594"/>
      <c r="V3" s="594"/>
      <c r="W3" s="594"/>
      <c r="X3" s="587">
        <v>2024</v>
      </c>
      <c r="Y3" s="594"/>
      <c r="Z3" s="594"/>
      <c r="AA3" s="594"/>
      <c r="AB3" s="587">
        <v>2025</v>
      </c>
      <c r="AC3" s="594"/>
      <c r="AD3" s="594"/>
      <c r="AE3" s="602"/>
    </row>
    <row r="4" spans="1:31" ht="18" customHeight="1" x14ac:dyDescent="0.3">
      <c r="A4" s="553" t="s">
        <v>265</v>
      </c>
      <c r="B4" s="555" t="e">
        <f>'底表1（销售）'!BS6</f>
        <v>#REF!</v>
      </c>
      <c r="C4" s="555" t="e">
        <f>#REF!+'主表2（现金流量表）'!AO8*'底表1（销售计划）'!D152*#REF!</f>
        <v>#REF!</v>
      </c>
      <c r="D4" s="555">
        <v>1658357</v>
      </c>
      <c r="F4" s="603"/>
      <c r="G4" s="612" t="s">
        <v>556</v>
      </c>
      <c r="H4" s="588" t="s">
        <v>552</v>
      </c>
      <c r="I4" s="588" t="s">
        <v>553</v>
      </c>
      <c r="J4" s="588" t="s">
        <v>554</v>
      </c>
      <c r="K4" s="588" t="s">
        <v>555</v>
      </c>
      <c r="L4" s="588" t="s">
        <v>552</v>
      </c>
      <c r="M4" s="588" t="s">
        <v>553</v>
      </c>
      <c r="N4" s="588" t="s">
        <v>554</v>
      </c>
      <c r="O4" s="588" t="s">
        <v>555</v>
      </c>
      <c r="P4" s="588" t="s">
        <v>552</v>
      </c>
      <c r="Q4" s="588" t="s">
        <v>553</v>
      </c>
      <c r="R4" s="588" t="s">
        <v>554</v>
      </c>
      <c r="S4" s="588" t="s">
        <v>555</v>
      </c>
      <c r="T4" s="588" t="s">
        <v>552</v>
      </c>
      <c r="U4" s="588" t="s">
        <v>553</v>
      </c>
      <c r="V4" s="588" t="s">
        <v>554</v>
      </c>
      <c r="W4" s="588" t="s">
        <v>555</v>
      </c>
      <c r="X4" s="588" t="s">
        <v>552</v>
      </c>
      <c r="Y4" s="588" t="s">
        <v>553</v>
      </c>
      <c r="Z4" s="588" t="s">
        <v>554</v>
      </c>
      <c r="AA4" s="588" t="s">
        <v>555</v>
      </c>
      <c r="AB4" s="588" t="s">
        <v>552</v>
      </c>
      <c r="AC4" s="588" t="s">
        <v>553</v>
      </c>
      <c r="AD4" s="588" t="s">
        <v>554</v>
      </c>
      <c r="AE4" s="589" t="s">
        <v>555</v>
      </c>
    </row>
    <row r="5" spans="1:31" ht="18" customHeight="1" x14ac:dyDescent="0.3">
      <c r="A5" s="556"/>
      <c r="B5" s="551"/>
      <c r="C5" s="551"/>
      <c r="D5" s="551"/>
      <c r="F5" s="590" t="s">
        <v>557</v>
      </c>
      <c r="G5" s="591">
        <f>SUM(H5:AE5)</f>
        <v>73399</v>
      </c>
      <c r="H5" s="592">
        <f>'主表1（成本）'!C6</f>
        <v>0</v>
      </c>
      <c r="I5" s="592">
        <f>'主表1（成本）'!D6</f>
        <v>57146</v>
      </c>
      <c r="J5" s="592">
        <f>'主表1（成本）'!E6</f>
        <v>16253</v>
      </c>
      <c r="K5" s="592">
        <f>'主表1（成本）'!F6</f>
        <v>0</v>
      </c>
      <c r="L5" s="592">
        <f>'主表1（成本）'!G6</f>
        <v>0</v>
      </c>
      <c r="M5" s="592">
        <f>'主表1（成本）'!H6</f>
        <v>0</v>
      </c>
      <c r="N5" s="592">
        <f>'主表1（成本）'!I6</f>
        <v>0</v>
      </c>
      <c r="O5" s="592">
        <f>'主表1（成本）'!J6</f>
        <v>0</v>
      </c>
      <c r="P5" s="594"/>
      <c r="Q5" s="594"/>
      <c r="R5" s="594"/>
      <c r="S5" s="594"/>
      <c r="T5" s="594"/>
      <c r="U5" s="594"/>
      <c r="V5" s="594"/>
      <c r="W5" s="594"/>
      <c r="X5" s="594"/>
      <c r="Y5" s="594"/>
      <c r="Z5" s="594"/>
      <c r="AA5" s="594"/>
      <c r="AB5" s="594"/>
      <c r="AC5" s="594"/>
      <c r="AD5" s="594"/>
      <c r="AE5" s="602"/>
    </row>
    <row r="6" spans="1:31" ht="18" customHeight="1" x14ac:dyDescent="0.3">
      <c r="A6" s="556" t="s">
        <v>266</v>
      </c>
      <c r="B6" s="551">
        <f>'主表1（成本）'!B15</f>
        <v>187119</v>
      </c>
      <c r="C6" s="621">
        <f>'主表1（成本）'!B15</f>
        <v>187119</v>
      </c>
      <c r="D6" s="621">
        <f>C6</f>
        <v>187119</v>
      </c>
      <c r="F6" s="590" t="s">
        <v>558</v>
      </c>
      <c r="G6" s="611"/>
      <c r="H6" s="594"/>
      <c r="I6" s="594"/>
      <c r="J6" s="594"/>
      <c r="K6" s="592">
        <v>10</v>
      </c>
      <c r="L6" s="594"/>
      <c r="M6" s="594"/>
      <c r="N6" s="594"/>
      <c r="O6" s="594"/>
      <c r="P6" s="594"/>
      <c r="Q6" s="594"/>
      <c r="R6" s="594"/>
      <c r="S6" s="594"/>
      <c r="T6" s="594"/>
      <c r="U6" s="594"/>
      <c r="V6" s="594"/>
      <c r="W6" s="594"/>
      <c r="X6" s="594"/>
      <c r="Y6" s="594"/>
      <c r="Z6" s="594"/>
      <c r="AA6" s="594"/>
      <c r="AB6" s="594"/>
      <c r="AC6" s="594"/>
      <c r="AD6" s="594"/>
      <c r="AE6" s="602"/>
    </row>
    <row r="7" spans="1:31" ht="18" customHeight="1" x14ac:dyDescent="0.3">
      <c r="A7" s="556" t="s">
        <v>267</v>
      </c>
      <c r="B7" s="551">
        <f>'主表3（损益表）'!C10</f>
        <v>0</v>
      </c>
      <c r="C7" s="621" t="e">
        <f>SUMPRODUCT(基础数据!C27:C41,#REF!)</f>
        <v>#REF!</v>
      </c>
      <c r="D7" s="621">
        <v>35577</v>
      </c>
      <c r="F7" s="590" t="s">
        <v>558</v>
      </c>
      <c r="G7" s="591">
        <f>SUM(H7:AE7)</f>
        <v>363508</v>
      </c>
      <c r="H7" s="592">
        <f>'主表1（成本）'!C7</f>
        <v>0</v>
      </c>
      <c r="I7" s="592">
        <f>'主表1（成本）'!D7</f>
        <v>13518</v>
      </c>
      <c r="J7" s="592">
        <f>'主表1（成本）'!E7</f>
        <v>0</v>
      </c>
      <c r="K7" s="592">
        <f>349990</f>
        <v>349990</v>
      </c>
      <c r="L7" s="592"/>
      <c r="M7" s="592"/>
      <c r="N7" s="592"/>
      <c r="O7" s="592"/>
      <c r="P7" s="592"/>
      <c r="Q7" s="592"/>
      <c r="R7" s="592"/>
      <c r="S7" s="594"/>
      <c r="T7" s="594"/>
      <c r="U7" s="594"/>
      <c r="V7" s="594"/>
      <c r="W7" s="594"/>
      <c r="X7" s="594"/>
      <c r="Y7" s="594"/>
      <c r="Z7" s="594"/>
      <c r="AA7" s="594"/>
      <c r="AB7" s="594"/>
      <c r="AC7" s="594"/>
      <c r="AD7" s="594"/>
      <c r="AE7" s="602"/>
    </row>
    <row r="8" spans="1:31" ht="18" customHeight="1" x14ac:dyDescent="0.3">
      <c r="A8" s="556" t="s">
        <v>268</v>
      </c>
      <c r="B8" s="551" t="e">
        <f>'底表1（销售）'!BS13</f>
        <v>#REF!</v>
      </c>
      <c r="C8" s="621" t="e">
        <f>#REF!</f>
        <v>#REF!</v>
      </c>
      <c r="D8" s="621">
        <v>35609</v>
      </c>
      <c r="F8" s="590" t="s">
        <v>559</v>
      </c>
      <c r="G8" s="591">
        <f>SUM(H8:AE8)</f>
        <v>370000</v>
      </c>
      <c r="H8" s="592">
        <f>'主表1（成本）'!C9</f>
        <v>0</v>
      </c>
      <c r="I8" s="592">
        <f>'主表1（成本）'!D9</f>
        <v>0</v>
      </c>
      <c r="J8" s="592">
        <f>'主表1（成本）'!E9</f>
        <v>0</v>
      </c>
      <c r="K8" s="592">
        <v>370000</v>
      </c>
      <c r="L8" s="592"/>
      <c r="M8" s="592">
        <f>'主表1（成本）'!H9</f>
        <v>0</v>
      </c>
      <c r="N8" s="592">
        <f>'主表1（成本）'!I9</f>
        <v>0</v>
      </c>
      <c r="O8" s="592">
        <f>'主表1（成本）'!J9</f>
        <v>0</v>
      </c>
      <c r="P8" s="592">
        <f>'主表1（成本）'!K9</f>
        <v>0</v>
      </c>
      <c r="Q8" s="592"/>
      <c r="R8" s="592"/>
      <c r="S8" s="594"/>
      <c r="T8" s="594"/>
      <c r="U8" s="594"/>
      <c r="V8" s="594"/>
      <c r="W8" s="594"/>
      <c r="X8" s="594"/>
      <c r="Y8" s="594"/>
      <c r="Z8" s="594"/>
      <c r="AA8" s="594"/>
      <c r="AB8" s="594"/>
      <c r="AC8" s="594"/>
      <c r="AD8" s="594"/>
      <c r="AE8" s="602"/>
    </row>
    <row r="9" spans="1:31" ht="18" customHeight="1" x14ac:dyDescent="0.3">
      <c r="A9" s="556" t="s">
        <v>269</v>
      </c>
      <c r="B9" s="551" t="e">
        <f>ROUND((B4-B6-B7-B8-B11-B12-B13)*0.25,0)</f>
        <v>#REF!</v>
      </c>
      <c r="C9" s="622" t="e">
        <f>ROUND((C4-C6-C7-C8-C11-C12-C13-C14)*0.25,0)</f>
        <v>#REF!</v>
      </c>
      <c r="D9" s="622" t="e">
        <f>ROUND((D4-D6-D7-D8-D11-D12-D13-D14)*0.25,0)</f>
        <v>#REF!</v>
      </c>
      <c r="F9" s="590" t="s">
        <v>560</v>
      </c>
      <c r="G9" s="591">
        <f>SUM(H9:AE9)</f>
        <v>0</v>
      </c>
      <c r="H9" s="592">
        <f>'主表1（成本）'!C10</f>
        <v>0</v>
      </c>
      <c r="I9" s="592">
        <f>'主表1（成本）'!D10</f>
        <v>0</v>
      </c>
      <c r="J9" s="592">
        <f>'主表1（成本）'!E10</f>
        <v>0</v>
      </c>
      <c r="K9" s="592">
        <f>'主表1（成本）'!F10</f>
        <v>0</v>
      </c>
      <c r="L9" s="592">
        <f>'主表1（成本）'!G10</f>
        <v>0</v>
      </c>
      <c r="M9" s="592">
        <f>'主表1（成本）'!H10</f>
        <v>0</v>
      </c>
      <c r="N9" s="592">
        <f>'主表1（成本）'!I10</f>
        <v>0</v>
      </c>
      <c r="O9" s="592">
        <f>'主表1（成本）'!J10</f>
        <v>0</v>
      </c>
      <c r="P9" s="592">
        <f>'主表1（成本）'!K10</f>
        <v>0</v>
      </c>
      <c r="Q9" s="592">
        <f>'主表1（成本）'!L10</f>
        <v>0</v>
      </c>
      <c r="R9" s="592"/>
      <c r="S9" s="594"/>
      <c r="T9" s="594"/>
      <c r="U9" s="594"/>
      <c r="V9" s="594"/>
      <c r="W9" s="594"/>
      <c r="X9" s="594"/>
      <c r="Y9" s="594"/>
      <c r="Z9" s="594"/>
      <c r="AA9" s="594"/>
      <c r="AB9" s="594"/>
      <c r="AC9" s="594"/>
      <c r="AD9" s="594"/>
      <c r="AE9" s="602"/>
    </row>
    <row r="10" spans="1:31" ht="18" customHeight="1" x14ac:dyDescent="0.3">
      <c r="A10" s="556"/>
      <c r="B10" s="551"/>
      <c r="C10" s="621"/>
      <c r="D10" s="621">
        <f>C10</f>
        <v>0</v>
      </c>
      <c r="F10" s="590" t="s">
        <v>2</v>
      </c>
      <c r="G10" s="591">
        <f>SUM(H10:AE10)</f>
        <v>354121</v>
      </c>
      <c r="H10" s="592">
        <f>'主表2（现金流量表）'!B5</f>
        <v>0</v>
      </c>
      <c r="I10" s="592">
        <f>'主表2（现金流量表）'!C5</f>
        <v>0</v>
      </c>
      <c r="J10" s="592">
        <f>'主表2（现金流量表）'!D5</f>
        <v>0</v>
      </c>
      <c r="K10" s="592">
        <f>'主表2（现金流量表）'!E5</f>
        <v>50164</v>
      </c>
      <c r="L10" s="592">
        <f>'主表2（现金流量表）'!F5</f>
        <v>49703</v>
      </c>
      <c r="M10" s="592">
        <f>'主表2（现金流量表）'!G5</f>
        <v>59154</v>
      </c>
      <c r="N10" s="592">
        <f>'主表2（现金流量表）'!H5</f>
        <v>57349</v>
      </c>
      <c r="O10" s="592">
        <f>'主表2（现金流量表）'!I5</f>
        <v>43045</v>
      </c>
      <c r="P10" s="592">
        <f>'主表2（现金流量表）'!J5</f>
        <v>37567</v>
      </c>
      <c r="Q10" s="592">
        <f>'主表2（现金流量表）'!K5</f>
        <v>23767</v>
      </c>
      <c r="R10" s="592">
        <f>'主表2（现金流量表）'!L5</f>
        <v>14716</v>
      </c>
      <c r="S10" s="592">
        <f>'主表2（现金流量表）'!M5</f>
        <v>13090</v>
      </c>
      <c r="T10" s="592">
        <f>'主表2（现金流量表）'!N5</f>
        <v>5068</v>
      </c>
      <c r="U10" s="592">
        <f>'主表2（现金流量表）'!O5</f>
        <v>498</v>
      </c>
      <c r="V10" s="592">
        <f>'主表2（现金流量表）'!P5</f>
        <v>0</v>
      </c>
      <c r="W10" s="592">
        <f>'主表2（现金流量表）'!Q5</f>
        <v>0</v>
      </c>
      <c r="X10" s="592">
        <f>'主表2（现金流量表）'!R5</f>
        <v>0</v>
      </c>
      <c r="Y10" s="592">
        <f>'主表2（现金流量表）'!S5</f>
        <v>0</v>
      </c>
      <c r="Z10" s="592">
        <f>'主表2（现金流量表）'!T5</f>
        <v>0</v>
      </c>
      <c r="AA10" s="592">
        <f>'主表2（现金流量表）'!U5</f>
        <v>0</v>
      </c>
      <c r="AB10" s="592">
        <f>'主表2（现金流量表）'!AL5</f>
        <v>0</v>
      </c>
      <c r="AC10" s="592">
        <f>'主表2（现金流量表）'!AM5</f>
        <v>0</v>
      </c>
      <c r="AD10" s="592">
        <f>'主表2（现金流量表）'!AN5</f>
        <v>0</v>
      </c>
      <c r="AE10" s="593">
        <f>'主表2（现金流量表）'!AO5</f>
        <v>0</v>
      </c>
    </row>
    <row r="11" spans="1:31" ht="18" customHeight="1" x14ac:dyDescent="0.3">
      <c r="A11" s="556" t="s">
        <v>270</v>
      </c>
      <c r="B11" s="551">
        <f>'主表1（成本）'!B37-B6</f>
        <v>90434</v>
      </c>
      <c r="C11" s="621">
        <f>'主表1（成本）'!B37-C6</f>
        <v>90434</v>
      </c>
      <c r="D11" s="621">
        <f>C11</f>
        <v>90434</v>
      </c>
      <c r="F11" s="616" t="s">
        <v>562</v>
      </c>
      <c r="G11" s="617">
        <f t="shared" ref="G11:AE11" si="0">SUM(G5:G10)</f>
        <v>1161028</v>
      </c>
      <c r="H11" s="592">
        <f t="shared" si="0"/>
        <v>0</v>
      </c>
      <c r="I11" s="592">
        <f t="shared" si="0"/>
        <v>70664</v>
      </c>
      <c r="J11" s="592">
        <f t="shared" si="0"/>
        <v>16253</v>
      </c>
      <c r="K11" s="592">
        <f t="shared" si="0"/>
        <v>770164</v>
      </c>
      <c r="L11" s="592">
        <f t="shared" si="0"/>
        <v>49703</v>
      </c>
      <c r="M11" s="592">
        <f t="shared" si="0"/>
        <v>59154</v>
      </c>
      <c r="N11" s="592">
        <f t="shared" si="0"/>
        <v>57349</v>
      </c>
      <c r="O11" s="592">
        <f t="shared" si="0"/>
        <v>43045</v>
      </c>
      <c r="P11" s="592">
        <f t="shared" si="0"/>
        <v>37567</v>
      </c>
      <c r="Q11" s="592">
        <f t="shared" si="0"/>
        <v>23767</v>
      </c>
      <c r="R11" s="592">
        <f t="shared" si="0"/>
        <v>14716</v>
      </c>
      <c r="S11" s="592">
        <f t="shared" si="0"/>
        <v>13090</v>
      </c>
      <c r="T11" s="592">
        <f t="shared" si="0"/>
        <v>5068</v>
      </c>
      <c r="U11" s="592">
        <f t="shared" si="0"/>
        <v>498</v>
      </c>
      <c r="V11" s="592">
        <f t="shared" si="0"/>
        <v>0</v>
      </c>
      <c r="W11" s="592">
        <f t="shared" si="0"/>
        <v>0</v>
      </c>
      <c r="X11" s="592">
        <f t="shared" si="0"/>
        <v>0</v>
      </c>
      <c r="Y11" s="592">
        <f t="shared" si="0"/>
        <v>0</v>
      </c>
      <c r="Z11" s="592">
        <f t="shared" si="0"/>
        <v>0</v>
      </c>
      <c r="AA11" s="592">
        <f t="shared" si="0"/>
        <v>0</v>
      </c>
      <c r="AB11" s="592">
        <f t="shared" si="0"/>
        <v>0</v>
      </c>
      <c r="AC11" s="592">
        <f t="shared" si="0"/>
        <v>0</v>
      </c>
      <c r="AD11" s="592">
        <f t="shared" si="0"/>
        <v>0</v>
      </c>
      <c r="AE11" s="593">
        <f t="shared" si="0"/>
        <v>0</v>
      </c>
    </row>
    <row r="12" spans="1:31" ht="18" customHeight="1" x14ac:dyDescent="0.3">
      <c r="A12" s="556" t="s">
        <v>271</v>
      </c>
      <c r="B12" s="551" t="e">
        <f>ROUND(B4*'主表1（成本）'!$C$109,0)</f>
        <v>#REF!</v>
      </c>
      <c r="C12" s="621" t="e">
        <f>ROUND(C4*'主表1（成本）'!$C$109,0)</f>
        <v>#REF!</v>
      </c>
      <c r="D12" s="621" t="e">
        <f>C12</f>
        <v>#REF!</v>
      </c>
      <c r="F12" s="604" t="s">
        <v>561</v>
      </c>
      <c r="G12" s="591">
        <f>SUM(H12:AE12)</f>
        <v>323662</v>
      </c>
      <c r="H12" s="592">
        <f>'主表5（资金来源与运用）'!C17</f>
        <v>0</v>
      </c>
      <c r="I12" s="592">
        <f>'主表5（资金来源与运用）'!D17</f>
        <v>180664</v>
      </c>
      <c r="J12" s="592">
        <f>'主表5（资金来源与运用）'!E17</f>
        <v>27913</v>
      </c>
      <c r="K12" s="592">
        <f>'主表5（资金来源与运用）'!F17</f>
        <v>20370</v>
      </c>
      <c r="L12" s="592">
        <f>'主表5（资金来源与运用）'!G17</f>
        <v>15000</v>
      </c>
      <c r="M12" s="592">
        <f>'主表5（资金来源与运用）'!H17</f>
        <v>14610</v>
      </c>
      <c r="N12" s="592">
        <f>'主表5（资金来源与运用）'!I17</f>
        <v>13477</v>
      </c>
      <c r="O12" s="592">
        <f>'主表5（资金来源与运用）'!J17</f>
        <v>16461</v>
      </c>
      <c r="P12" s="592">
        <f>'主表5（资金来源与运用）'!K17</f>
        <v>9863</v>
      </c>
      <c r="Q12" s="592">
        <f>'主表5（资金来源与运用）'!L17</f>
        <v>8748</v>
      </c>
      <c r="R12" s="592">
        <f>'主表5（资金来源与运用）'!M17</f>
        <v>6307</v>
      </c>
      <c r="S12" s="592">
        <f>'主表5（资金来源与运用）'!N17</f>
        <v>9079</v>
      </c>
      <c r="T12" s="592">
        <f>'主表5（资金来源与运用）'!O17</f>
        <v>4675</v>
      </c>
      <c r="U12" s="592">
        <f>'主表5（资金来源与运用）'!P17</f>
        <v>-3505</v>
      </c>
      <c r="V12" s="592">
        <f>'主表5（资金来源与运用）'!Q17</f>
        <v>0</v>
      </c>
      <c r="W12" s="592">
        <f>'主表5（资金来源与运用）'!R17</f>
        <v>0</v>
      </c>
      <c r="X12" s="592">
        <f>'主表5（资金来源与运用）'!S17</f>
        <v>0</v>
      </c>
      <c r="Y12" s="592">
        <f>'主表5（资金来源与运用）'!T17</f>
        <v>0</v>
      </c>
      <c r="Z12" s="592">
        <f>'主表5（资金来源与运用）'!U17</f>
        <v>0</v>
      </c>
      <c r="AA12" s="592">
        <f>'主表5（资金来源与运用）'!V17</f>
        <v>0</v>
      </c>
      <c r="AB12" s="592">
        <f>'主表5（资金来源与运用）'!AM17</f>
        <v>0</v>
      </c>
      <c r="AC12" s="592">
        <f>'主表5（资金来源与运用）'!AN17</f>
        <v>0</v>
      </c>
      <c r="AD12" s="592">
        <f>'主表5（资金来源与运用）'!AO17</f>
        <v>0</v>
      </c>
      <c r="AE12" s="593">
        <f>'主表5（资金来源与运用）'!AP17</f>
        <v>0</v>
      </c>
    </row>
    <row r="13" spans="1:31" ht="18" customHeight="1" x14ac:dyDescent="0.3">
      <c r="A13" s="556" t="s">
        <v>272</v>
      </c>
      <c r="B13" s="551">
        <f>'主表1（成本）'!B33</f>
        <v>5488</v>
      </c>
      <c r="C13" s="621">
        <f>'主表1（成本）'!B33</f>
        <v>5488</v>
      </c>
      <c r="D13" s="621">
        <f>C13</f>
        <v>5488</v>
      </c>
      <c r="F13" s="604" t="s">
        <v>563</v>
      </c>
      <c r="G13" s="611"/>
      <c r="H13" s="592">
        <f>H11-H12</f>
        <v>0</v>
      </c>
      <c r="I13" s="592">
        <f t="shared" ref="I13:AE13" si="1">I11-I12</f>
        <v>-110000</v>
      </c>
      <c r="J13" s="592">
        <f t="shared" si="1"/>
        <v>-11660</v>
      </c>
      <c r="K13" s="592">
        <f t="shared" si="1"/>
        <v>749794</v>
      </c>
      <c r="L13" s="592">
        <f t="shared" si="1"/>
        <v>34703</v>
      </c>
      <c r="M13" s="592">
        <f t="shared" si="1"/>
        <v>44544</v>
      </c>
      <c r="N13" s="592">
        <f t="shared" si="1"/>
        <v>43872</v>
      </c>
      <c r="O13" s="592">
        <f t="shared" si="1"/>
        <v>26584</v>
      </c>
      <c r="P13" s="592">
        <f t="shared" si="1"/>
        <v>27704</v>
      </c>
      <c r="Q13" s="592">
        <f t="shared" si="1"/>
        <v>15019</v>
      </c>
      <c r="R13" s="592">
        <f t="shared" si="1"/>
        <v>8409</v>
      </c>
      <c r="S13" s="592">
        <f t="shared" si="1"/>
        <v>4011</v>
      </c>
      <c r="T13" s="592">
        <f t="shared" si="1"/>
        <v>393</v>
      </c>
      <c r="U13" s="592">
        <f t="shared" si="1"/>
        <v>4003</v>
      </c>
      <c r="V13" s="592">
        <f t="shared" si="1"/>
        <v>0</v>
      </c>
      <c r="W13" s="592">
        <f t="shared" si="1"/>
        <v>0</v>
      </c>
      <c r="X13" s="592">
        <f t="shared" si="1"/>
        <v>0</v>
      </c>
      <c r="Y13" s="592">
        <f t="shared" si="1"/>
        <v>0</v>
      </c>
      <c r="Z13" s="592">
        <f t="shared" si="1"/>
        <v>0</v>
      </c>
      <c r="AA13" s="592">
        <f t="shared" si="1"/>
        <v>0</v>
      </c>
      <c r="AB13" s="592">
        <f t="shared" si="1"/>
        <v>0</v>
      </c>
      <c r="AC13" s="592">
        <f t="shared" si="1"/>
        <v>0</v>
      </c>
      <c r="AD13" s="592">
        <f t="shared" si="1"/>
        <v>0</v>
      </c>
      <c r="AE13" s="593">
        <f t="shared" si="1"/>
        <v>0</v>
      </c>
    </row>
    <row r="14" spans="1:31" ht="18" customHeight="1" x14ac:dyDescent="0.3">
      <c r="A14" s="556" t="s">
        <v>351</v>
      </c>
      <c r="B14" s="551"/>
      <c r="C14" s="621">
        <f>'主表1（成本）'!B111</f>
        <v>12470</v>
      </c>
      <c r="D14" s="621">
        <f>C14</f>
        <v>12470</v>
      </c>
      <c r="F14" s="605" t="s">
        <v>568</v>
      </c>
      <c r="G14" s="613"/>
      <c r="H14" s="596">
        <f>H13</f>
        <v>0</v>
      </c>
      <c r="I14" s="596">
        <f>I13+H14</f>
        <v>-110000</v>
      </c>
      <c r="J14" s="596">
        <f t="shared" ref="J14:AE14" si="2">J13+I14</f>
        <v>-121660</v>
      </c>
      <c r="K14" s="596">
        <f t="shared" si="2"/>
        <v>628134</v>
      </c>
      <c r="L14" s="596">
        <f t="shared" si="2"/>
        <v>662837</v>
      </c>
      <c r="M14" s="596">
        <f t="shared" si="2"/>
        <v>707381</v>
      </c>
      <c r="N14" s="596">
        <f t="shared" si="2"/>
        <v>751253</v>
      </c>
      <c r="O14" s="596">
        <f t="shared" si="2"/>
        <v>777837</v>
      </c>
      <c r="P14" s="596">
        <f t="shared" si="2"/>
        <v>805541</v>
      </c>
      <c r="Q14" s="596">
        <f t="shared" si="2"/>
        <v>820560</v>
      </c>
      <c r="R14" s="596">
        <f t="shared" si="2"/>
        <v>828969</v>
      </c>
      <c r="S14" s="596">
        <f t="shared" si="2"/>
        <v>832980</v>
      </c>
      <c r="T14" s="596">
        <f t="shared" si="2"/>
        <v>833373</v>
      </c>
      <c r="U14" s="596">
        <f t="shared" si="2"/>
        <v>837376</v>
      </c>
      <c r="V14" s="596">
        <f t="shared" si="2"/>
        <v>837376</v>
      </c>
      <c r="W14" s="596">
        <f t="shared" si="2"/>
        <v>837376</v>
      </c>
      <c r="X14" s="596">
        <f t="shared" si="2"/>
        <v>837376</v>
      </c>
      <c r="Y14" s="596">
        <f t="shared" si="2"/>
        <v>837376</v>
      </c>
      <c r="Z14" s="596">
        <f t="shared" si="2"/>
        <v>837376</v>
      </c>
      <c r="AA14" s="596">
        <f t="shared" si="2"/>
        <v>837376</v>
      </c>
      <c r="AB14" s="596">
        <f t="shared" si="2"/>
        <v>837376</v>
      </c>
      <c r="AC14" s="596">
        <f t="shared" si="2"/>
        <v>837376</v>
      </c>
      <c r="AD14" s="596">
        <f t="shared" si="2"/>
        <v>837376</v>
      </c>
      <c r="AE14" s="606">
        <f t="shared" si="2"/>
        <v>837376</v>
      </c>
    </row>
    <row r="15" spans="1:31" ht="18" customHeight="1" x14ac:dyDescent="0.3">
      <c r="A15" s="557" t="s">
        <v>352</v>
      </c>
      <c r="B15" s="558" t="e">
        <f>ROUND(B4-B6-B7-B8-B9-B11-B12-B13,0)</f>
        <v>#REF!</v>
      </c>
      <c r="C15" s="623" t="e">
        <f>ROUND(C4-C6-C7-C8-C9-C11-C12-C13-C14,0)</f>
        <v>#REF!</v>
      </c>
      <c r="D15" s="623" t="e">
        <f>ROUND(D4-D6-D7-D8-D9-D11-D12-D13-D14,0)</f>
        <v>#REF!</v>
      </c>
      <c r="F15" s="601"/>
      <c r="G15" s="611"/>
      <c r="H15" s="592"/>
      <c r="I15" s="592"/>
      <c r="J15" s="592"/>
      <c r="K15" s="592"/>
      <c r="L15" s="592"/>
      <c r="M15" s="592"/>
      <c r="N15" s="592"/>
      <c r="O15" s="592"/>
      <c r="P15" s="592"/>
      <c r="Q15" s="592"/>
      <c r="R15" s="592"/>
      <c r="S15" s="592"/>
      <c r="T15" s="592"/>
      <c r="U15" s="592"/>
      <c r="V15" s="592"/>
      <c r="W15" s="592"/>
      <c r="X15" s="592"/>
      <c r="Y15" s="592"/>
      <c r="Z15" s="592"/>
      <c r="AA15" s="592"/>
      <c r="AB15" s="592"/>
      <c r="AC15" s="592"/>
      <c r="AD15" s="592"/>
      <c r="AE15" s="593"/>
    </row>
    <row r="16" spans="1:31" ht="18" customHeight="1" x14ac:dyDescent="0.3">
      <c r="A16" s="559" t="s">
        <v>531</v>
      </c>
      <c r="B16" s="560"/>
      <c r="C16" s="632" t="e">
        <f>C15*0.3</f>
        <v>#REF!</v>
      </c>
      <c r="D16" s="632" t="e">
        <f>D15*0.3</f>
        <v>#REF!</v>
      </c>
      <c r="E16" s="561"/>
      <c r="F16" s="604" t="s">
        <v>564</v>
      </c>
      <c r="G16" s="591">
        <f>SUM(H16:AE16)</f>
        <v>349990</v>
      </c>
      <c r="H16" s="592"/>
      <c r="I16" s="592"/>
      <c r="J16" s="592"/>
      <c r="K16" s="592"/>
      <c r="L16" s="592">
        <v>101100</v>
      </c>
      <c r="M16" s="592"/>
      <c r="N16" s="592"/>
      <c r="O16" s="592"/>
      <c r="P16" s="592">
        <v>248890</v>
      </c>
      <c r="Q16" s="592"/>
      <c r="R16" s="592"/>
      <c r="S16" s="592"/>
      <c r="T16" s="592"/>
      <c r="U16" s="592"/>
      <c r="V16" s="592"/>
      <c r="W16" s="592"/>
      <c r="X16" s="592"/>
      <c r="Y16" s="592"/>
      <c r="Z16" s="592"/>
      <c r="AA16" s="592"/>
      <c r="AB16" s="592"/>
      <c r="AC16" s="592"/>
      <c r="AD16" s="592"/>
      <c r="AE16" s="593"/>
    </row>
    <row r="17" spans="1:31" ht="18" customHeight="1" x14ac:dyDescent="0.3">
      <c r="A17" s="577" t="s">
        <v>542</v>
      </c>
      <c r="B17" s="578"/>
      <c r="C17" s="627" t="e">
        <f>0.427%*350000*(C15*0.3-K35)/1500</f>
        <v>#REF!</v>
      </c>
      <c r="D17" s="627" t="e">
        <f>0.427%*350000*(D15*0.3-K35)/1500</f>
        <v>#REF!</v>
      </c>
      <c r="E17" s="561"/>
      <c r="F17" s="604" t="s">
        <v>565</v>
      </c>
      <c r="G17" s="591">
        <f>SUM(H17:AE17)</f>
        <v>694500</v>
      </c>
      <c r="H17" s="592"/>
      <c r="I17" s="592"/>
      <c r="J17" s="592"/>
      <c r="K17" s="592">
        <v>350000</v>
      </c>
      <c r="L17" s="592">
        <v>225000</v>
      </c>
      <c r="M17" s="592"/>
      <c r="N17" s="592"/>
      <c r="O17" s="592"/>
      <c r="P17" s="592"/>
      <c r="Q17" s="592">
        <v>119500</v>
      </c>
      <c r="R17" s="592"/>
      <c r="S17" s="592"/>
      <c r="T17" s="592"/>
      <c r="U17" s="592"/>
      <c r="V17" s="592"/>
      <c r="W17" s="592"/>
      <c r="X17" s="592"/>
      <c r="Y17" s="592"/>
      <c r="Z17" s="592"/>
      <c r="AA17" s="592"/>
      <c r="AB17" s="592"/>
      <c r="AC17" s="592"/>
      <c r="AD17" s="592"/>
      <c r="AE17" s="593"/>
    </row>
    <row r="18" spans="1:31" ht="18" customHeight="1" x14ac:dyDescent="0.3">
      <c r="A18" s="577" t="s">
        <v>551</v>
      </c>
      <c r="B18" s="578"/>
      <c r="C18" s="625">
        <f>K35</f>
        <v>26699</v>
      </c>
      <c r="D18" s="625">
        <f>K35</f>
        <v>26699</v>
      </c>
      <c r="E18" s="561"/>
      <c r="F18" s="604" t="s">
        <v>566</v>
      </c>
      <c r="G18" s="591">
        <f>SUM(H18:AE18)</f>
        <v>337000</v>
      </c>
      <c r="H18" s="592"/>
      <c r="I18" s="592"/>
      <c r="J18" s="592"/>
      <c r="K18" s="592"/>
      <c r="L18" s="592"/>
      <c r="M18" s="592"/>
      <c r="N18" s="592"/>
      <c r="O18" s="592"/>
      <c r="P18" s="592"/>
      <c r="Q18" s="592"/>
      <c r="R18" s="592"/>
      <c r="S18" s="592"/>
      <c r="T18" s="592"/>
      <c r="U18" s="592"/>
      <c r="V18" s="592"/>
      <c r="W18" s="592">
        <v>337000</v>
      </c>
      <c r="X18" s="592"/>
      <c r="Y18" s="592"/>
      <c r="Z18" s="592"/>
      <c r="AA18" s="592"/>
      <c r="AB18" s="592"/>
      <c r="AC18" s="592"/>
      <c r="AD18" s="592"/>
      <c r="AE18" s="593"/>
    </row>
    <row r="19" spans="1:31" ht="18" customHeight="1" x14ac:dyDescent="0.3">
      <c r="A19" s="577" t="s">
        <v>573</v>
      </c>
      <c r="C19" s="626" t="e">
        <f>C16-C17-C18</f>
        <v>#REF!</v>
      </c>
      <c r="D19" s="626" t="e">
        <f>D16-D17-D18</f>
        <v>#REF!</v>
      </c>
      <c r="F19" s="605" t="s">
        <v>569</v>
      </c>
      <c r="G19" s="614">
        <f>SUM(H19:AE19)</f>
        <v>1381490</v>
      </c>
      <c r="H19" s="596">
        <f>SUM(H16:H18)</f>
        <v>0</v>
      </c>
      <c r="I19" s="596">
        <f t="shared" ref="I19:AE19" si="3">SUM(I16:I18)</f>
        <v>0</v>
      </c>
      <c r="J19" s="596">
        <f t="shared" si="3"/>
        <v>0</v>
      </c>
      <c r="K19" s="596">
        <f t="shared" si="3"/>
        <v>350000</v>
      </c>
      <c r="L19" s="596">
        <f t="shared" si="3"/>
        <v>326100</v>
      </c>
      <c r="M19" s="596">
        <f t="shared" si="3"/>
        <v>0</v>
      </c>
      <c r="N19" s="596">
        <f t="shared" si="3"/>
        <v>0</v>
      </c>
      <c r="O19" s="596">
        <f t="shared" si="3"/>
        <v>0</v>
      </c>
      <c r="P19" s="596">
        <f t="shared" si="3"/>
        <v>248890</v>
      </c>
      <c r="Q19" s="596">
        <f t="shared" si="3"/>
        <v>119500</v>
      </c>
      <c r="R19" s="596">
        <f t="shared" si="3"/>
        <v>0</v>
      </c>
      <c r="S19" s="596">
        <f t="shared" si="3"/>
        <v>0</v>
      </c>
      <c r="T19" s="596">
        <f t="shared" si="3"/>
        <v>0</v>
      </c>
      <c r="U19" s="596">
        <f t="shared" si="3"/>
        <v>0</v>
      </c>
      <c r="V19" s="596">
        <f t="shared" si="3"/>
        <v>0</v>
      </c>
      <c r="W19" s="596">
        <f t="shared" si="3"/>
        <v>337000</v>
      </c>
      <c r="X19" s="596">
        <f t="shared" si="3"/>
        <v>0</v>
      </c>
      <c r="Y19" s="596">
        <f t="shared" si="3"/>
        <v>0</v>
      </c>
      <c r="Z19" s="596">
        <f t="shared" si="3"/>
        <v>0</v>
      </c>
      <c r="AA19" s="596">
        <f t="shared" si="3"/>
        <v>0</v>
      </c>
      <c r="AB19" s="596">
        <f t="shared" si="3"/>
        <v>0</v>
      </c>
      <c r="AC19" s="596">
        <f t="shared" si="3"/>
        <v>0</v>
      </c>
      <c r="AD19" s="596">
        <f t="shared" si="3"/>
        <v>0</v>
      </c>
      <c r="AE19" s="606">
        <f t="shared" si="3"/>
        <v>0</v>
      </c>
    </row>
    <row r="20" spans="1:31" ht="18" customHeight="1" x14ac:dyDescent="0.3">
      <c r="A20" s="548"/>
      <c r="C20" s="624">
        <f>10*0.081/12*20</f>
        <v>1.35</v>
      </c>
      <c r="D20" s="624">
        <f>10*0.081/12*20</f>
        <v>1.35</v>
      </c>
      <c r="F20" s="601"/>
      <c r="G20" s="611"/>
      <c r="H20" s="594"/>
      <c r="I20" s="594"/>
      <c r="J20" s="594"/>
      <c r="K20" s="594"/>
      <c r="L20" s="594"/>
      <c r="M20" s="594"/>
      <c r="N20" s="594"/>
      <c r="O20" s="594"/>
      <c r="P20" s="594"/>
      <c r="Q20" s="594"/>
      <c r="R20" s="594"/>
      <c r="S20" s="594"/>
      <c r="T20" s="594"/>
      <c r="U20" s="594"/>
      <c r="V20" s="594"/>
      <c r="W20" s="594"/>
      <c r="X20" s="594"/>
      <c r="Y20" s="594"/>
      <c r="Z20" s="594"/>
      <c r="AA20" s="594"/>
      <c r="AB20" s="594"/>
      <c r="AC20" s="594"/>
      <c r="AD20" s="594"/>
      <c r="AE20" s="602"/>
    </row>
    <row r="21" spans="1:31" ht="18" customHeight="1" x14ac:dyDescent="0.3">
      <c r="A21" s="559"/>
      <c r="B21" s="558"/>
      <c r="C21" s="629" t="e">
        <f>C19+C20</f>
        <v>#REF!</v>
      </c>
      <c r="D21" s="629" t="e">
        <f>D19+D20</f>
        <v>#REF!</v>
      </c>
      <c r="E21" s="562"/>
      <c r="F21" s="604" t="s">
        <v>570</v>
      </c>
      <c r="G21" s="591"/>
      <c r="H21" s="592">
        <f>SUM($H7:H7)-SUM($H16:H16)</f>
        <v>0</v>
      </c>
      <c r="I21" s="592">
        <f>SUM($H7:I7)-SUM($H16:I16)</f>
        <v>13518</v>
      </c>
      <c r="J21" s="592">
        <f>SUM($H7:J7)-SUM($H16:J16)</f>
        <v>13518</v>
      </c>
      <c r="K21" s="592">
        <f>SUM($H7:K7)-SUM($H16:K16)</f>
        <v>363508</v>
      </c>
      <c r="L21" s="592">
        <f>SUM($H7:L7)-SUM($H16:L16)</f>
        <v>262408</v>
      </c>
      <c r="M21" s="592">
        <f>SUM($H7:M7)-SUM($H16:M16)</f>
        <v>262408</v>
      </c>
      <c r="N21" s="592">
        <f>SUM($H7:N7)-SUM($H16:N16)</f>
        <v>262408</v>
      </c>
      <c r="O21" s="592">
        <f>SUM($H7:O7)-SUM($H16:O16)</f>
        <v>262408</v>
      </c>
      <c r="P21" s="592">
        <f>SUM($H7:P7)-SUM($H16:P16)</f>
        <v>13518</v>
      </c>
      <c r="Q21" s="592">
        <f>SUM($H7:Q7)-SUM($H16:Q16)</f>
        <v>13518</v>
      </c>
      <c r="R21" s="592">
        <f>SUM($H7:R7)-SUM($H16:R16)</f>
        <v>13518</v>
      </c>
      <c r="S21" s="592">
        <f>SUM($H7:S7)-SUM($H16:S16)</f>
        <v>13518</v>
      </c>
      <c r="T21" s="592">
        <f>SUM($H7:T7)-SUM($H16:T16)</f>
        <v>13518</v>
      </c>
      <c r="U21" s="592">
        <f>SUM($H7:U7)-SUM($H16:U16)</f>
        <v>13518</v>
      </c>
      <c r="V21" s="592">
        <f>SUM($H7:V7)-SUM($H16:V16)</f>
        <v>13518</v>
      </c>
      <c r="W21" s="592">
        <f>SUM($H7:W7)-SUM($H16:W16)</f>
        <v>13518</v>
      </c>
      <c r="X21" s="592">
        <f>SUM($H7:X7)-SUM($H16:X16)</f>
        <v>13518</v>
      </c>
      <c r="Y21" s="592">
        <f>SUM($H7:Y7)-SUM($H16:Y16)</f>
        <v>13518</v>
      </c>
      <c r="Z21" s="592">
        <f>SUM($H7:Z7)-SUM($H16:Z16)</f>
        <v>13518</v>
      </c>
      <c r="AA21" s="592">
        <f>SUM($H7:AA7)-SUM($H16:AA16)</f>
        <v>13518</v>
      </c>
      <c r="AB21" s="592">
        <f>SUM($H7:AB7)-SUM($H16:AB16)</f>
        <v>13518</v>
      </c>
      <c r="AC21" s="592">
        <f>SUM($H7:AC7)-SUM($H16:AC16)</f>
        <v>13518</v>
      </c>
      <c r="AD21" s="592">
        <f>SUM($H7:AD7)-SUM($H16:AD16)</f>
        <v>13518</v>
      </c>
      <c r="AE21" s="593">
        <f>SUM($H7:AE7)-SUM($H16:AE16)</f>
        <v>13518</v>
      </c>
    </row>
    <row r="22" spans="1:31" ht="18" customHeight="1" x14ac:dyDescent="0.3">
      <c r="A22" s="577" t="s">
        <v>574</v>
      </c>
      <c r="B22" s="597"/>
      <c r="C22" s="628" t="e">
        <f>C21+C18</f>
        <v>#REF!</v>
      </c>
      <c r="D22" s="628" t="e">
        <f>D21+D18</f>
        <v>#REF!</v>
      </c>
      <c r="F22" s="604" t="s">
        <v>571</v>
      </c>
      <c r="G22" s="591"/>
      <c r="H22" s="592">
        <f>SUM($H8:H8)-SUM($H17:H17)</f>
        <v>0</v>
      </c>
      <c r="I22" s="592">
        <f>SUM($H8:I8)-SUM($H17:I17)</f>
        <v>0</v>
      </c>
      <c r="J22" s="592">
        <f>SUM($H8:J8)-SUM($H17:J17)</f>
        <v>0</v>
      </c>
      <c r="K22" s="592">
        <f>SUM($H8:K8)-SUM($H17:K17)</f>
        <v>20000</v>
      </c>
      <c r="L22" s="592">
        <f>SUM($H8:L8)-SUM($H17:L17)</f>
        <v>-205000</v>
      </c>
      <c r="M22" s="592">
        <f>SUM($H8:M8)-SUM($H17:M17)</f>
        <v>-205000</v>
      </c>
      <c r="N22" s="592">
        <f>SUM($H8:N8)-SUM($H17:N17)</f>
        <v>-205000</v>
      </c>
      <c r="O22" s="592">
        <f>SUM($H8:O8)-SUM($H17:O17)</f>
        <v>-205000</v>
      </c>
      <c r="P22" s="592">
        <f>SUM($H8:P8)-SUM($H17:P17)</f>
        <v>-205000</v>
      </c>
      <c r="Q22" s="592">
        <f>SUM($H8:Q8)-SUM($H17:Q17)</f>
        <v>-324500</v>
      </c>
      <c r="R22" s="592">
        <f>SUM($H8:R8)-SUM($H17:R17)</f>
        <v>-324500</v>
      </c>
      <c r="S22" s="592">
        <f>SUM($H8:S8)-SUM($H17:S17)</f>
        <v>-324500</v>
      </c>
      <c r="T22" s="592">
        <f>SUM($H8:T8)-SUM($H17:T17)</f>
        <v>-324500</v>
      </c>
      <c r="U22" s="592">
        <f>SUM($H8:U8)-SUM($H17:U17)</f>
        <v>-324500</v>
      </c>
      <c r="V22" s="592">
        <f>SUM($H8:V8)-SUM($H17:V17)</f>
        <v>-324500</v>
      </c>
      <c r="W22" s="592">
        <f>SUM($H8:W8)-SUM($H17:W17)</f>
        <v>-324500</v>
      </c>
      <c r="X22" s="592">
        <f>SUM($H8:X8)-SUM($H17:X17)</f>
        <v>-324500</v>
      </c>
      <c r="Y22" s="592">
        <f>SUM($H8:Y8)-SUM($H17:Y17)</f>
        <v>-324500</v>
      </c>
      <c r="Z22" s="592">
        <f>SUM($H8:Z8)-SUM($H17:Z17)</f>
        <v>-324500</v>
      </c>
      <c r="AA22" s="592">
        <f>SUM($H8:AA8)-SUM($H17:AA17)</f>
        <v>-324500</v>
      </c>
      <c r="AB22" s="592">
        <f>SUM($H8:AB8)-SUM($H17:AB17)</f>
        <v>-324500</v>
      </c>
      <c r="AC22" s="592">
        <f>SUM($H8:AC8)-SUM($H17:AC17)</f>
        <v>-324500</v>
      </c>
      <c r="AD22" s="592">
        <f>SUM($H8:AD8)-SUM($H17:AD17)</f>
        <v>-324500</v>
      </c>
      <c r="AE22" s="593">
        <f>SUM($H8:AE8)-SUM($H17:AE17)</f>
        <v>-324500</v>
      </c>
    </row>
    <row r="23" spans="1:31" ht="18" customHeight="1" x14ac:dyDescent="0.3">
      <c r="A23" s="577" t="s">
        <v>575</v>
      </c>
      <c r="B23" s="594"/>
      <c r="C23" s="631" t="e">
        <f>C22/$I$35</f>
        <v>#REF!</v>
      </c>
      <c r="D23" s="631" t="e">
        <f>D22/$I$35</f>
        <v>#REF!</v>
      </c>
      <c r="F23" s="604" t="s">
        <v>567</v>
      </c>
      <c r="G23" s="591"/>
      <c r="H23" s="592">
        <f>SUM($H9:H9)-SUM($H18:H18)</f>
        <v>0</v>
      </c>
      <c r="I23" s="592">
        <f>SUM($H9:I9)-SUM($H18:I18)</f>
        <v>0</v>
      </c>
      <c r="J23" s="592">
        <f>SUM($H9:J9)-SUM($H18:J18)</f>
        <v>0</v>
      </c>
      <c r="K23" s="592">
        <f>SUM($H9:K9)-SUM($H18:K18)</f>
        <v>0</v>
      </c>
      <c r="L23" s="592">
        <f>SUM($H9:L9)-SUM($H18:L18)</f>
        <v>0</v>
      </c>
      <c r="M23" s="592">
        <f>SUM($H9:M9)-SUM($H18:M18)</f>
        <v>0</v>
      </c>
      <c r="N23" s="592">
        <f>SUM($H9:N9)-SUM($H18:N18)</f>
        <v>0</v>
      </c>
      <c r="O23" s="592">
        <f>SUM($H9:O9)-SUM($H18:O18)</f>
        <v>0</v>
      </c>
      <c r="P23" s="592">
        <f>SUM($H9:P9)-SUM($H18:P18)</f>
        <v>0</v>
      </c>
      <c r="Q23" s="592">
        <f>SUM($H9:Q9)-SUM($H18:Q18)</f>
        <v>0</v>
      </c>
      <c r="R23" s="592">
        <f>SUM($H9:R9)-SUM($H18:R18)</f>
        <v>0</v>
      </c>
      <c r="S23" s="592">
        <f>SUM($H9:S9)-SUM($H18:S18)</f>
        <v>0</v>
      </c>
      <c r="T23" s="592">
        <f>SUM($H9:T9)-SUM($H18:T18)</f>
        <v>0</v>
      </c>
      <c r="U23" s="592">
        <f>SUM($H9:U9)-SUM($H18:U18)</f>
        <v>0</v>
      </c>
      <c r="V23" s="592">
        <f>SUM($H9:V9)-SUM($H18:V18)</f>
        <v>0</v>
      </c>
      <c r="W23" s="592">
        <f>SUM($H9:W9)-SUM($H18:W18)</f>
        <v>-337000</v>
      </c>
      <c r="X23" s="592">
        <f>SUM($H9:X9)-SUM($H18:X18)</f>
        <v>-337000</v>
      </c>
      <c r="Y23" s="592">
        <f>SUM($H9:Y9)-SUM($H18:Y18)</f>
        <v>-337000</v>
      </c>
      <c r="Z23" s="592">
        <f>SUM($H9:Z9)-SUM($H18:Z18)</f>
        <v>-337000</v>
      </c>
      <c r="AA23" s="592">
        <f>SUM($H9:AA9)-SUM($H18:AA18)</f>
        <v>-337000</v>
      </c>
      <c r="AB23" s="592">
        <f>SUM($H9:AB9)-SUM($H18:AB18)</f>
        <v>-337000</v>
      </c>
      <c r="AC23" s="592">
        <f>SUM($H9:AC9)-SUM($H18:AC18)</f>
        <v>-337000</v>
      </c>
      <c r="AD23" s="592">
        <f>SUM($H9:AD9)-SUM($H18:AD18)</f>
        <v>-337000</v>
      </c>
      <c r="AE23" s="593">
        <f>SUM($H9:AE9)-SUM($H18:AE18)</f>
        <v>-337000</v>
      </c>
    </row>
    <row r="24" spans="1:31" ht="18" customHeight="1" x14ac:dyDescent="0.3">
      <c r="A24" s="577" t="s">
        <v>576</v>
      </c>
      <c r="B24" s="594"/>
      <c r="C24" s="630" t="e">
        <f>IF(C23&gt;15%,8%+(11%-8%)*80%+(15%-11%)*50%+(I36-15%)*20%,IF(I36&gt;11%,8%+(11%-8%)*80%+(I36-11%)*50%,IF(I36&gt;8%,8%+(I36-8%)*80%,IF(I36&gt;0,I36*100%,0))))</f>
        <v>#REF!</v>
      </c>
      <c r="D24" s="630" t="e">
        <f>IF(D23&gt;15%,8%+(11%-8%)*80%+(15%-11%)*50%+(J36-15%)*20%,IF(J36&gt;11%,8%+(11%-8%)*80%+(J36-11%)*50%,IF(J36&gt;8%,8%+(J36-8%)*80%,IF(J36&gt;0,J36*100%,0))))</f>
        <v>#REF!</v>
      </c>
      <c r="F24" s="604"/>
      <c r="G24" s="611"/>
      <c r="H24" s="592"/>
      <c r="I24" s="592"/>
      <c r="J24" s="592"/>
      <c r="K24" s="592"/>
      <c r="L24" s="592"/>
      <c r="M24" s="592"/>
      <c r="N24" s="592"/>
      <c r="O24" s="592"/>
      <c r="P24" s="592"/>
      <c r="Q24" s="592"/>
      <c r="R24" s="592"/>
      <c r="S24" s="592"/>
      <c r="T24" s="592"/>
      <c r="U24" s="592"/>
      <c r="V24" s="592"/>
      <c r="W24" s="592"/>
      <c r="X24" s="592"/>
      <c r="Y24" s="592"/>
      <c r="Z24" s="592"/>
      <c r="AA24" s="592"/>
      <c r="AB24" s="592"/>
      <c r="AC24" s="592"/>
      <c r="AD24" s="592"/>
      <c r="AE24" s="593"/>
    </row>
    <row r="25" spans="1:31" ht="18" customHeight="1" thickBot="1" x14ac:dyDescent="0.35">
      <c r="A25" s="548"/>
      <c r="C25" s="562"/>
      <c r="D25" s="562"/>
      <c r="F25" s="607" t="s">
        <v>572</v>
      </c>
      <c r="G25" s="615"/>
      <c r="H25" s="608">
        <f>H14-SUM($H$19:H19)</f>
        <v>0</v>
      </c>
      <c r="I25" s="608">
        <f>I14-SUM($H$19:I19)</f>
        <v>-110000</v>
      </c>
      <c r="J25" s="608">
        <f>J14-SUM($H$19:J19)</f>
        <v>-121660</v>
      </c>
      <c r="K25" s="608">
        <f>K14-SUM($H$19:K19)</f>
        <v>278134</v>
      </c>
      <c r="L25" s="608">
        <f>L14-SUM($H$19:L19)</f>
        <v>-13263</v>
      </c>
      <c r="M25" s="608">
        <f>M14-SUM($H$19:M19)</f>
        <v>31281</v>
      </c>
      <c r="N25" s="608">
        <f>N14-SUM($H$19:N19)</f>
        <v>75153</v>
      </c>
      <c r="O25" s="608">
        <f>O14-SUM($H$19:O19)</f>
        <v>101737</v>
      </c>
      <c r="P25" s="608">
        <f>P14-SUM($H$19:P19)</f>
        <v>-119449</v>
      </c>
      <c r="Q25" s="608">
        <f>Q14-SUM($H$19:Q19)</f>
        <v>-223930</v>
      </c>
      <c r="R25" s="608">
        <f>R14-SUM($H$19:R19)</f>
        <v>-215521</v>
      </c>
      <c r="S25" s="608">
        <f>S14-SUM($H$19:S19)</f>
        <v>-211510</v>
      </c>
      <c r="T25" s="608">
        <f>T14-SUM($H$19:T19)</f>
        <v>-211117</v>
      </c>
      <c r="U25" s="608">
        <f>U14-SUM($H$19:U19)</f>
        <v>-207114</v>
      </c>
      <c r="V25" s="608">
        <f>V14-SUM($H$19:V19)</f>
        <v>-207114</v>
      </c>
      <c r="W25" s="608">
        <f>W14-SUM($H$19:W19)</f>
        <v>-544114</v>
      </c>
      <c r="X25" s="608">
        <f>X14-SUM($H$19:X19)</f>
        <v>-544114</v>
      </c>
      <c r="Y25" s="608">
        <f>Y14-SUM($H$19:Y19)</f>
        <v>-544114</v>
      </c>
      <c r="Z25" s="608">
        <f>Z14-SUM($H$19:Z19)</f>
        <v>-544114</v>
      </c>
      <c r="AA25" s="608">
        <f>AA14-SUM($H$19:AA19)</f>
        <v>-544114</v>
      </c>
      <c r="AB25" s="608">
        <f>AB14-SUM($H$19:AB19)</f>
        <v>-544114</v>
      </c>
      <c r="AC25" s="608">
        <f>AC14-SUM($H$19:AC19)</f>
        <v>-544114</v>
      </c>
      <c r="AD25" s="608">
        <f>AD14-SUM($H$19:AD19)</f>
        <v>-544114</v>
      </c>
      <c r="AE25" s="609">
        <f>AE14-SUM($H$19:AE19)</f>
        <v>-544114</v>
      </c>
    </row>
    <row r="26" spans="1:31" ht="18" customHeight="1" x14ac:dyDescent="0.3">
      <c r="A26" s="548"/>
    </row>
    <row r="27" spans="1:31" ht="18" customHeight="1" x14ac:dyDescent="0.3">
      <c r="A27" s="548"/>
    </row>
    <row r="28" spans="1:31" ht="18" customHeight="1" x14ac:dyDescent="0.3">
      <c r="A28" s="548"/>
    </row>
    <row r="29" spans="1:31" ht="18" customHeight="1" x14ac:dyDescent="0.3">
      <c r="A29" s="549"/>
    </row>
    <row r="30" spans="1:31" ht="18" customHeight="1" x14ac:dyDescent="0.3">
      <c r="G30" s="581" t="s">
        <v>548</v>
      </c>
      <c r="H30" s="581" t="s">
        <v>547</v>
      </c>
      <c r="I30" s="581" t="s">
        <v>549</v>
      </c>
      <c r="J30" s="581" t="s">
        <v>546</v>
      </c>
      <c r="K30" s="581" t="s">
        <v>545</v>
      </c>
    </row>
    <row r="31" spans="1:31" ht="18" customHeight="1" x14ac:dyDescent="0.3">
      <c r="G31" s="595">
        <f>L16</f>
        <v>101100</v>
      </c>
      <c r="H31" s="198">
        <v>0.25</v>
      </c>
      <c r="I31" s="198">
        <f>G31*H31</f>
        <v>25275</v>
      </c>
      <c r="J31" s="580">
        <v>7.9000000000000001E-2</v>
      </c>
      <c r="K31" s="550">
        <f>G31*H31*J31</f>
        <v>1996.7249999999999</v>
      </c>
    </row>
    <row r="32" spans="1:31" ht="18" customHeight="1" x14ac:dyDescent="0.3">
      <c r="G32" s="200">
        <f>P16</f>
        <v>248890</v>
      </c>
      <c r="H32" s="198">
        <v>1.25</v>
      </c>
      <c r="I32" s="198">
        <f>G32*H32</f>
        <v>311112.5</v>
      </c>
      <c r="J32" s="580">
        <v>7.9000000000000001E-2</v>
      </c>
      <c r="K32" s="550">
        <f>G32*1*0.079+G32*0.25*0.081</f>
        <v>24702.3325</v>
      </c>
    </row>
    <row r="33" spans="6:12" ht="18" customHeight="1" x14ac:dyDescent="0.3">
      <c r="G33" s="200"/>
      <c r="H33" s="198"/>
      <c r="I33" s="198"/>
      <c r="J33" s="580"/>
    </row>
    <row r="34" spans="6:12" ht="18" customHeight="1" x14ac:dyDescent="0.3">
      <c r="G34" s="198">
        <v>10</v>
      </c>
      <c r="H34" s="573">
        <f>20/12</f>
        <v>1.67</v>
      </c>
    </row>
    <row r="35" spans="6:12" ht="18" customHeight="1" x14ac:dyDescent="0.3">
      <c r="F35" s="581" t="s">
        <v>550</v>
      </c>
      <c r="G35" s="582">
        <f>SUM(G31:G34)</f>
        <v>350000</v>
      </c>
      <c r="H35" s="582"/>
      <c r="I35" s="582">
        <f>SUM(I31:I34)</f>
        <v>336387.5</v>
      </c>
      <c r="J35" s="581"/>
      <c r="K35" s="583">
        <f>SUM(K31:K34)</f>
        <v>26699</v>
      </c>
    </row>
    <row r="37" spans="6:12" ht="18" customHeight="1" x14ac:dyDescent="0.3">
      <c r="F37" s="584" t="s">
        <v>532</v>
      </c>
      <c r="G37" s="584"/>
      <c r="H37" s="584"/>
      <c r="I37" s="584"/>
      <c r="J37" s="584"/>
      <c r="K37" s="574" t="s">
        <v>533</v>
      </c>
      <c r="L37" s="574" t="s">
        <v>534</v>
      </c>
    </row>
    <row r="38" spans="6:12" ht="18" customHeight="1" x14ac:dyDescent="0.3">
      <c r="F38" s="575">
        <v>0</v>
      </c>
      <c r="G38" s="576" t="s">
        <v>535</v>
      </c>
      <c r="H38" s="576" t="s">
        <v>536</v>
      </c>
      <c r="I38" s="576" t="s">
        <v>535</v>
      </c>
      <c r="J38" s="575">
        <v>0.08</v>
      </c>
      <c r="K38" s="576" t="s">
        <v>537</v>
      </c>
      <c r="L38" s="585">
        <f>IF(I36&gt;15%,8%+(11%-8%)*80%+(15%-11%)*50%+(I36-15%)*20%,IF(I36&gt;11%,8%+(11%-8%)*80%+(I36-11%)*50%,IF(I36&gt;8%,8%+(I36-8%)*80%,IF(I36&gt;0,I36*100%,0))))</f>
        <v>0</v>
      </c>
    </row>
    <row r="39" spans="6:12" ht="18" customHeight="1" x14ac:dyDescent="0.3">
      <c r="F39" s="575">
        <v>0.08</v>
      </c>
      <c r="G39" s="576" t="s">
        <v>538</v>
      </c>
      <c r="H39" s="576" t="s">
        <v>536</v>
      </c>
      <c r="I39" s="576" t="s">
        <v>535</v>
      </c>
      <c r="J39" s="575">
        <v>0.11</v>
      </c>
      <c r="K39" s="576" t="s">
        <v>539</v>
      </c>
      <c r="L39" s="585"/>
    </row>
    <row r="40" spans="6:12" ht="18" customHeight="1" x14ac:dyDescent="0.3">
      <c r="F40" s="575">
        <v>0.11</v>
      </c>
      <c r="G40" s="576" t="s">
        <v>538</v>
      </c>
      <c r="H40" s="576" t="s">
        <v>536</v>
      </c>
      <c r="I40" s="576" t="s">
        <v>535</v>
      </c>
      <c r="J40" s="575">
        <v>0.15</v>
      </c>
      <c r="K40" s="576" t="s">
        <v>540</v>
      </c>
      <c r="L40" s="585"/>
    </row>
    <row r="41" spans="6:12" ht="18" customHeight="1" x14ac:dyDescent="0.3">
      <c r="F41" s="575">
        <v>0.15</v>
      </c>
      <c r="G41" s="576" t="s">
        <v>538</v>
      </c>
      <c r="H41" s="576" t="s">
        <v>536</v>
      </c>
      <c r="I41" s="576"/>
      <c r="J41" s="575"/>
      <c r="K41" s="576" t="s">
        <v>541</v>
      </c>
      <c r="L41" s="585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theme="3"/>
    <pageSetUpPr fitToPage="1"/>
  </sheetPr>
  <dimension ref="A1:K71"/>
  <sheetViews>
    <sheetView view="pageBreakPreview" topLeftCell="A10" zoomScale="85" zoomScaleNormal="100" zoomScaleSheetLayoutView="85" workbookViewId="0">
      <selection activeCell="G20" sqref="G20:G21"/>
    </sheetView>
  </sheetViews>
  <sheetFormatPr defaultColWidth="11" defaultRowHeight="18" customHeight="1" x14ac:dyDescent="0.15"/>
  <cols>
    <col min="1" max="1" width="23.5" style="196" customWidth="1"/>
    <col min="2" max="2" width="59.375" style="196" customWidth="1"/>
    <col min="3" max="3" width="2.5" style="173" customWidth="1"/>
    <col min="4" max="4" width="13.375" style="173" customWidth="1"/>
    <col min="5" max="5" width="4.5" style="173" customWidth="1"/>
    <col min="6" max="7" width="14.625" style="173" customWidth="1"/>
    <col min="8" max="8" width="9.375" style="173" customWidth="1"/>
    <col min="9" max="10" width="14.625" style="173" customWidth="1"/>
    <col min="11" max="11" width="15.625" style="173" bestFit="1" customWidth="1"/>
    <col min="12" max="13" width="9.5" style="173" customWidth="1"/>
    <col min="14" max="14" width="17.875" style="173" customWidth="1"/>
    <col min="15" max="16384" width="11" style="173"/>
  </cols>
  <sheetData>
    <row r="1" spans="1:11" ht="53.25" customHeight="1" x14ac:dyDescent="0.15">
      <c r="A1" s="762" t="s">
        <v>675</v>
      </c>
      <c r="B1" s="763"/>
      <c r="C1" s="159"/>
    </row>
    <row r="2" spans="1:11" ht="18" customHeight="1" thickBot="1" x14ac:dyDescent="0.3">
      <c r="A2" s="505" t="s">
        <v>382</v>
      </c>
      <c r="B2" s="547" t="s">
        <v>651</v>
      </c>
      <c r="C2" s="159"/>
      <c r="J2" s="174"/>
      <c r="K2" s="174"/>
    </row>
    <row r="3" spans="1:11" ht="18" customHeight="1" x14ac:dyDescent="0.25">
      <c r="A3" s="175" t="s">
        <v>383</v>
      </c>
      <c r="B3" s="176" t="s">
        <v>651</v>
      </c>
      <c r="C3" s="159"/>
      <c r="D3" s="657" t="s">
        <v>603</v>
      </c>
      <c r="E3" s="656"/>
      <c r="F3" s="652"/>
      <c r="G3" s="651" t="s">
        <v>602</v>
      </c>
      <c r="H3" s="673" t="s">
        <v>622</v>
      </c>
      <c r="I3" s="651" t="s">
        <v>623</v>
      </c>
      <c r="J3" s="176" t="s">
        <v>621</v>
      </c>
      <c r="K3" s="174"/>
    </row>
    <row r="4" spans="1:11" ht="18" customHeight="1" x14ac:dyDescent="0.25">
      <c r="A4" s="177" t="s">
        <v>384</v>
      </c>
      <c r="B4" s="178"/>
      <c r="C4" s="159"/>
      <c r="D4" s="646" t="s">
        <v>680</v>
      </c>
      <c r="E4" s="654" t="s">
        <v>604</v>
      </c>
      <c r="F4" s="666" t="s">
        <v>678</v>
      </c>
      <c r="G4" s="667">
        <v>57688</v>
      </c>
      <c r="H4" s="675">
        <f>G4/$G$24</f>
        <v>0.29389999999999999</v>
      </c>
      <c r="I4" s="722">
        <v>598</v>
      </c>
      <c r="J4" s="725">
        <v>96</v>
      </c>
      <c r="K4" s="174"/>
    </row>
    <row r="5" spans="1:11" ht="18" customHeight="1" x14ac:dyDescent="0.25">
      <c r="A5" s="177" t="s">
        <v>385</v>
      </c>
      <c r="B5" s="566"/>
      <c r="D5" s="645"/>
      <c r="E5" s="654" t="s">
        <v>605</v>
      </c>
      <c r="F5" s="666" t="s">
        <v>660</v>
      </c>
      <c r="G5" s="667">
        <f>47617+7420</f>
        <v>55037</v>
      </c>
      <c r="H5" s="675">
        <f t="shared" ref="H5:H23" si="0">G5/$G$24</f>
        <v>0.28039999999999998</v>
      </c>
      <c r="I5" s="723">
        <f>408+48</f>
        <v>456</v>
      </c>
      <c r="J5" s="725">
        <v>121</v>
      </c>
      <c r="K5" s="174"/>
    </row>
    <row r="6" spans="1:11" ht="18" customHeight="1" x14ac:dyDescent="0.25">
      <c r="A6" s="179" t="s">
        <v>386</v>
      </c>
      <c r="B6" s="180"/>
      <c r="D6" s="645"/>
      <c r="E6" s="654" t="s">
        <v>606</v>
      </c>
      <c r="F6" s="666" t="s">
        <v>661</v>
      </c>
      <c r="G6" s="667">
        <v>2075</v>
      </c>
      <c r="H6" s="675">
        <f t="shared" si="0"/>
        <v>1.06E-2</v>
      </c>
      <c r="I6" s="723"/>
      <c r="J6" s="725" t="e">
        <f t="shared" ref="J6:J17" si="1">G6/I6</f>
        <v>#DIV/0!</v>
      </c>
      <c r="K6" s="174"/>
    </row>
    <row r="7" spans="1:11" ht="18" customHeight="1" x14ac:dyDescent="0.25">
      <c r="A7" s="177" t="s">
        <v>387</v>
      </c>
      <c r="B7" s="181"/>
      <c r="D7" s="645"/>
      <c r="E7" s="654" t="s">
        <v>607</v>
      </c>
      <c r="F7" s="666" t="s">
        <v>682</v>
      </c>
      <c r="G7" s="667">
        <v>1903</v>
      </c>
      <c r="H7" s="675">
        <f t="shared" si="0"/>
        <v>9.7000000000000003E-3</v>
      </c>
      <c r="I7" s="723"/>
      <c r="J7" s="725" t="e">
        <f t="shared" si="1"/>
        <v>#DIV/0!</v>
      </c>
      <c r="K7" s="174"/>
    </row>
    <row r="8" spans="1:11" ht="18" customHeight="1" x14ac:dyDescent="0.15">
      <c r="A8" s="177" t="s">
        <v>388</v>
      </c>
      <c r="B8" s="178" t="s">
        <v>676</v>
      </c>
      <c r="D8" s="645"/>
      <c r="E8" s="654" t="s">
        <v>608</v>
      </c>
      <c r="F8" s="666"/>
      <c r="G8" s="667"/>
      <c r="H8" s="675">
        <f t="shared" si="0"/>
        <v>0</v>
      </c>
      <c r="I8" s="723"/>
      <c r="J8" s="725" t="e">
        <f t="shared" si="1"/>
        <v>#DIV/0!</v>
      </c>
    </row>
    <row r="9" spans="1:11" ht="18" customHeight="1" x14ac:dyDescent="0.25">
      <c r="A9" s="177" t="s">
        <v>389</v>
      </c>
      <c r="B9" s="182">
        <v>58351.58</v>
      </c>
      <c r="C9" s="183"/>
      <c r="D9" s="645"/>
      <c r="E9" s="654" t="s">
        <v>609</v>
      </c>
      <c r="F9" s="666"/>
      <c r="G9" s="667"/>
      <c r="H9" s="675">
        <f t="shared" si="0"/>
        <v>0</v>
      </c>
      <c r="I9" s="723"/>
      <c r="J9" s="725" t="e">
        <f t="shared" si="1"/>
        <v>#DIV/0!</v>
      </c>
    </row>
    <row r="10" spans="1:11" ht="18" customHeight="1" x14ac:dyDescent="0.15">
      <c r="A10" s="177" t="s">
        <v>373</v>
      </c>
      <c r="B10" s="178" t="s">
        <v>677</v>
      </c>
      <c r="C10" s="184"/>
      <c r="D10" s="645"/>
      <c r="E10" s="654" t="s">
        <v>610</v>
      </c>
      <c r="F10" s="666"/>
      <c r="G10" s="667"/>
      <c r="H10" s="675">
        <f t="shared" si="0"/>
        <v>0</v>
      </c>
      <c r="I10" s="723"/>
      <c r="J10" s="725" t="e">
        <f t="shared" si="1"/>
        <v>#DIV/0!</v>
      </c>
    </row>
    <row r="11" spans="1:11" ht="18" customHeight="1" x14ac:dyDescent="0.25">
      <c r="A11" s="177" t="s">
        <v>390</v>
      </c>
      <c r="B11" s="758"/>
      <c r="C11" s="183"/>
      <c r="D11" s="645"/>
      <c r="E11" s="654" t="s">
        <v>611</v>
      </c>
      <c r="F11" s="666"/>
      <c r="G11" s="667"/>
      <c r="H11" s="675">
        <f t="shared" si="0"/>
        <v>0</v>
      </c>
      <c r="I11" s="723"/>
      <c r="J11" s="725" t="e">
        <f t="shared" si="1"/>
        <v>#DIV/0!</v>
      </c>
    </row>
    <row r="12" spans="1:11" ht="18" customHeight="1" x14ac:dyDescent="0.25">
      <c r="A12" s="179" t="s">
        <v>529</v>
      </c>
      <c r="B12" s="185">
        <v>173800</v>
      </c>
      <c r="C12" s="183"/>
      <c r="D12" s="645"/>
      <c r="E12" s="654" t="s">
        <v>612</v>
      </c>
      <c r="F12" s="666"/>
      <c r="G12" s="667"/>
      <c r="H12" s="675">
        <f t="shared" si="0"/>
        <v>0</v>
      </c>
      <c r="I12" s="723"/>
      <c r="J12" s="725" t="e">
        <f t="shared" si="1"/>
        <v>#DIV/0!</v>
      </c>
    </row>
    <row r="13" spans="1:11" ht="18" customHeight="1" x14ac:dyDescent="0.15">
      <c r="A13" s="186" t="s">
        <v>662</v>
      </c>
      <c r="B13" s="185">
        <v>31000</v>
      </c>
      <c r="C13" s="187"/>
      <c r="D13" s="645"/>
      <c r="E13" s="654" t="s">
        <v>613</v>
      </c>
      <c r="F13" s="666"/>
      <c r="G13" s="667"/>
      <c r="H13" s="675">
        <f t="shared" si="0"/>
        <v>0</v>
      </c>
      <c r="I13" s="723"/>
      <c r="J13" s="725" t="e">
        <f t="shared" si="1"/>
        <v>#DIV/0!</v>
      </c>
    </row>
    <row r="14" spans="1:11" ht="18" customHeight="1" x14ac:dyDescent="0.15">
      <c r="A14" s="186" t="s">
        <v>663</v>
      </c>
      <c r="B14" s="185">
        <f>B12-B13</f>
        <v>142800</v>
      </c>
      <c r="C14" s="187"/>
      <c r="D14" s="645"/>
      <c r="E14" s="654" t="s">
        <v>614</v>
      </c>
      <c r="F14" s="666"/>
      <c r="G14" s="667"/>
      <c r="H14" s="675">
        <f t="shared" si="0"/>
        <v>0</v>
      </c>
      <c r="I14" s="723"/>
      <c r="J14" s="725" t="e">
        <f t="shared" si="1"/>
        <v>#DIV/0!</v>
      </c>
    </row>
    <row r="15" spans="1:11" ht="18" customHeight="1" x14ac:dyDescent="0.15">
      <c r="A15" s="186"/>
      <c r="B15" s="185"/>
      <c r="C15" s="187"/>
      <c r="D15" s="645"/>
      <c r="E15" s="654" t="s">
        <v>615</v>
      </c>
      <c r="F15" s="666"/>
      <c r="G15" s="667"/>
      <c r="H15" s="675">
        <f t="shared" si="0"/>
        <v>0</v>
      </c>
      <c r="I15" s="723"/>
      <c r="J15" s="725" t="e">
        <f t="shared" si="1"/>
        <v>#DIV/0!</v>
      </c>
    </row>
    <row r="16" spans="1:11" ht="18" customHeight="1" x14ac:dyDescent="0.15">
      <c r="A16" s="177" t="s">
        <v>391</v>
      </c>
      <c r="B16" s="182">
        <f>ROUND(B12/B9*10000,0)</f>
        <v>29785</v>
      </c>
      <c r="C16" s="187"/>
      <c r="D16" s="645"/>
      <c r="E16" s="654" t="s">
        <v>616</v>
      </c>
      <c r="F16" s="666"/>
      <c r="G16" s="667"/>
      <c r="H16" s="675">
        <f t="shared" si="0"/>
        <v>0</v>
      </c>
      <c r="I16" s="723"/>
      <c r="J16" s="725" t="e">
        <f t="shared" si="1"/>
        <v>#DIV/0!</v>
      </c>
    </row>
    <row r="17" spans="1:11" ht="18" customHeight="1" x14ac:dyDescent="0.15">
      <c r="A17" s="177" t="s">
        <v>392</v>
      </c>
      <c r="B17" s="182">
        <f>ROUND(B12/B18*10000,0)</f>
        <v>14893</v>
      </c>
      <c r="C17" s="438"/>
      <c r="D17" s="645"/>
      <c r="E17" s="654" t="s">
        <v>617</v>
      </c>
      <c r="F17" s="666"/>
      <c r="G17" s="667"/>
      <c r="H17" s="675">
        <f t="shared" si="0"/>
        <v>0</v>
      </c>
      <c r="I17" s="723"/>
      <c r="J17" s="725" t="e">
        <f t="shared" si="1"/>
        <v>#DIV/0!</v>
      </c>
    </row>
    <row r="18" spans="1:11" ht="18" customHeight="1" x14ac:dyDescent="0.15">
      <c r="A18" s="177" t="s">
        <v>393</v>
      </c>
      <c r="B18" s="188">
        <v>116703</v>
      </c>
      <c r="D18" s="645"/>
      <c r="E18" s="655" t="s">
        <v>618</v>
      </c>
      <c r="F18" s="743"/>
      <c r="G18" s="668"/>
      <c r="H18" s="675">
        <f t="shared" si="0"/>
        <v>0</v>
      </c>
      <c r="I18" s="724"/>
      <c r="J18" s="725"/>
    </row>
    <row r="19" spans="1:11" ht="18" customHeight="1" x14ac:dyDescent="0.15">
      <c r="A19" s="177" t="s">
        <v>394</v>
      </c>
      <c r="B19" s="178">
        <v>2</v>
      </c>
      <c r="D19" s="658"/>
      <c r="E19" s="660" t="s">
        <v>619</v>
      </c>
      <c r="F19" s="649"/>
      <c r="G19" s="669">
        <f>SUM(G4:G18)</f>
        <v>116703</v>
      </c>
      <c r="H19" s="676">
        <f t="shared" si="0"/>
        <v>0.59460000000000002</v>
      </c>
      <c r="I19" s="671">
        <f>SUM(I4:I18)</f>
        <v>1054</v>
      </c>
      <c r="J19" s="677"/>
    </row>
    <row r="20" spans="1:11" ht="18" customHeight="1" x14ac:dyDescent="0.15">
      <c r="A20" s="189" t="s">
        <v>168</v>
      </c>
      <c r="B20" s="178" t="s">
        <v>652</v>
      </c>
      <c r="D20" s="646" t="s">
        <v>681</v>
      </c>
      <c r="E20" s="659"/>
      <c r="F20" s="666" t="s">
        <v>679</v>
      </c>
      <c r="G20" s="667">
        <v>20455</v>
      </c>
      <c r="H20" s="676">
        <f t="shared" si="0"/>
        <v>0.1042</v>
      </c>
      <c r="I20" s="670"/>
      <c r="J20" s="741"/>
    </row>
    <row r="21" spans="1:11" ht="18" customHeight="1" x14ac:dyDescent="0.15">
      <c r="A21" s="191"/>
      <c r="B21" s="178" t="s">
        <v>653</v>
      </c>
      <c r="D21" s="645"/>
      <c r="E21" s="659"/>
      <c r="F21" s="743" t="s">
        <v>290</v>
      </c>
      <c r="G21" s="668">
        <v>55840</v>
      </c>
      <c r="H21" s="676">
        <f t="shared" si="0"/>
        <v>0.28449999999999998</v>
      </c>
      <c r="I21" s="746">
        <v>1396</v>
      </c>
      <c r="J21" s="741">
        <f>G21/I21</f>
        <v>40</v>
      </c>
      <c r="K21" s="563"/>
    </row>
    <row r="22" spans="1:11" ht="18" customHeight="1" x14ac:dyDescent="0.15">
      <c r="A22" s="191"/>
      <c r="B22" s="178" t="s">
        <v>654</v>
      </c>
      <c r="D22" s="645"/>
      <c r="E22" s="661"/>
      <c r="F22" s="650" t="s">
        <v>683</v>
      </c>
      <c r="G22" s="670">
        <v>3281</v>
      </c>
      <c r="H22" s="676">
        <f t="shared" si="0"/>
        <v>1.67E-2</v>
      </c>
      <c r="I22" s="670"/>
      <c r="J22" s="742"/>
    </row>
    <row r="23" spans="1:11" ht="18" customHeight="1" x14ac:dyDescent="0.15">
      <c r="A23" s="192"/>
      <c r="B23" s="178"/>
      <c r="D23" s="653"/>
      <c r="E23" s="660" t="s">
        <v>619</v>
      </c>
      <c r="F23" s="649"/>
      <c r="G23" s="669">
        <f>SUM(G20:G22)</f>
        <v>79576</v>
      </c>
      <c r="H23" s="676">
        <f t="shared" si="0"/>
        <v>0.40539999999999998</v>
      </c>
      <c r="I23" s="671"/>
      <c r="J23" s="672"/>
      <c r="K23" s="190"/>
    </row>
    <row r="24" spans="1:11" ht="18" customHeight="1" x14ac:dyDescent="0.15">
      <c r="A24" s="192" t="s">
        <v>395</v>
      </c>
      <c r="B24" s="180"/>
      <c r="C24" s="647"/>
      <c r="D24" s="665" t="s">
        <v>257</v>
      </c>
      <c r="E24" s="662"/>
      <c r="F24" s="663"/>
      <c r="G24" s="671">
        <f>G19+G23</f>
        <v>196279</v>
      </c>
      <c r="H24" s="674"/>
      <c r="I24" s="671"/>
      <c r="J24" s="672"/>
      <c r="K24" s="647"/>
    </row>
    <row r="25" spans="1:11" ht="18" customHeight="1" x14ac:dyDescent="0.15">
      <c r="A25" s="192" t="s">
        <v>396</v>
      </c>
      <c r="B25" s="180"/>
      <c r="C25" s="647"/>
      <c r="D25" s="665" t="s">
        <v>655</v>
      </c>
      <c r="E25" s="662"/>
      <c r="F25" s="649"/>
      <c r="G25" s="662">
        <f>B9</f>
        <v>58351.58</v>
      </c>
      <c r="H25" s="649"/>
      <c r="I25" s="660"/>
      <c r="J25" s="709"/>
      <c r="K25" s="647"/>
    </row>
    <row r="26" spans="1:11" ht="18" customHeight="1" thickBot="1" x14ac:dyDescent="0.2">
      <c r="A26" s="177" t="s">
        <v>397</v>
      </c>
      <c r="B26" s="178"/>
      <c r="C26" s="647"/>
      <c r="D26" s="648" t="s">
        <v>684</v>
      </c>
      <c r="E26" s="664"/>
      <c r="F26" s="710"/>
      <c r="G26" s="747">
        <f>G19/G25</f>
        <v>2</v>
      </c>
      <c r="H26" s="710"/>
      <c r="I26" s="711"/>
      <c r="J26" s="712"/>
      <c r="K26" s="647"/>
    </row>
    <row r="27" spans="1:11" ht="18" customHeight="1" thickBot="1" x14ac:dyDescent="0.2">
      <c r="A27" s="193" t="s">
        <v>398</v>
      </c>
      <c r="B27" s="194"/>
      <c r="C27" s="647"/>
      <c r="D27" s="647"/>
      <c r="E27" s="647"/>
      <c r="F27" s="647"/>
      <c r="G27" s="647"/>
      <c r="H27" s="647"/>
      <c r="I27" s="647"/>
      <c r="J27" s="647"/>
      <c r="K27" s="647"/>
    </row>
    <row r="28" spans="1:11" ht="18" customHeight="1" x14ac:dyDescent="0.15">
      <c r="A28" s="195"/>
      <c r="B28" s="195"/>
      <c r="C28" s="647"/>
      <c r="D28" s="647"/>
      <c r="E28" s="647"/>
      <c r="F28" s="647"/>
      <c r="G28" s="647"/>
      <c r="H28" s="647"/>
      <c r="I28" s="647"/>
      <c r="J28" s="647"/>
      <c r="K28" s="647"/>
    </row>
    <row r="29" spans="1:11" ht="18" customHeight="1" thickBot="1" x14ac:dyDescent="0.2">
      <c r="A29" s="505" t="s">
        <v>522</v>
      </c>
      <c r="B29" s="505" t="s">
        <v>523</v>
      </c>
      <c r="C29" s="647"/>
      <c r="D29" s="647"/>
      <c r="E29" s="647"/>
      <c r="F29" s="647"/>
      <c r="G29" s="647"/>
      <c r="H29" s="647"/>
      <c r="I29" s="647"/>
      <c r="J29" s="647"/>
      <c r="K29" s="647"/>
    </row>
    <row r="30" spans="1:11" ht="18" customHeight="1" x14ac:dyDescent="0.15">
      <c r="A30" s="175" t="s">
        <v>399</v>
      </c>
      <c r="B30" s="176"/>
      <c r="C30" s="647"/>
      <c r="D30" s="647"/>
      <c r="E30" s="647"/>
      <c r="F30" s="647"/>
      <c r="G30" s="647"/>
      <c r="H30" s="647"/>
      <c r="I30" s="647"/>
      <c r="J30" s="647"/>
      <c r="K30" s="647"/>
    </row>
    <row r="31" spans="1:11" ht="18" customHeight="1" x14ac:dyDescent="0.15">
      <c r="A31" s="177" t="s">
        <v>400</v>
      </c>
      <c r="B31" s="178"/>
      <c r="C31" s="647"/>
      <c r="D31" s="647"/>
      <c r="E31" s="647"/>
      <c r="F31" s="647"/>
      <c r="G31" s="647"/>
      <c r="H31" s="647"/>
      <c r="I31" s="647"/>
      <c r="J31" s="647"/>
      <c r="K31" s="647"/>
    </row>
    <row r="32" spans="1:11" ht="18" customHeight="1" x14ac:dyDescent="0.15">
      <c r="A32" s="177" t="s">
        <v>401</v>
      </c>
      <c r="B32" s="178"/>
      <c r="C32" s="647"/>
      <c r="D32" s="647"/>
      <c r="E32" s="647"/>
      <c r="F32" s="647"/>
      <c r="G32" s="647"/>
      <c r="H32" s="647"/>
      <c r="I32" s="647"/>
      <c r="J32" s="647"/>
      <c r="K32" s="647"/>
    </row>
    <row r="33" spans="1:11" ht="18" customHeight="1" x14ac:dyDescent="0.15">
      <c r="A33" s="177" t="s">
        <v>402</v>
      </c>
      <c r="B33" s="178"/>
      <c r="C33" s="647"/>
      <c r="D33" s="647"/>
      <c r="E33" s="647"/>
      <c r="F33" s="647"/>
      <c r="G33" s="647"/>
      <c r="H33" s="647"/>
      <c r="I33" s="647"/>
      <c r="J33" s="647"/>
      <c r="K33" s="647"/>
    </row>
    <row r="34" spans="1:11" ht="18" customHeight="1" x14ac:dyDescent="0.15">
      <c r="A34" s="177" t="s">
        <v>403</v>
      </c>
      <c r="B34" s="178"/>
      <c r="C34" s="647"/>
      <c r="D34" s="647"/>
      <c r="E34" s="647"/>
      <c r="F34" s="647"/>
      <c r="G34" s="647"/>
      <c r="H34" s="647"/>
      <c r="I34" s="647"/>
      <c r="J34" s="647"/>
      <c r="K34" s="647"/>
    </row>
    <row r="35" spans="1:11" ht="18" customHeight="1" x14ac:dyDescent="0.15">
      <c r="A35" s="177" t="s">
        <v>404</v>
      </c>
      <c r="B35" s="178"/>
      <c r="C35" s="647"/>
      <c r="D35" s="647"/>
      <c r="E35" s="647"/>
      <c r="F35" s="647"/>
      <c r="G35" s="647"/>
      <c r="H35" s="647"/>
      <c r="I35" s="647"/>
      <c r="J35" s="647"/>
      <c r="K35" s="647"/>
    </row>
    <row r="36" spans="1:11" ht="18" customHeight="1" x14ac:dyDescent="0.15">
      <c r="A36" s="177" t="s">
        <v>405</v>
      </c>
      <c r="B36" s="178"/>
      <c r="C36" s="647"/>
      <c r="D36" s="647"/>
      <c r="E36" s="647"/>
      <c r="F36" s="647"/>
      <c r="G36" s="647"/>
      <c r="H36" s="647"/>
      <c r="I36" s="647"/>
      <c r="J36" s="647"/>
      <c r="K36" s="647"/>
    </row>
    <row r="37" spans="1:11" ht="18" customHeight="1" x14ac:dyDescent="0.15">
      <c r="A37" s="177" t="s">
        <v>373</v>
      </c>
      <c r="B37" s="178"/>
      <c r="C37" s="647"/>
      <c r="D37" s="647"/>
      <c r="E37" s="647"/>
      <c r="F37" s="647"/>
      <c r="G37" s="647"/>
      <c r="H37" s="647"/>
      <c r="I37" s="647"/>
      <c r="J37" s="647"/>
      <c r="K37" s="647"/>
    </row>
    <row r="38" spans="1:11" ht="18" customHeight="1" x14ac:dyDescent="0.15">
      <c r="A38" s="177" t="s">
        <v>521</v>
      </c>
      <c r="B38" s="178"/>
      <c r="C38" s="647"/>
      <c r="D38" s="647"/>
      <c r="E38" s="647"/>
      <c r="F38" s="647"/>
      <c r="G38" s="647"/>
      <c r="H38" s="647"/>
      <c r="I38" s="647"/>
      <c r="J38" s="647"/>
      <c r="K38" s="647"/>
    </row>
    <row r="39" spans="1:11" ht="18" customHeight="1" x14ac:dyDescent="0.15">
      <c r="A39" s="177" t="s">
        <v>406</v>
      </c>
      <c r="B39" s="178"/>
      <c r="C39" s="647"/>
      <c r="D39" s="647"/>
      <c r="E39" s="647"/>
      <c r="F39" s="647"/>
      <c r="G39" s="647"/>
      <c r="H39" s="647"/>
      <c r="I39" s="647"/>
      <c r="J39" s="647"/>
      <c r="K39" s="647"/>
    </row>
    <row r="40" spans="1:11" ht="18" customHeight="1" thickBot="1" x14ac:dyDescent="0.2">
      <c r="A40" s="193" t="s">
        <v>407</v>
      </c>
      <c r="B40" s="194"/>
      <c r="C40" s="647"/>
      <c r="D40" s="647"/>
      <c r="E40" s="647"/>
      <c r="F40" s="647"/>
      <c r="G40" s="647"/>
      <c r="H40" s="647"/>
      <c r="I40" s="647"/>
      <c r="J40" s="647"/>
      <c r="K40" s="647"/>
    </row>
    <row r="41" spans="1:11" ht="18" customHeight="1" x14ac:dyDescent="0.15">
      <c r="C41" s="647"/>
      <c r="D41" s="647"/>
      <c r="E41" s="647"/>
      <c r="F41" s="647"/>
      <c r="G41" s="647"/>
      <c r="H41" s="647"/>
      <c r="I41" s="647"/>
      <c r="J41" s="647"/>
      <c r="K41" s="647"/>
    </row>
    <row r="42" spans="1:11" ht="18" customHeight="1" thickBot="1" x14ac:dyDescent="0.2">
      <c r="A42" s="505" t="s">
        <v>524</v>
      </c>
      <c r="B42" s="505" t="s">
        <v>523</v>
      </c>
      <c r="C42" s="647"/>
      <c r="D42" s="647"/>
      <c r="E42" s="647"/>
      <c r="F42" s="647"/>
      <c r="G42" s="647"/>
      <c r="H42" s="647"/>
      <c r="I42" s="647"/>
      <c r="J42" s="647"/>
      <c r="K42" s="647"/>
    </row>
    <row r="43" spans="1:11" ht="18" customHeight="1" x14ac:dyDescent="0.15">
      <c r="A43" s="175" t="s">
        <v>399</v>
      </c>
      <c r="B43" s="176"/>
      <c r="C43" s="647"/>
      <c r="D43" s="647"/>
      <c r="E43" s="647"/>
      <c r="F43" s="647"/>
      <c r="G43" s="647"/>
      <c r="H43" s="647"/>
      <c r="I43" s="647"/>
      <c r="J43" s="647"/>
      <c r="K43" s="647"/>
    </row>
    <row r="44" spans="1:11" ht="18" customHeight="1" x14ac:dyDescent="0.15">
      <c r="A44" s="177" t="s">
        <v>408</v>
      </c>
      <c r="B44" s="178"/>
      <c r="C44" s="647"/>
      <c r="D44" s="647"/>
      <c r="E44" s="647"/>
      <c r="F44" s="647"/>
      <c r="G44" s="647"/>
      <c r="H44" s="647"/>
      <c r="I44" s="647"/>
      <c r="J44" s="647"/>
      <c r="K44" s="647"/>
    </row>
    <row r="45" spans="1:11" ht="18" customHeight="1" x14ac:dyDescent="0.15">
      <c r="A45" s="177" t="s">
        <v>409</v>
      </c>
      <c r="B45" s="178"/>
      <c r="C45" s="647"/>
      <c r="D45" s="647"/>
      <c r="E45" s="647"/>
      <c r="F45" s="647"/>
      <c r="G45" s="647"/>
      <c r="H45" s="647"/>
      <c r="I45" s="647"/>
      <c r="J45" s="647"/>
      <c r="K45" s="647"/>
    </row>
    <row r="46" spans="1:11" ht="18" customHeight="1" x14ac:dyDescent="0.15">
      <c r="A46" s="177" t="s">
        <v>410</v>
      </c>
      <c r="B46" s="178"/>
      <c r="C46" s="647"/>
      <c r="D46" s="647"/>
      <c r="E46" s="647"/>
      <c r="F46" s="647"/>
      <c r="G46" s="647"/>
      <c r="H46" s="647"/>
      <c r="I46" s="647"/>
      <c r="J46" s="647"/>
      <c r="K46" s="647"/>
    </row>
    <row r="47" spans="1:11" ht="18" customHeight="1" x14ac:dyDescent="0.15">
      <c r="A47" s="177" t="s">
        <v>411</v>
      </c>
      <c r="B47" s="178"/>
      <c r="C47" s="647"/>
      <c r="D47" s="647"/>
      <c r="E47" s="647"/>
      <c r="F47" s="647"/>
      <c r="G47" s="647"/>
      <c r="H47" s="647"/>
      <c r="I47" s="647"/>
      <c r="J47" s="647"/>
      <c r="K47" s="647"/>
    </row>
    <row r="48" spans="1:11" ht="18" customHeight="1" x14ac:dyDescent="0.15">
      <c r="A48" s="177" t="s">
        <v>412</v>
      </c>
      <c r="B48" s="178"/>
      <c r="C48" s="647"/>
      <c r="D48" s="647"/>
      <c r="E48" s="647"/>
      <c r="F48" s="647"/>
      <c r="G48" s="647"/>
      <c r="H48" s="647"/>
      <c r="I48" s="647"/>
      <c r="J48" s="647"/>
      <c r="K48" s="647"/>
    </row>
    <row r="49" spans="1:11" ht="18" customHeight="1" thickBot="1" x14ac:dyDescent="0.2">
      <c r="A49" s="193" t="s">
        <v>407</v>
      </c>
      <c r="B49" s="194"/>
      <c r="C49" s="647"/>
      <c r="D49" s="647"/>
      <c r="E49" s="647"/>
      <c r="F49" s="647"/>
      <c r="G49" s="647"/>
      <c r="H49" s="647"/>
      <c r="I49" s="647"/>
      <c r="J49" s="647"/>
      <c r="K49" s="647"/>
    </row>
    <row r="50" spans="1:11" ht="18" customHeight="1" x14ac:dyDescent="0.15">
      <c r="C50" s="647"/>
      <c r="D50" s="647"/>
      <c r="E50" s="647"/>
      <c r="F50" s="647"/>
      <c r="G50" s="647"/>
      <c r="H50" s="647"/>
      <c r="I50" s="647"/>
      <c r="J50" s="647"/>
      <c r="K50" s="647"/>
    </row>
    <row r="51" spans="1:11" ht="18" customHeight="1" thickBot="1" x14ac:dyDescent="0.2">
      <c r="A51" s="505" t="s">
        <v>525</v>
      </c>
      <c r="B51" s="505" t="s">
        <v>523</v>
      </c>
      <c r="C51" s="647"/>
      <c r="D51" s="647"/>
      <c r="E51" s="647"/>
      <c r="F51" s="647"/>
      <c r="G51" s="647"/>
      <c r="H51" s="647"/>
      <c r="I51" s="647"/>
      <c r="J51" s="647"/>
      <c r="K51" s="647"/>
    </row>
    <row r="52" spans="1:11" ht="18" customHeight="1" x14ac:dyDescent="0.15">
      <c r="A52" s="175" t="s">
        <v>399</v>
      </c>
      <c r="B52" s="176"/>
      <c r="C52" s="647"/>
      <c r="D52" s="647"/>
      <c r="E52" s="647"/>
      <c r="F52" s="647"/>
      <c r="G52" s="647"/>
      <c r="H52" s="647"/>
      <c r="I52" s="647"/>
      <c r="J52" s="647"/>
      <c r="K52" s="647"/>
    </row>
    <row r="53" spans="1:11" ht="18" customHeight="1" x14ac:dyDescent="0.15">
      <c r="A53" s="177" t="s">
        <v>413</v>
      </c>
      <c r="B53" s="178"/>
      <c r="C53" s="647"/>
      <c r="D53" s="647"/>
      <c r="E53" s="647"/>
      <c r="F53" s="647"/>
      <c r="G53" s="647"/>
      <c r="H53" s="647"/>
      <c r="I53" s="647"/>
      <c r="J53" s="647"/>
      <c r="K53" s="647"/>
    </row>
    <row r="54" spans="1:11" ht="18" customHeight="1" x14ac:dyDescent="0.15">
      <c r="A54" s="177" t="s">
        <v>414</v>
      </c>
      <c r="B54" s="178"/>
      <c r="C54" s="647"/>
      <c r="D54" s="647"/>
      <c r="E54" s="647"/>
      <c r="F54" s="647"/>
      <c r="G54" s="647"/>
      <c r="H54" s="647"/>
      <c r="I54" s="647"/>
      <c r="J54" s="647"/>
      <c r="K54" s="647"/>
    </row>
    <row r="55" spans="1:11" ht="18" customHeight="1" x14ac:dyDescent="0.15">
      <c r="A55" s="177" t="s">
        <v>415</v>
      </c>
      <c r="B55" s="178"/>
      <c r="C55" s="647"/>
      <c r="D55" s="647"/>
      <c r="E55" s="647"/>
      <c r="F55" s="647"/>
      <c r="G55" s="647"/>
      <c r="H55" s="647"/>
      <c r="I55" s="647"/>
      <c r="J55" s="647"/>
      <c r="K55" s="647"/>
    </row>
    <row r="56" spans="1:11" ht="18" customHeight="1" x14ac:dyDescent="0.15">
      <c r="A56" s="177" t="s">
        <v>416</v>
      </c>
      <c r="B56" s="178"/>
      <c r="C56" s="647"/>
      <c r="D56" s="647"/>
      <c r="E56" s="647"/>
      <c r="F56" s="647"/>
      <c r="G56" s="647"/>
      <c r="H56" s="647"/>
      <c r="I56" s="647"/>
      <c r="J56" s="647"/>
      <c r="K56" s="647"/>
    </row>
    <row r="57" spans="1:11" ht="18" customHeight="1" thickBot="1" x14ac:dyDescent="0.2">
      <c r="A57" s="193" t="s">
        <v>407</v>
      </c>
      <c r="B57" s="194"/>
      <c r="C57" s="647"/>
      <c r="D57" s="647"/>
      <c r="E57" s="647"/>
      <c r="F57" s="647"/>
      <c r="G57" s="647"/>
      <c r="H57" s="647"/>
      <c r="I57" s="647"/>
      <c r="J57" s="647"/>
      <c r="K57" s="647"/>
    </row>
    <row r="58" spans="1:11" ht="18" customHeight="1" x14ac:dyDescent="0.15">
      <c r="C58" s="647"/>
      <c r="D58" s="647"/>
      <c r="E58" s="647"/>
      <c r="F58" s="647"/>
      <c r="G58" s="647"/>
      <c r="H58" s="647"/>
      <c r="I58" s="647"/>
      <c r="J58" s="647"/>
      <c r="K58" s="647"/>
    </row>
    <row r="59" spans="1:11" ht="18" customHeight="1" thickBot="1" x14ac:dyDescent="0.2">
      <c r="A59" s="505" t="s">
        <v>526</v>
      </c>
      <c r="B59" s="505" t="s">
        <v>523</v>
      </c>
      <c r="C59" s="647"/>
      <c r="D59" s="647"/>
      <c r="E59" s="647"/>
      <c r="F59" s="647"/>
      <c r="G59" s="647"/>
      <c r="H59" s="647"/>
      <c r="I59" s="647"/>
      <c r="J59" s="647"/>
      <c r="K59" s="647"/>
    </row>
    <row r="60" spans="1:11" ht="18" customHeight="1" x14ac:dyDescent="0.15">
      <c r="A60" s="175" t="s">
        <v>399</v>
      </c>
      <c r="B60" s="176"/>
      <c r="D60" s="647"/>
      <c r="E60" s="647"/>
      <c r="F60" s="647"/>
      <c r="G60" s="647"/>
      <c r="H60" s="647"/>
      <c r="I60" s="647"/>
      <c r="J60" s="647"/>
    </row>
    <row r="61" spans="1:11" ht="18" customHeight="1" x14ac:dyDescent="0.15">
      <c r="A61" s="177" t="s">
        <v>417</v>
      </c>
      <c r="B61" s="178"/>
      <c r="D61" s="647"/>
      <c r="E61" s="647"/>
      <c r="F61" s="647"/>
      <c r="G61" s="647"/>
      <c r="H61" s="647"/>
      <c r="I61" s="647"/>
      <c r="J61" s="647"/>
    </row>
    <row r="62" spans="1:11" ht="18" customHeight="1" x14ac:dyDescent="0.15">
      <c r="A62" s="177" t="s">
        <v>418</v>
      </c>
      <c r="B62" s="178"/>
      <c r="D62" s="565"/>
      <c r="E62" s="565"/>
    </row>
    <row r="63" spans="1:11" ht="18" customHeight="1" x14ac:dyDescent="0.15">
      <c r="A63" s="177" t="s">
        <v>419</v>
      </c>
      <c r="B63" s="178"/>
      <c r="D63" s="565"/>
      <c r="E63" s="565"/>
    </row>
    <row r="64" spans="1:11" ht="18" customHeight="1" x14ac:dyDescent="0.15">
      <c r="A64" s="177" t="s">
        <v>416</v>
      </c>
      <c r="B64" s="178"/>
    </row>
    <row r="65" spans="1:2" ht="18" customHeight="1" x14ac:dyDescent="0.15">
      <c r="A65" s="177" t="s">
        <v>420</v>
      </c>
      <c r="B65" s="178"/>
    </row>
    <row r="66" spans="1:2" ht="18" customHeight="1" x14ac:dyDescent="0.15">
      <c r="A66" s="177" t="s">
        <v>421</v>
      </c>
      <c r="B66" s="178"/>
    </row>
    <row r="67" spans="1:2" ht="18" customHeight="1" x14ac:dyDescent="0.15">
      <c r="A67" s="177" t="s">
        <v>422</v>
      </c>
      <c r="B67" s="178"/>
    </row>
    <row r="68" spans="1:2" ht="18" customHeight="1" x14ac:dyDescent="0.15">
      <c r="A68" s="177" t="s">
        <v>423</v>
      </c>
      <c r="B68" s="178"/>
    </row>
    <row r="69" spans="1:2" ht="18" customHeight="1" x14ac:dyDescent="0.15">
      <c r="A69" s="177" t="s">
        <v>424</v>
      </c>
      <c r="B69" s="178"/>
    </row>
    <row r="70" spans="1:2" ht="18" customHeight="1" x14ac:dyDescent="0.15">
      <c r="A70" s="177" t="s">
        <v>425</v>
      </c>
      <c r="B70" s="178"/>
    </row>
    <row r="71" spans="1:2" ht="18" customHeight="1" thickBot="1" x14ac:dyDescent="0.2">
      <c r="A71" s="193" t="s">
        <v>407</v>
      </c>
      <c r="B71" s="194"/>
    </row>
  </sheetData>
  <protectedRanges>
    <protectedRange password="CF7A" sqref="K24:K27" name="区域2_1"/>
    <protectedRange password="CF7A" sqref="K24:K27" name="区域1_1"/>
    <protectedRange sqref="J28:J57" name="区域3"/>
    <protectedRange sqref="D38:I57" name="区域2_2"/>
    <protectedRange sqref="F28:J37" name="区域1_2"/>
  </protectedRanges>
  <mergeCells count="1">
    <mergeCell ref="A1:B1"/>
  </mergeCells>
  <phoneticPr fontId="2" type="noConversion"/>
  <dataValidations count="1">
    <dataValidation type="list" allowBlank="1" showInputMessage="1" showErrorMessage="1" sqref="A3">
      <formula1>"电子监管号,合同编号"</formula1>
    </dataValidation>
  </dataValidations>
  <pageMargins left="0.75" right="0.75" top="1" bottom="1" header="0.5" footer="0.5"/>
  <pageSetup paperSize="9" scale="33" orientation="landscape" r:id="rId1"/>
  <headerFooter alignWithMargins="0"/>
  <drawing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outlinePr summaryBelow="0" summaryRight="0"/>
  </sheetPr>
  <dimension ref="A1:AT168"/>
  <sheetViews>
    <sheetView view="pageBreakPreview" zoomScaleNormal="100" zoomScaleSheetLayoutView="100" workbookViewId="0">
      <pane xSplit="3" ySplit="4" topLeftCell="D40" activePane="bottomRight" state="frozen"/>
      <selection activeCell="B26" sqref="B26"/>
      <selection pane="topRight" activeCell="B26" sqref="B26"/>
      <selection pane="bottomLeft" activeCell="B26" sqref="B26"/>
      <selection pane="bottomRight" activeCell="F122" sqref="F122"/>
    </sheetView>
  </sheetViews>
  <sheetFormatPr defaultColWidth="11" defaultRowHeight="18" customHeight="1" outlineLevelRow="2" x14ac:dyDescent="0.15"/>
  <cols>
    <col min="1" max="1" width="7.375" style="160" customWidth="1"/>
    <col min="2" max="2" width="18.5" style="159" customWidth="1"/>
    <col min="3" max="3" width="14.125" style="159" customWidth="1"/>
    <col min="4" max="4" width="13.625" style="162" customWidth="1" collapsed="1"/>
    <col min="5" max="7" width="13.625" style="162" customWidth="1"/>
    <col min="8" max="8" width="13.625" style="162" customWidth="1" collapsed="1"/>
    <col min="9" max="11" width="13.625" style="162" customWidth="1"/>
    <col min="12" max="12" width="13.625" style="162" customWidth="1" collapsed="1"/>
    <col min="13" max="15" width="13.625" style="162" customWidth="1"/>
    <col min="16" max="16" width="13.625" style="162" customWidth="1" collapsed="1"/>
    <col min="17" max="19" width="13.625" style="162" customWidth="1"/>
    <col min="20" max="20" width="13.625" style="162" customWidth="1" collapsed="1"/>
    <col min="21" max="23" width="13.625" style="162" customWidth="1"/>
    <col min="24" max="24" width="13.625" style="162" customWidth="1" collapsed="1"/>
    <col min="25" max="27" width="13.625" style="162" customWidth="1"/>
    <col min="28" max="28" width="13.625" style="162" customWidth="1" collapsed="1"/>
    <col min="29" max="31" width="13.625" style="162" customWidth="1"/>
    <col min="32" max="32" width="13.625" style="162" customWidth="1" collapsed="1"/>
    <col min="33" max="35" width="13.625" style="162" customWidth="1"/>
    <col min="36" max="36" width="13.625" style="162" customWidth="1" collapsed="1"/>
    <col min="37" max="39" width="13.625" style="162" customWidth="1"/>
    <col min="40" max="40" width="13.625" style="162" customWidth="1" collapsed="1"/>
    <col min="41" max="43" width="13.625" style="162" customWidth="1"/>
    <col min="44" max="44" width="11" style="159" customWidth="1"/>
    <col min="45" max="45" width="14" style="159" bestFit="1" customWidth="1"/>
    <col min="46" max="46" width="11" style="159" customWidth="1"/>
    <col min="47" max="16384" width="11" style="159"/>
  </cols>
  <sheetData>
    <row r="1" spans="1:46" s="158" customFormat="1" ht="18" customHeight="1" x14ac:dyDescent="0.15">
      <c r="A1" s="238" t="s">
        <v>84</v>
      </c>
      <c r="B1" s="238"/>
      <c r="C1" s="238"/>
      <c r="D1" s="240" t="s">
        <v>457</v>
      </c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  <c r="Y1" s="238"/>
      <c r="Z1" s="238"/>
      <c r="AA1" s="238"/>
      <c r="AB1" s="238"/>
      <c r="AC1" s="238"/>
      <c r="AD1" s="238"/>
      <c r="AE1" s="238"/>
      <c r="AF1" s="238"/>
      <c r="AG1" s="238"/>
      <c r="AH1" s="238"/>
      <c r="AI1" s="238"/>
      <c r="AJ1" s="238"/>
      <c r="AK1" s="238"/>
      <c r="AL1" s="238"/>
      <c r="AM1" s="238"/>
      <c r="AN1" s="238"/>
      <c r="AO1" s="238"/>
      <c r="AP1" s="238"/>
      <c r="AQ1" s="238"/>
    </row>
    <row r="2" spans="1:46" s="158" customFormat="1" ht="18" customHeight="1" x14ac:dyDescent="0.15">
      <c r="A2" s="235"/>
      <c r="B2" s="635" t="s">
        <v>8</v>
      </c>
      <c r="C2" s="238"/>
      <c r="D2" s="240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8"/>
      <c r="Y2" s="238"/>
      <c r="Z2" s="238"/>
      <c r="AA2" s="238"/>
      <c r="AB2" s="238"/>
      <c r="AC2" s="238"/>
      <c r="AD2" s="238"/>
      <c r="AE2" s="238"/>
      <c r="AF2" s="238"/>
      <c r="AG2" s="238"/>
      <c r="AH2" s="238"/>
      <c r="AI2" s="238"/>
      <c r="AJ2" s="238"/>
      <c r="AK2" s="238"/>
      <c r="AL2" s="238"/>
      <c r="AM2" s="238"/>
      <c r="AN2" s="238"/>
      <c r="AO2" s="238"/>
      <c r="AP2" s="238"/>
      <c r="AQ2" s="238"/>
    </row>
    <row r="3" spans="1:46" s="158" customFormat="1" ht="18" customHeight="1" x14ac:dyDescent="0.15">
      <c r="A3" s="818" t="s">
        <v>43</v>
      </c>
      <c r="B3" s="819" t="s">
        <v>495</v>
      </c>
      <c r="C3" s="819" t="s">
        <v>93</v>
      </c>
      <c r="D3" s="815" t="str">
        <f>'主表1（成本）'!C3</f>
        <v>2021年</v>
      </c>
      <c r="E3" s="816"/>
      <c r="F3" s="816"/>
      <c r="G3" s="817"/>
      <c r="H3" s="815" t="str">
        <f>'主表1（成本）'!G3</f>
        <v>2022年</v>
      </c>
      <c r="I3" s="816"/>
      <c r="J3" s="816"/>
      <c r="K3" s="817"/>
      <c r="L3" s="815" t="str">
        <f>'主表1（成本）'!K3</f>
        <v>2023年</v>
      </c>
      <c r="M3" s="816"/>
      <c r="N3" s="816"/>
      <c r="O3" s="817"/>
      <c r="P3" s="815" t="str">
        <f>'主表1（成本）'!O3</f>
        <v>2024年</v>
      </c>
      <c r="Q3" s="816"/>
      <c r="R3" s="816"/>
      <c r="S3" s="817"/>
      <c r="T3" s="815" t="str">
        <f>'主表1（成本）'!S3</f>
        <v>2025年</v>
      </c>
      <c r="U3" s="816"/>
      <c r="V3" s="816"/>
      <c r="W3" s="817"/>
      <c r="X3" s="815" t="str">
        <f>'主表1（成本）'!W3</f>
        <v>2026年</v>
      </c>
      <c r="Y3" s="816"/>
      <c r="Z3" s="816"/>
      <c r="AA3" s="817"/>
      <c r="AB3" s="815" t="str">
        <f>'主表1（成本）'!AA3</f>
        <v>2027年</v>
      </c>
      <c r="AC3" s="816"/>
      <c r="AD3" s="816"/>
      <c r="AE3" s="817"/>
      <c r="AF3" s="815" t="str">
        <f>'主表1（成本）'!AE3</f>
        <v>2028年</v>
      </c>
      <c r="AG3" s="816"/>
      <c r="AH3" s="816"/>
      <c r="AI3" s="817"/>
      <c r="AJ3" s="815" t="str">
        <f>'主表1（成本）'!AI3</f>
        <v>2029年</v>
      </c>
      <c r="AK3" s="816"/>
      <c r="AL3" s="816"/>
      <c r="AM3" s="817"/>
      <c r="AN3" s="815" t="str">
        <f>'主表1（成本）'!AM3</f>
        <v>2030年</v>
      </c>
      <c r="AO3" s="816"/>
      <c r="AP3" s="816"/>
      <c r="AQ3" s="817"/>
    </row>
    <row r="4" spans="1:46" s="158" customFormat="1" ht="18" customHeight="1" x14ac:dyDescent="0.15">
      <c r="A4" s="818"/>
      <c r="B4" s="819"/>
      <c r="C4" s="819"/>
      <c r="D4" s="539" t="s">
        <v>179</v>
      </c>
      <c r="E4" s="540" t="s">
        <v>180</v>
      </c>
      <c r="F4" s="540" t="s">
        <v>181</v>
      </c>
      <c r="G4" s="541" t="s">
        <v>182</v>
      </c>
      <c r="H4" s="539" t="s">
        <v>179</v>
      </c>
      <c r="I4" s="540" t="s">
        <v>180</v>
      </c>
      <c r="J4" s="540" t="s">
        <v>181</v>
      </c>
      <c r="K4" s="541" t="s">
        <v>182</v>
      </c>
      <c r="L4" s="539" t="s">
        <v>179</v>
      </c>
      <c r="M4" s="540" t="s">
        <v>180</v>
      </c>
      <c r="N4" s="540" t="s">
        <v>181</v>
      </c>
      <c r="O4" s="541" t="s">
        <v>182</v>
      </c>
      <c r="P4" s="539" t="s">
        <v>179</v>
      </c>
      <c r="Q4" s="540" t="s">
        <v>180</v>
      </c>
      <c r="R4" s="540" t="s">
        <v>181</v>
      </c>
      <c r="S4" s="541" t="s">
        <v>182</v>
      </c>
      <c r="T4" s="539" t="s">
        <v>179</v>
      </c>
      <c r="U4" s="540" t="s">
        <v>180</v>
      </c>
      <c r="V4" s="540" t="s">
        <v>181</v>
      </c>
      <c r="W4" s="541" t="s">
        <v>182</v>
      </c>
      <c r="X4" s="539" t="s">
        <v>179</v>
      </c>
      <c r="Y4" s="540" t="s">
        <v>180</v>
      </c>
      <c r="Z4" s="540" t="s">
        <v>181</v>
      </c>
      <c r="AA4" s="541" t="s">
        <v>182</v>
      </c>
      <c r="AB4" s="539" t="s">
        <v>179</v>
      </c>
      <c r="AC4" s="540" t="s">
        <v>180</v>
      </c>
      <c r="AD4" s="540" t="s">
        <v>181</v>
      </c>
      <c r="AE4" s="541" t="s">
        <v>182</v>
      </c>
      <c r="AF4" s="539" t="s">
        <v>179</v>
      </c>
      <c r="AG4" s="540" t="s">
        <v>180</v>
      </c>
      <c r="AH4" s="540" t="s">
        <v>181</v>
      </c>
      <c r="AI4" s="541" t="s">
        <v>182</v>
      </c>
      <c r="AJ4" s="539" t="s">
        <v>179</v>
      </c>
      <c r="AK4" s="540" t="s">
        <v>180</v>
      </c>
      <c r="AL4" s="540" t="s">
        <v>181</v>
      </c>
      <c r="AM4" s="541" t="s">
        <v>182</v>
      </c>
      <c r="AN4" s="539" t="s">
        <v>179</v>
      </c>
      <c r="AO4" s="540" t="s">
        <v>180</v>
      </c>
      <c r="AP4" s="540" t="s">
        <v>181</v>
      </c>
      <c r="AQ4" s="541" t="s">
        <v>182</v>
      </c>
    </row>
    <row r="5" spans="1:46" s="213" customFormat="1" ht="18" customHeight="1" x14ac:dyDescent="0.15">
      <c r="A5" s="318"/>
      <c r="B5" s="319" t="s">
        <v>646</v>
      </c>
      <c r="C5" s="319"/>
      <c r="D5" s="320"/>
      <c r="E5" s="320"/>
      <c r="F5" s="320"/>
      <c r="G5" s="320"/>
      <c r="H5" s="320"/>
      <c r="I5" s="320"/>
      <c r="J5" s="320"/>
      <c r="K5" s="320"/>
      <c r="L5" s="320"/>
      <c r="M5" s="320" t="s">
        <v>647</v>
      </c>
      <c r="N5" s="320"/>
      <c r="O5" s="320"/>
      <c r="P5" s="320"/>
      <c r="Q5" s="320"/>
      <c r="R5" s="320"/>
      <c r="S5" s="320"/>
      <c r="T5" s="320"/>
      <c r="U5" s="320"/>
      <c r="V5" s="320"/>
      <c r="W5" s="320"/>
      <c r="X5" s="320"/>
      <c r="Y5" s="320"/>
      <c r="Z5" s="320"/>
      <c r="AA5" s="320"/>
      <c r="AB5" s="321"/>
    </row>
    <row r="6" spans="1:46" s="213" customFormat="1" ht="18" customHeight="1" x14ac:dyDescent="0.15">
      <c r="A6" s="318"/>
      <c r="B6" s="319" t="s">
        <v>648</v>
      </c>
      <c r="C6" s="319"/>
      <c r="D6" s="320"/>
      <c r="E6" s="320"/>
      <c r="F6" s="320"/>
      <c r="G6" s="320"/>
      <c r="H6" s="320"/>
      <c r="I6" s="320"/>
      <c r="J6" s="320"/>
      <c r="K6" s="320"/>
      <c r="L6" s="320" t="s">
        <v>649</v>
      </c>
      <c r="M6" s="322">
        <v>0.9</v>
      </c>
      <c r="N6" s="320" t="s">
        <v>650</v>
      </c>
      <c r="O6" s="322">
        <v>0.9</v>
      </c>
      <c r="P6" s="320"/>
      <c r="Q6" s="323"/>
      <c r="R6" s="320"/>
      <c r="S6" s="320"/>
      <c r="T6" s="320"/>
      <c r="U6" s="320"/>
      <c r="V6" s="320"/>
      <c r="W6" s="320"/>
      <c r="X6" s="320"/>
      <c r="Y6" s="320"/>
      <c r="Z6" s="320"/>
      <c r="AA6" s="320"/>
      <c r="AB6" s="321"/>
    </row>
    <row r="7" spans="1:46" s="158" customFormat="1" ht="18" customHeight="1" x14ac:dyDescent="0.15">
      <c r="A7" s="241">
        <v>1</v>
      </c>
      <c r="B7" s="235" t="s">
        <v>265</v>
      </c>
      <c r="C7" s="242">
        <f>SUM(D7:AQ7)</f>
        <v>0</v>
      </c>
      <c r="D7" s="238">
        <f>D8+D15+D22+D29+D36+D43+D50+D57+D64+D71+D78+D85+D92+D99+D106</f>
        <v>0</v>
      </c>
      <c r="E7" s="238">
        <f t="shared" ref="E7:AQ7" si="0">E8+E15+E22+E29+E36+E43+E50+E57+E64+E71+E78+E85+E92+E99+E106</f>
        <v>0</v>
      </c>
      <c r="F7" s="238">
        <f t="shared" si="0"/>
        <v>0</v>
      </c>
      <c r="G7" s="238">
        <f t="shared" si="0"/>
        <v>0</v>
      </c>
      <c r="H7" s="238">
        <f t="shared" si="0"/>
        <v>0</v>
      </c>
      <c r="I7" s="238">
        <f t="shared" si="0"/>
        <v>0</v>
      </c>
      <c r="J7" s="238">
        <f t="shared" si="0"/>
        <v>0</v>
      </c>
      <c r="K7" s="238">
        <f t="shared" si="0"/>
        <v>0</v>
      </c>
      <c r="L7" s="238">
        <f t="shared" si="0"/>
        <v>0</v>
      </c>
      <c r="M7" s="238">
        <f t="shared" si="0"/>
        <v>0</v>
      </c>
      <c r="N7" s="238">
        <f t="shared" si="0"/>
        <v>0</v>
      </c>
      <c r="O7" s="238">
        <f t="shared" si="0"/>
        <v>0</v>
      </c>
      <c r="P7" s="238">
        <f t="shared" si="0"/>
        <v>0</v>
      </c>
      <c r="Q7" s="238">
        <f t="shared" si="0"/>
        <v>0</v>
      </c>
      <c r="R7" s="238">
        <f t="shared" si="0"/>
        <v>0</v>
      </c>
      <c r="S7" s="238">
        <f t="shared" si="0"/>
        <v>0</v>
      </c>
      <c r="T7" s="238">
        <f t="shared" si="0"/>
        <v>0</v>
      </c>
      <c r="U7" s="238">
        <f t="shared" si="0"/>
        <v>0</v>
      </c>
      <c r="V7" s="238">
        <f t="shared" si="0"/>
        <v>0</v>
      </c>
      <c r="W7" s="238">
        <f t="shared" si="0"/>
        <v>0</v>
      </c>
      <c r="X7" s="238">
        <f t="shared" si="0"/>
        <v>0</v>
      </c>
      <c r="Y7" s="238">
        <f t="shared" si="0"/>
        <v>0</v>
      </c>
      <c r="Z7" s="238">
        <f t="shared" si="0"/>
        <v>0</v>
      </c>
      <c r="AA7" s="238">
        <f t="shared" si="0"/>
        <v>0</v>
      </c>
      <c r="AB7" s="238">
        <f t="shared" si="0"/>
        <v>0</v>
      </c>
      <c r="AC7" s="238">
        <f t="shared" si="0"/>
        <v>0</v>
      </c>
      <c r="AD7" s="238">
        <f t="shared" si="0"/>
        <v>0</v>
      </c>
      <c r="AE7" s="238">
        <f t="shared" si="0"/>
        <v>0</v>
      </c>
      <c r="AF7" s="238">
        <f t="shared" si="0"/>
        <v>0</v>
      </c>
      <c r="AG7" s="238">
        <f t="shared" si="0"/>
        <v>0</v>
      </c>
      <c r="AH7" s="238">
        <f t="shared" si="0"/>
        <v>0</v>
      </c>
      <c r="AI7" s="238">
        <f t="shared" si="0"/>
        <v>0</v>
      </c>
      <c r="AJ7" s="238">
        <f t="shared" si="0"/>
        <v>0</v>
      </c>
      <c r="AK7" s="238">
        <f t="shared" si="0"/>
        <v>0</v>
      </c>
      <c r="AL7" s="238">
        <f t="shared" si="0"/>
        <v>0</v>
      </c>
      <c r="AM7" s="238">
        <f t="shared" si="0"/>
        <v>0</v>
      </c>
      <c r="AN7" s="238">
        <f t="shared" si="0"/>
        <v>0</v>
      </c>
      <c r="AO7" s="238">
        <f t="shared" si="0"/>
        <v>0</v>
      </c>
      <c r="AP7" s="238">
        <f t="shared" si="0"/>
        <v>0</v>
      </c>
      <c r="AQ7" s="238">
        <f t="shared" si="0"/>
        <v>0</v>
      </c>
    </row>
    <row r="8" spans="1:46" s="213" customFormat="1" ht="18" customHeight="1" outlineLevel="1" x14ac:dyDescent="0.15">
      <c r="A8" s="216">
        <v>1.1000000000000001</v>
      </c>
      <c r="B8" s="223" t="str">
        <f>规划指标!F4</f>
        <v>小高层</v>
      </c>
      <c r="C8" s="217">
        <f>SUM(D8:AQ8)</f>
        <v>0</v>
      </c>
      <c r="D8" s="201">
        <f>D11*D9/10000</f>
        <v>0</v>
      </c>
      <c r="E8" s="201">
        <f t="shared" ref="E8:AQ8" si="1">E11*E9/10000</f>
        <v>0</v>
      </c>
      <c r="F8" s="201">
        <f t="shared" si="1"/>
        <v>0</v>
      </c>
      <c r="G8" s="201">
        <f t="shared" si="1"/>
        <v>0</v>
      </c>
      <c r="H8" s="201">
        <f t="shared" si="1"/>
        <v>0</v>
      </c>
      <c r="I8" s="201">
        <f t="shared" si="1"/>
        <v>0</v>
      </c>
      <c r="J8" s="201">
        <f t="shared" si="1"/>
        <v>0</v>
      </c>
      <c r="K8" s="201">
        <f t="shared" si="1"/>
        <v>0</v>
      </c>
      <c r="L8" s="201">
        <f t="shared" si="1"/>
        <v>0</v>
      </c>
      <c r="M8" s="201">
        <f t="shared" si="1"/>
        <v>0</v>
      </c>
      <c r="N8" s="201">
        <f t="shared" si="1"/>
        <v>0</v>
      </c>
      <c r="O8" s="201">
        <f t="shared" si="1"/>
        <v>0</v>
      </c>
      <c r="P8" s="201">
        <f t="shared" si="1"/>
        <v>0</v>
      </c>
      <c r="Q8" s="201">
        <f t="shared" si="1"/>
        <v>0</v>
      </c>
      <c r="R8" s="201">
        <f t="shared" si="1"/>
        <v>0</v>
      </c>
      <c r="S8" s="201">
        <f t="shared" si="1"/>
        <v>0</v>
      </c>
      <c r="T8" s="201">
        <f t="shared" si="1"/>
        <v>0</v>
      </c>
      <c r="U8" s="201">
        <f t="shared" si="1"/>
        <v>0</v>
      </c>
      <c r="V8" s="201">
        <f t="shared" si="1"/>
        <v>0</v>
      </c>
      <c r="W8" s="201">
        <f t="shared" si="1"/>
        <v>0</v>
      </c>
      <c r="X8" s="201">
        <f t="shared" si="1"/>
        <v>0</v>
      </c>
      <c r="Y8" s="201">
        <f t="shared" si="1"/>
        <v>0</v>
      </c>
      <c r="Z8" s="201">
        <f t="shared" si="1"/>
        <v>0</v>
      </c>
      <c r="AA8" s="201">
        <f t="shared" si="1"/>
        <v>0</v>
      </c>
      <c r="AB8" s="201">
        <f t="shared" si="1"/>
        <v>0</v>
      </c>
      <c r="AC8" s="201">
        <f t="shared" si="1"/>
        <v>0</v>
      </c>
      <c r="AD8" s="201">
        <f t="shared" si="1"/>
        <v>0</v>
      </c>
      <c r="AE8" s="201">
        <f t="shared" si="1"/>
        <v>0</v>
      </c>
      <c r="AF8" s="201">
        <f t="shared" si="1"/>
        <v>0</v>
      </c>
      <c r="AG8" s="201">
        <f t="shared" si="1"/>
        <v>0</v>
      </c>
      <c r="AH8" s="201">
        <f t="shared" si="1"/>
        <v>0</v>
      </c>
      <c r="AI8" s="201">
        <f t="shared" si="1"/>
        <v>0</v>
      </c>
      <c r="AJ8" s="201">
        <f t="shared" si="1"/>
        <v>0</v>
      </c>
      <c r="AK8" s="201">
        <f t="shared" si="1"/>
        <v>0</v>
      </c>
      <c r="AL8" s="201">
        <f t="shared" si="1"/>
        <v>0</v>
      </c>
      <c r="AM8" s="201">
        <f t="shared" si="1"/>
        <v>0</v>
      </c>
      <c r="AN8" s="201">
        <f t="shared" si="1"/>
        <v>0</v>
      </c>
      <c r="AO8" s="201">
        <f t="shared" si="1"/>
        <v>0</v>
      </c>
      <c r="AP8" s="201">
        <f t="shared" si="1"/>
        <v>0</v>
      </c>
      <c r="AQ8" s="201">
        <f t="shared" si="1"/>
        <v>0</v>
      </c>
      <c r="AR8" s="201"/>
    </row>
    <row r="9" spans="1:46" s="213" customFormat="1" ht="18" customHeight="1" outlineLevel="2" x14ac:dyDescent="0.15">
      <c r="A9" s="216"/>
      <c r="B9" s="224" t="s">
        <v>317</v>
      </c>
      <c r="C9" s="437">
        <f>SUM(D9:AQ9)</f>
        <v>0</v>
      </c>
      <c r="D9" s="201">
        <f>D12*规划指标!$G$4</f>
        <v>0</v>
      </c>
      <c r="E9" s="201">
        <f>E12*规划指标!$G$4</f>
        <v>0</v>
      </c>
      <c r="F9" s="201">
        <f>F12*规划指标!$G$4</f>
        <v>0</v>
      </c>
      <c r="G9" s="201">
        <f>G12*规划指标!$G$4</f>
        <v>0</v>
      </c>
      <c r="H9" s="201">
        <f>H12*规划指标!$G$4</f>
        <v>0</v>
      </c>
      <c r="I9" s="201">
        <f>I12*规划指标!$G$4</f>
        <v>0</v>
      </c>
      <c r="J9" s="201">
        <f>J12*规划指标!$G$4</f>
        <v>0</v>
      </c>
      <c r="K9" s="201">
        <f>K12*规划指标!$G$4</f>
        <v>0</v>
      </c>
      <c r="L9" s="201">
        <f>L12*规划指标!$G$4</f>
        <v>0</v>
      </c>
      <c r="M9" s="201">
        <f>M12*规划指标!$G$4</f>
        <v>0</v>
      </c>
      <c r="N9" s="201">
        <f>N12*规划指标!$G$4</f>
        <v>0</v>
      </c>
      <c r="O9" s="201">
        <f>O12*规划指标!$G$4</f>
        <v>0</v>
      </c>
      <c r="P9" s="201">
        <f>P12*规划指标!$G$4</f>
        <v>0</v>
      </c>
      <c r="Q9" s="201">
        <f>Q12*规划指标!$G$4</f>
        <v>0</v>
      </c>
      <c r="R9" s="201">
        <f>R12*规划指标!$G$4</f>
        <v>0</v>
      </c>
      <c r="S9" s="201">
        <f>S12*规划指标!$G$4</f>
        <v>0</v>
      </c>
      <c r="T9" s="201">
        <f>T12*规划指标!$G$4</f>
        <v>0</v>
      </c>
      <c r="U9" s="201">
        <f>U12*规划指标!$G$4</f>
        <v>0</v>
      </c>
      <c r="V9" s="201">
        <f>V12*规划指标!$G$4</f>
        <v>0</v>
      </c>
      <c r="W9" s="201">
        <f>W12*规划指标!$G$4</f>
        <v>0</v>
      </c>
      <c r="X9" s="201">
        <f>X12*规划指标!$G$4</f>
        <v>0</v>
      </c>
      <c r="Y9" s="201">
        <f>Y12*规划指标!$G$4</f>
        <v>0</v>
      </c>
      <c r="Z9" s="201">
        <f>Z12*规划指标!$G$4</f>
        <v>0</v>
      </c>
      <c r="AA9" s="201">
        <f>AA12*规划指标!$G$4</f>
        <v>0</v>
      </c>
      <c r="AB9" s="201">
        <f>AB12*规划指标!$G$4</f>
        <v>0</v>
      </c>
      <c r="AC9" s="201">
        <f>AC12*规划指标!$G$4</f>
        <v>0</v>
      </c>
      <c r="AD9" s="201">
        <f>AD12*规划指标!$G$4</f>
        <v>0</v>
      </c>
      <c r="AE9" s="201">
        <f>AE12*规划指标!$G$4</f>
        <v>0</v>
      </c>
      <c r="AF9" s="201">
        <f>AF12*规划指标!$G$4</f>
        <v>0</v>
      </c>
      <c r="AG9" s="201">
        <f>AG12*规划指标!$G$4</f>
        <v>0</v>
      </c>
      <c r="AH9" s="201">
        <f>AH12*规划指标!$G$4</f>
        <v>0</v>
      </c>
      <c r="AI9" s="201">
        <f>AI12*规划指标!$G$4</f>
        <v>0</v>
      </c>
      <c r="AJ9" s="201">
        <f>AJ12*规划指标!$G$4</f>
        <v>0</v>
      </c>
      <c r="AK9" s="201">
        <f>AK12*规划指标!$G$4</f>
        <v>0</v>
      </c>
      <c r="AL9" s="201">
        <f>AL12*规划指标!$G$4</f>
        <v>0</v>
      </c>
      <c r="AM9" s="201">
        <f>AM12*规划指标!$G$4</f>
        <v>0</v>
      </c>
      <c r="AN9" s="201">
        <f>AN12*规划指标!$G$4</f>
        <v>0</v>
      </c>
      <c r="AO9" s="201">
        <f>AO12*规划指标!$G$4</f>
        <v>0</v>
      </c>
      <c r="AP9" s="201">
        <f>AP12*规划指标!$G$4</f>
        <v>0</v>
      </c>
      <c r="AQ9" s="201">
        <f>AQ12*规划指标!$G$4</f>
        <v>0</v>
      </c>
    </row>
    <row r="10" spans="1:46" s="213" customFormat="1" ht="18" customHeight="1" outlineLevel="2" x14ac:dyDescent="0.15">
      <c r="A10" s="216"/>
      <c r="B10" s="224" t="s">
        <v>620</v>
      </c>
      <c r="C10" s="437">
        <f>SUM(D10:AQ10)</f>
        <v>0</v>
      </c>
      <c r="D10" s="245">
        <f>D9/规划指标!$G$4*规划指标!$I$4</f>
        <v>0</v>
      </c>
      <c r="E10" s="245">
        <f>E9/规划指标!$G$4*规划指标!$I$4</f>
        <v>0</v>
      </c>
      <c r="F10" s="245">
        <f>F9/规划指标!$G$4*规划指标!$I$4</f>
        <v>0</v>
      </c>
      <c r="G10" s="245">
        <f>G9/规划指标!$G$4*规划指标!$I$4</f>
        <v>0</v>
      </c>
      <c r="H10" s="245">
        <f>H9/规划指标!$G$4*规划指标!$I$4</f>
        <v>0</v>
      </c>
      <c r="I10" s="245">
        <f>I9/规划指标!$G$4*规划指标!$I$4</f>
        <v>0</v>
      </c>
      <c r="J10" s="245">
        <f>J9/规划指标!$G$4*规划指标!$I$4</f>
        <v>0</v>
      </c>
      <c r="K10" s="245">
        <f>K9/规划指标!$G$4*规划指标!$I$4</f>
        <v>0</v>
      </c>
      <c r="L10" s="245">
        <f>L9/规划指标!$G$4*规划指标!$I$4</f>
        <v>0</v>
      </c>
      <c r="M10" s="245">
        <f>M9/规划指标!$G$4*规划指标!$I$4</f>
        <v>0</v>
      </c>
      <c r="N10" s="245">
        <f>N9/规划指标!$G$4*规划指标!$I$4</f>
        <v>0</v>
      </c>
      <c r="O10" s="245">
        <f>O9/规划指标!$G$4*规划指标!$I$4</f>
        <v>0</v>
      </c>
      <c r="P10" s="245">
        <f>P9/规划指标!$G$4*规划指标!$I$4</f>
        <v>0</v>
      </c>
      <c r="Q10" s="245">
        <f>Q9/规划指标!$G$4*规划指标!$I$4</f>
        <v>0</v>
      </c>
      <c r="R10" s="245">
        <f>R9/规划指标!$G$4*规划指标!$I$4</f>
        <v>0</v>
      </c>
      <c r="S10" s="245">
        <f>S9/规划指标!$G$4*规划指标!$I$4</f>
        <v>0</v>
      </c>
      <c r="T10" s="245">
        <f>T9/规划指标!$G$4*规划指标!$I$4</f>
        <v>0</v>
      </c>
      <c r="U10" s="245">
        <f>U9/规划指标!$G$4*规划指标!$I$4</f>
        <v>0</v>
      </c>
      <c r="V10" s="245">
        <f>V9/规划指标!$G$4*规划指标!$I$4</f>
        <v>0</v>
      </c>
      <c r="W10" s="245">
        <f>W9/规划指标!$G$4*规划指标!$I$4</f>
        <v>0</v>
      </c>
      <c r="X10" s="245">
        <f>X9/规划指标!$G$4*规划指标!$I$4</f>
        <v>0</v>
      </c>
      <c r="Y10" s="245">
        <f>Y9/规划指标!$G$4*规划指标!$I$4</f>
        <v>0</v>
      </c>
      <c r="Z10" s="245">
        <f>Z9/规划指标!$G$4*规划指标!$I$4</f>
        <v>0</v>
      </c>
      <c r="AA10" s="245">
        <f>AA9/规划指标!$G$4*规划指标!$I$4</f>
        <v>0</v>
      </c>
      <c r="AB10" s="245">
        <f>AB9/规划指标!$G$4*规划指标!$I$4</f>
        <v>0</v>
      </c>
      <c r="AC10" s="245">
        <f>AC9/规划指标!$G$4*规划指标!$I$4</f>
        <v>0</v>
      </c>
      <c r="AD10" s="245">
        <f>AD9/规划指标!$G$4*规划指标!$I$4</f>
        <v>0</v>
      </c>
      <c r="AE10" s="245">
        <f>AE9/规划指标!$G$4*规划指标!$I$4</f>
        <v>0</v>
      </c>
      <c r="AF10" s="245">
        <f>AF9/规划指标!$G$4*规划指标!$I$4</f>
        <v>0</v>
      </c>
      <c r="AG10" s="245">
        <f>AG9/规划指标!$G$4*规划指标!$I$4</f>
        <v>0</v>
      </c>
      <c r="AH10" s="245">
        <f>AH9/规划指标!$G$4*规划指标!$I$4</f>
        <v>0</v>
      </c>
      <c r="AI10" s="245">
        <f>AI9/规划指标!$G$4*规划指标!$I$4</f>
        <v>0</v>
      </c>
      <c r="AJ10" s="245">
        <f>AJ9/规划指标!$G$4*规划指标!$I$4</f>
        <v>0</v>
      </c>
      <c r="AK10" s="245">
        <f>AK9/规划指标!$G$4*规划指标!$I$4</f>
        <v>0</v>
      </c>
      <c r="AL10" s="245">
        <f>AL9/规划指标!$G$4*规划指标!$I$4</f>
        <v>0</v>
      </c>
      <c r="AM10" s="245">
        <f>AM9/规划指标!$G$4*规划指标!$I$4</f>
        <v>0</v>
      </c>
      <c r="AN10" s="245">
        <f>AN9/规划指标!$G$4*规划指标!$I$4</f>
        <v>0</v>
      </c>
      <c r="AO10" s="245">
        <f>AO9/规划指标!$G$4*规划指标!$I$4</f>
        <v>0</v>
      </c>
      <c r="AP10" s="245">
        <f>AP9/规划指标!$G$4*规划指标!$I$4</f>
        <v>0</v>
      </c>
      <c r="AQ10" s="245">
        <f>AQ9/规划指标!$G$4*规划指标!$I$4</f>
        <v>0</v>
      </c>
    </row>
    <row r="11" spans="1:46" s="213" customFormat="1" ht="18" customHeight="1" outlineLevel="2" x14ac:dyDescent="0.15">
      <c r="A11" s="216"/>
      <c r="B11" s="224" t="s">
        <v>348</v>
      </c>
      <c r="C11" s="225" t="e">
        <f>ROUND(C8/C9*10000,0)</f>
        <v>#DIV/0!</v>
      </c>
      <c r="D11" s="226">
        <f>ROUND($C$13*D153,0)</f>
        <v>0</v>
      </c>
      <c r="E11" s="226">
        <f>D11</f>
        <v>0</v>
      </c>
      <c r="F11" s="226">
        <f t="shared" ref="F11:AQ11" si="2">E11</f>
        <v>0</v>
      </c>
      <c r="G11" s="226">
        <f t="shared" si="2"/>
        <v>0</v>
      </c>
      <c r="H11" s="226">
        <f t="shared" si="2"/>
        <v>0</v>
      </c>
      <c r="I11" s="226">
        <f t="shared" si="2"/>
        <v>0</v>
      </c>
      <c r="J11" s="226">
        <f t="shared" si="2"/>
        <v>0</v>
      </c>
      <c r="K11" s="226">
        <f t="shared" si="2"/>
        <v>0</v>
      </c>
      <c r="L11" s="226">
        <f t="shared" si="2"/>
        <v>0</v>
      </c>
      <c r="M11" s="226">
        <f t="shared" si="2"/>
        <v>0</v>
      </c>
      <c r="N11" s="226">
        <f t="shared" si="2"/>
        <v>0</v>
      </c>
      <c r="O11" s="226">
        <f t="shared" si="2"/>
        <v>0</v>
      </c>
      <c r="P11" s="226">
        <f t="shared" si="2"/>
        <v>0</v>
      </c>
      <c r="Q11" s="226">
        <f t="shared" si="2"/>
        <v>0</v>
      </c>
      <c r="R11" s="226">
        <f t="shared" si="2"/>
        <v>0</v>
      </c>
      <c r="S11" s="226">
        <f t="shared" si="2"/>
        <v>0</v>
      </c>
      <c r="T11" s="226">
        <f t="shared" si="2"/>
        <v>0</v>
      </c>
      <c r="U11" s="226">
        <f t="shared" si="2"/>
        <v>0</v>
      </c>
      <c r="V11" s="226">
        <f t="shared" si="2"/>
        <v>0</v>
      </c>
      <c r="W11" s="226">
        <f t="shared" si="2"/>
        <v>0</v>
      </c>
      <c r="X11" s="226">
        <f t="shared" si="2"/>
        <v>0</v>
      </c>
      <c r="Y11" s="226">
        <f t="shared" si="2"/>
        <v>0</v>
      </c>
      <c r="Z11" s="226">
        <f t="shared" si="2"/>
        <v>0</v>
      </c>
      <c r="AA11" s="226">
        <f t="shared" si="2"/>
        <v>0</v>
      </c>
      <c r="AB11" s="226">
        <f t="shared" si="2"/>
        <v>0</v>
      </c>
      <c r="AC11" s="226">
        <f t="shared" si="2"/>
        <v>0</v>
      </c>
      <c r="AD11" s="226">
        <f t="shared" si="2"/>
        <v>0</v>
      </c>
      <c r="AE11" s="226">
        <f t="shared" si="2"/>
        <v>0</v>
      </c>
      <c r="AF11" s="226">
        <f t="shared" si="2"/>
        <v>0</v>
      </c>
      <c r="AG11" s="226">
        <f t="shared" si="2"/>
        <v>0</v>
      </c>
      <c r="AH11" s="226">
        <f t="shared" si="2"/>
        <v>0</v>
      </c>
      <c r="AI11" s="226">
        <f t="shared" si="2"/>
        <v>0</v>
      </c>
      <c r="AJ11" s="226">
        <f t="shared" si="2"/>
        <v>0</v>
      </c>
      <c r="AK11" s="226">
        <f t="shared" si="2"/>
        <v>0</v>
      </c>
      <c r="AL11" s="226">
        <f t="shared" si="2"/>
        <v>0</v>
      </c>
      <c r="AM11" s="226">
        <f t="shared" si="2"/>
        <v>0</v>
      </c>
      <c r="AN11" s="226">
        <f t="shared" si="2"/>
        <v>0</v>
      </c>
      <c r="AO11" s="226">
        <f t="shared" si="2"/>
        <v>0</v>
      </c>
      <c r="AP11" s="226">
        <f t="shared" si="2"/>
        <v>0</v>
      </c>
      <c r="AQ11" s="226">
        <f t="shared" si="2"/>
        <v>0</v>
      </c>
      <c r="AS11" s="571"/>
      <c r="AT11" s="202"/>
    </row>
    <row r="12" spans="1:46" s="229" customFormat="1" ht="18" customHeight="1" outlineLevel="2" x14ac:dyDescent="0.15">
      <c r="A12" s="227"/>
      <c r="B12" s="224" t="s">
        <v>349</v>
      </c>
      <c r="C12" s="228">
        <f>SUM(D12:AQ12)</f>
        <v>0</v>
      </c>
      <c r="D12" s="234"/>
      <c r="E12" s="234"/>
      <c r="F12" s="234"/>
      <c r="G12" s="234"/>
      <c r="H12" s="234"/>
      <c r="I12" s="234"/>
      <c r="J12" s="234"/>
      <c r="K12" s="234"/>
      <c r="L12" s="234"/>
      <c r="M12" s="234"/>
      <c r="N12" s="234"/>
      <c r="O12" s="234"/>
      <c r="P12" s="234"/>
      <c r="Q12" s="234"/>
      <c r="R12" s="234"/>
      <c r="S12" s="234"/>
      <c r="T12" s="234"/>
      <c r="U12" s="234"/>
      <c r="V12" s="234"/>
      <c r="W12" s="234"/>
      <c r="X12" s="234"/>
      <c r="Y12" s="234"/>
      <c r="Z12" s="234"/>
      <c r="AA12" s="234"/>
      <c r="AB12" s="234"/>
      <c r="AC12" s="234"/>
      <c r="AD12" s="234"/>
      <c r="AE12" s="234"/>
      <c r="AF12" s="234"/>
      <c r="AG12" s="234"/>
      <c r="AH12" s="234"/>
      <c r="AI12" s="234"/>
      <c r="AJ12" s="234"/>
      <c r="AK12" s="234"/>
      <c r="AL12" s="234"/>
      <c r="AM12" s="234"/>
      <c r="AN12" s="234"/>
      <c r="AO12" s="234"/>
      <c r="AP12" s="234"/>
      <c r="AQ12" s="234"/>
    </row>
    <row r="13" spans="1:46" s="229" customFormat="1" ht="18" customHeight="1" outlineLevel="2" x14ac:dyDescent="0.15">
      <c r="A13" s="227"/>
      <c r="B13" s="224" t="s">
        <v>577</v>
      </c>
      <c r="C13" s="234"/>
      <c r="D13" s="228"/>
      <c r="E13" s="228"/>
      <c r="F13" s="228"/>
      <c r="G13" s="228"/>
      <c r="H13" s="228"/>
      <c r="I13" s="228"/>
      <c r="J13" s="228"/>
      <c r="K13" s="228"/>
      <c r="L13" s="228"/>
      <c r="M13" s="228"/>
      <c r="N13" s="228"/>
      <c r="O13" s="228"/>
      <c r="P13" s="228"/>
      <c r="Q13" s="228"/>
      <c r="R13" s="228"/>
      <c r="S13" s="228"/>
      <c r="T13" s="228"/>
      <c r="U13" s="228"/>
      <c r="V13" s="228"/>
      <c r="W13" s="228"/>
      <c r="X13" s="228"/>
      <c r="Y13" s="228"/>
      <c r="Z13" s="228"/>
      <c r="AA13" s="228"/>
      <c r="AB13" s="228"/>
      <c r="AC13" s="228"/>
      <c r="AD13" s="228"/>
      <c r="AE13" s="228"/>
      <c r="AF13" s="228"/>
      <c r="AG13" s="228"/>
      <c r="AH13" s="228"/>
      <c r="AI13" s="228"/>
      <c r="AJ13" s="228"/>
      <c r="AK13" s="228"/>
      <c r="AL13" s="228"/>
      <c r="AM13" s="228"/>
      <c r="AN13" s="228"/>
      <c r="AO13" s="228"/>
      <c r="AP13" s="228"/>
      <c r="AQ13" s="228"/>
    </row>
    <row r="14" spans="1:46" s="213" customFormat="1" ht="18" customHeight="1" outlineLevel="2" x14ac:dyDescent="0.15">
      <c r="A14" s="216"/>
      <c r="B14" s="634"/>
      <c r="C14" s="228"/>
      <c r="D14" s="231"/>
      <c r="E14" s="231"/>
      <c r="F14" s="231"/>
      <c r="G14" s="231"/>
      <c r="H14" s="231"/>
      <c r="I14" s="231"/>
      <c r="J14" s="231"/>
      <c r="K14" s="231"/>
      <c r="L14" s="231"/>
      <c r="M14" s="231"/>
      <c r="N14" s="231"/>
      <c r="O14" s="231"/>
      <c r="P14" s="231"/>
      <c r="Q14" s="231"/>
      <c r="R14" s="231"/>
      <c r="S14" s="231"/>
      <c r="T14" s="231"/>
      <c r="U14" s="231"/>
      <c r="V14" s="231"/>
      <c r="W14" s="231"/>
      <c r="X14" s="231"/>
      <c r="Y14" s="231"/>
      <c r="Z14" s="231"/>
      <c r="AA14" s="231"/>
      <c r="AB14" s="231"/>
      <c r="AC14" s="231"/>
      <c r="AD14" s="231"/>
      <c r="AE14" s="231"/>
      <c r="AF14" s="231"/>
      <c r="AG14" s="231"/>
      <c r="AH14" s="231"/>
      <c r="AI14" s="231"/>
      <c r="AJ14" s="231"/>
      <c r="AK14" s="231"/>
      <c r="AL14" s="231"/>
      <c r="AM14" s="231"/>
      <c r="AN14" s="231"/>
      <c r="AO14" s="231"/>
      <c r="AP14" s="231"/>
      <c r="AQ14" s="231"/>
    </row>
    <row r="15" spans="1:46" s="213" customFormat="1" ht="18" customHeight="1" outlineLevel="1" x14ac:dyDescent="0.15">
      <c r="A15" s="216" t="s">
        <v>296</v>
      </c>
      <c r="B15" s="633" t="str">
        <f>规划指标!F5</f>
        <v>洋房</v>
      </c>
      <c r="C15" s="217">
        <f>SUM(D15:AQ15)</f>
        <v>0</v>
      </c>
      <c r="D15" s="201">
        <f>D18*D16/10000</f>
        <v>0</v>
      </c>
      <c r="E15" s="201">
        <f t="shared" ref="E15:AQ15" si="3">E18*E16/10000</f>
        <v>0</v>
      </c>
      <c r="F15" s="201">
        <f t="shared" si="3"/>
        <v>0</v>
      </c>
      <c r="G15" s="201">
        <f t="shared" si="3"/>
        <v>0</v>
      </c>
      <c r="H15" s="201">
        <f t="shared" si="3"/>
        <v>0</v>
      </c>
      <c r="I15" s="201">
        <f t="shared" si="3"/>
        <v>0</v>
      </c>
      <c r="J15" s="201">
        <f t="shared" si="3"/>
        <v>0</v>
      </c>
      <c r="K15" s="201">
        <f t="shared" si="3"/>
        <v>0</v>
      </c>
      <c r="L15" s="201">
        <f t="shared" si="3"/>
        <v>0</v>
      </c>
      <c r="M15" s="201">
        <f t="shared" si="3"/>
        <v>0</v>
      </c>
      <c r="N15" s="201">
        <f t="shared" si="3"/>
        <v>0</v>
      </c>
      <c r="O15" s="201">
        <f t="shared" si="3"/>
        <v>0</v>
      </c>
      <c r="P15" s="201">
        <f t="shared" si="3"/>
        <v>0</v>
      </c>
      <c r="Q15" s="201">
        <f t="shared" si="3"/>
        <v>0</v>
      </c>
      <c r="R15" s="201">
        <f t="shared" si="3"/>
        <v>0</v>
      </c>
      <c r="S15" s="201">
        <f t="shared" si="3"/>
        <v>0</v>
      </c>
      <c r="T15" s="201">
        <f t="shared" si="3"/>
        <v>0</v>
      </c>
      <c r="U15" s="201">
        <f t="shared" si="3"/>
        <v>0</v>
      </c>
      <c r="V15" s="201">
        <f t="shared" si="3"/>
        <v>0</v>
      </c>
      <c r="W15" s="201">
        <f t="shared" si="3"/>
        <v>0</v>
      </c>
      <c r="X15" s="201">
        <f t="shared" si="3"/>
        <v>0</v>
      </c>
      <c r="Y15" s="201">
        <f t="shared" si="3"/>
        <v>0</v>
      </c>
      <c r="Z15" s="201">
        <f t="shared" si="3"/>
        <v>0</v>
      </c>
      <c r="AA15" s="201">
        <f t="shared" si="3"/>
        <v>0</v>
      </c>
      <c r="AB15" s="201">
        <f t="shared" si="3"/>
        <v>0</v>
      </c>
      <c r="AC15" s="201">
        <f t="shared" si="3"/>
        <v>0</v>
      </c>
      <c r="AD15" s="201">
        <f t="shared" si="3"/>
        <v>0</v>
      </c>
      <c r="AE15" s="201">
        <f t="shared" si="3"/>
        <v>0</v>
      </c>
      <c r="AF15" s="201">
        <f t="shared" si="3"/>
        <v>0</v>
      </c>
      <c r="AG15" s="201">
        <f t="shared" si="3"/>
        <v>0</v>
      </c>
      <c r="AH15" s="201">
        <f t="shared" si="3"/>
        <v>0</v>
      </c>
      <c r="AI15" s="201">
        <f t="shared" si="3"/>
        <v>0</v>
      </c>
      <c r="AJ15" s="201">
        <f t="shared" si="3"/>
        <v>0</v>
      </c>
      <c r="AK15" s="201">
        <f t="shared" si="3"/>
        <v>0</v>
      </c>
      <c r="AL15" s="201">
        <f t="shared" si="3"/>
        <v>0</v>
      </c>
      <c r="AM15" s="201">
        <f t="shared" si="3"/>
        <v>0</v>
      </c>
      <c r="AN15" s="201">
        <f t="shared" si="3"/>
        <v>0</v>
      </c>
      <c r="AO15" s="201">
        <f t="shared" si="3"/>
        <v>0</v>
      </c>
      <c r="AP15" s="201">
        <f t="shared" si="3"/>
        <v>0</v>
      </c>
      <c r="AQ15" s="201">
        <f t="shared" si="3"/>
        <v>0</v>
      </c>
    </row>
    <row r="16" spans="1:46" s="213" customFormat="1" ht="18" customHeight="1" outlineLevel="2" x14ac:dyDescent="0.15">
      <c r="A16" s="216"/>
      <c r="B16" s="224" t="str">
        <f>$B$9</f>
        <v>销售数量</v>
      </c>
      <c r="C16" s="217">
        <f>SUM(D16:AQ16)</f>
        <v>0</v>
      </c>
      <c r="D16" s="201">
        <f>D19*规划指标!$G$5</f>
        <v>0</v>
      </c>
      <c r="E16" s="201">
        <f>E19*规划指标!$G$5</f>
        <v>0</v>
      </c>
      <c r="F16" s="201">
        <f>F19*规划指标!$G$5</f>
        <v>0</v>
      </c>
      <c r="G16" s="201">
        <f>G19*规划指标!$G$5</f>
        <v>0</v>
      </c>
      <c r="H16" s="201">
        <f>H19*规划指标!$G$5</f>
        <v>0</v>
      </c>
      <c r="I16" s="201">
        <f>I19*规划指标!$G$5</f>
        <v>0</v>
      </c>
      <c r="J16" s="201">
        <f>J19*规划指标!$G$5</f>
        <v>0</v>
      </c>
      <c r="K16" s="201">
        <f>K19*规划指标!$G$5</f>
        <v>0</v>
      </c>
      <c r="L16" s="201">
        <f>L19*规划指标!$G$5</f>
        <v>0</v>
      </c>
      <c r="M16" s="201">
        <f>M19*规划指标!$G$5</f>
        <v>0</v>
      </c>
      <c r="N16" s="201">
        <f>N19*规划指标!$G$5</f>
        <v>0</v>
      </c>
      <c r="O16" s="201">
        <f>O19*规划指标!$G$5</f>
        <v>0</v>
      </c>
      <c r="P16" s="201">
        <f>P19*规划指标!$G$5</f>
        <v>0</v>
      </c>
      <c r="Q16" s="201">
        <f>Q19*规划指标!$G$5</f>
        <v>0</v>
      </c>
      <c r="R16" s="201">
        <f>R19*规划指标!$G$5</f>
        <v>0</v>
      </c>
      <c r="S16" s="201">
        <f>S19*规划指标!$G$5</f>
        <v>0</v>
      </c>
      <c r="T16" s="201">
        <f>T19*规划指标!$G$5</f>
        <v>0</v>
      </c>
      <c r="U16" s="201">
        <f>U19*规划指标!$G$5</f>
        <v>0</v>
      </c>
      <c r="V16" s="201">
        <f>V19*规划指标!$G$5</f>
        <v>0</v>
      </c>
      <c r="W16" s="201">
        <f>W19*规划指标!$G$5</f>
        <v>0</v>
      </c>
      <c r="X16" s="201">
        <f>X19*规划指标!$G$5</f>
        <v>0</v>
      </c>
      <c r="Y16" s="201">
        <f>Y19*规划指标!$G$5</f>
        <v>0</v>
      </c>
      <c r="Z16" s="201">
        <f>Z19*规划指标!$G$5</f>
        <v>0</v>
      </c>
      <c r="AA16" s="201">
        <f>AA19*规划指标!$G$5</f>
        <v>0</v>
      </c>
      <c r="AB16" s="201">
        <f>AB19*规划指标!$G$5</f>
        <v>0</v>
      </c>
      <c r="AC16" s="201">
        <f>AC19*规划指标!$G$5</f>
        <v>0</v>
      </c>
      <c r="AD16" s="201">
        <f>AD19*规划指标!$G$5</f>
        <v>0</v>
      </c>
      <c r="AE16" s="201">
        <f>AE19*规划指标!$G$5</f>
        <v>0</v>
      </c>
      <c r="AF16" s="201">
        <f>AF19*规划指标!$G$5</f>
        <v>0</v>
      </c>
      <c r="AG16" s="201">
        <f>AG19*规划指标!$G$5</f>
        <v>0</v>
      </c>
      <c r="AH16" s="201">
        <f>AH19*规划指标!$G$5</f>
        <v>0</v>
      </c>
      <c r="AI16" s="201">
        <f>AI19*规划指标!$G$5</f>
        <v>0</v>
      </c>
      <c r="AJ16" s="201">
        <f>AJ19*规划指标!$G$5</f>
        <v>0</v>
      </c>
      <c r="AK16" s="201">
        <f>AK19*规划指标!$G$5</f>
        <v>0</v>
      </c>
      <c r="AL16" s="201">
        <f>AL19*规划指标!$G$5</f>
        <v>0</v>
      </c>
      <c r="AM16" s="201">
        <f>AM19*规划指标!$G$5</f>
        <v>0</v>
      </c>
      <c r="AN16" s="201">
        <f>AN19*规划指标!$G$5</f>
        <v>0</v>
      </c>
      <c r="AO16" s="201">
        <f>AO19*规划指标!$G$5</f>
        <v>0</v>
      </c>
      <c r="AP16" s="201">
        <f>AP19*规划指标!$G$5</f>
        <v>0</v>
      </c>
      <c r="AQ16" s="201">
        <f>AQ19*规划指标!$G$5</f>
        <v>0</v>
      </c>
    </row>
    <row r="17" spans="1:46" s="213" customFormat="1" ht="18" customHeight="1" outlineLevel="2" x14ac:dyDescent="0.15">
      <c r="A17" s="216"/>
      <c r="B17" s="224" t="str">
        <f>B10</f>
        <v>销售套数</v>
      </c>
      <c r="C17" s="217">
        <f>SUM(D17:AQ17)</f>
        <v>0</v>
      </c>
      <c r="D17" s="245">
        <f>D16/规划指标!$G$5*规划指标!$I$5</f>
        <v>0</v>
      </c>
      <c r="E17" s="245">
        <f>E16/规划指标!$G$5*规划指标!$I$5</f>
        <v>0</v>
      </c>
      <c r="F17" s="245">
        <f>F16/规划指标!$G$5*规划指标!$I$5</f>
        <v>0</v>
      </c>
      <c r="G17" s="245">
        <f>G16/规划指标!$G$5*规划指标!$I$5</f>
        <v>0</v>
      </c>
      <c r="H17" s="245">
        <f>H16/规划指标!$G$5*规划指标!$I$5</f>
        <v>0</v>
      </c>
      <c r="I17" s="245">
        <f>I16/规划指标!$G$5*规划指标!$I$5</f>
        <v>0</v>
      </c>
      <c r="J17" s="245">
        <f>J16/规划指标!$G$5*规划指标!$I$5</f>
        <v>0</v>
      </c>
      <c r="K17" s="245">
        <f>K16/规划指标!$G$5*规划指标!$I$5</f>
        <v>0</v>
      </c>
      <c r="L17" s="245">
        <f>L16/规划指标!$G$5*规划指标!$I$5</f>
        <v>0</v>
      </c>
      <c r="M17" s="245">
        <f>M16/规划指标!$G$5*规划指标!$I$5</f>
        <v>0</v>
      </c>
      <c r="N17" s="245">
        <f>N16/规划指标!$G$5*规划指标!$I$5</f>
        <v>0</v>
      </c>
      <c r="O17" s="245">
        <f>O16/规划指标!$G$5*规划指标!$I$5</f>
        <v>0</v>
      </c>
      <c r="P17" s="245">
        <f>P16/规划指标!$G$5*规划指标!$I$5</f>
        <v>0</v>
      </c>
      <c r="Q17" s="245">
        <f>Q16/规划指标!$G$5*规划指标!$I$5</f>
        <v>0</v>
      </c>
      <c r="R17" s="245">
        <f>R16/规划指标!$G$5*规划指标!$I$5</f>
        <v>0</v>
      </c>
      <c r="S17" s="245">
        <f>S16/规划指标!$G$5*规划指标!$I$5</f>
        <v>0</v>
      </c>
      <c r="T17" s="245">
        <f>T16/规划指标!$G$5*规划指标!$I$5</f>
        <v>0</v>
      </c>
      <c r="U17" s="245">
        <f>U16/规划指标!$G$5*规划指标!$I$5</f>
        <v>0</v>
      </c>
      <c r="V17" s="245">
        <f>V16/规划指标!$G$5*规划指标!$I$5</f>
        <v>0</v>
      </c>
      <c r="W17" s="245">
        <f>W16/规划指标!$G$5*规划指标!$I$5</f>
        <v>0</v>
      </c>
      <c r="X17" s="245">
        <f>X16/规划指标!$G$5*规划指标!$I$5</f>
        <v>0</v>
      </c>
      <c r="Y17" s="245">
        <f>Y16/规划指标!$G$5*规划指标!$I$5</f>
        <v>0</v>
      </c>
      <c r="Z17" s="245">
        <f>Z16/规划指标!$G$5*规划指标!$I$5</f>
        <v>0</v>
      </c>
      <c r="AA17" s="245">
        <f>AA16/规划指标!$G$5*规划指标!$I$5</f>
        <v>0</v>
      </c>
      <c r="AB17" s="245">
        <f>AB16/规划指标!$G$5*规划指标!$I$5</f>
        <v>0</v>
      </c>
      <c r="AC17" s="245">
        <f>AC16/规划指标!$G$5*规划指标!$I$5</f>
        <v>0</v>
      </c>
      <c r="AD17" s="245">
        <f>AD16/规划指标!$G$5*规划指标!$I$5</f>
        <v>0</v>
      </c>
      <c r="AE17" s="245">
        <f>AE16/规划指标!$G$5*规划指标!$I$5</f>
        <v>0</v>
      </c>
      <c r="AF17" s="245">
        <f>AF16/规划指标!$G$5*规划指标!$I$5</f>
        <v>0</v>
      </c>
      <c r="AG17" s="245">
        <f>AG16/规划指标!$G$5*规划指标!$I$5</f>
        <v>0</v>
      </c>
      <c r="AH17" s="245">
        <f>AH16/规划指标!$G$5*规划指标!$I$5</f>
        <v>0</v>
      </c>
      <c r="AI17" s="245">
        <f>AI16/规划指标!$G$5*规划指标!$I$5</f>
        <v>0</v>
      </c>
      <c r="AJ17" s="245">
        <f>AJ16/规划指标!$G$5*规划指标!$I$5</f>
        <v>0</v>
      </c>
      <c r="AK17" s="245">
        <f>AK16/规划指标!$G$5*规划指标!$I$5</f>
        <v>0</v>
      </c>
      <c r="AL17" s="245">
        <f>AL16/规划指标!$G$5*规划指标!$I$5</f>
        <v>0</v>
      </c>
      <c r="AM17" s="245">
        <f>AM16/规划指标!$G$5*规划指标!$I$5</f>
        <v>0</v>
      </c>
      <c r="AN17" s="245">
        <f>AN16/规划指标!$G$5*规划指标!$I$5</f>
        <v>0</v>
      </c>
      <c r="AO17" s="245">
        <f>AO16/规划指标!$G$5*规划指标!$I$5</f>
        <v>0</v>
      </c>
      <c r="AP17" s="245">
        <f>AP16/规划指标!$G$5*规划指标!$I$5</f>
        <v>0</v>
      </c>
      <c r="AQ17" s="245">
        <f>AQ16/规划指标!$G$5*规划指标!$I$5</f>
        <v>0</v>
      </c>
    </row>
    <row r="18" spans="1:46" s="213" customFormat="1" ht="18" customHeight="1" outlineLevel="2" x14ac:dyDescent="0.15">
      <c r="A18" s="216"/>
      <c r="B18" s="224" t="str">
        <f>$B$11</f>
        <v>销售均价</v>
      </c>
      <c r="C18" s="225" t="e">
        <f>ROUND(C15/C16*10000,0)</f>
        <v>#DIV/0!</v>
      </c>
      <c r="D18" s="226">
        <f>ROUND(C20*D154,0)</f>
        <v>0</v>
      </c>
      <c r="E18" s="226">
        <f>D18</f>
        <v>0</v>
      </c>
      <c r="F18" s="226">
        <f t="shared" ref="F18:AQ18" si="4">E18</f>
        <v>0</v>
      </c>
      <c r="G18" s="226">
        <f t="shared" si="4"/>
        <v>0</v>
      </c>
      <c r="H18" s="226">
        <f t="shared" si="4"/>
        <v>0</v>
      </c>
      <c r="I18" s="226">
        <f t="shared" si="4"/>
        <v>0</v>
      </c>
      <c r="J18" s="226">
        <f t="shared" si="4"/>
        <v>0</v>
      </c>
      <c r="K18" s="226">
        <f t="shared" si="4"/>
        <v>0</v>
      </c>
      <c r="L18" s="226">
        <f t="shared" si="4"/>
        <v>0</v>
      </c>
      <c r="M18" s="226">
        <f t="shared" si="4"/>
        <v>0</v>
      </c>
      <c r="N18" s="226">
        <f t="shared" si="4"/>
        <v>0</v>
      </c>
      <c r="O18" s="226">
        <f t="shared" si="4"/>
        <v>0</v>
      </c>
      <c r="P18" s="226">
        <f t="shared" si="4"/>
        <v>0</v>
      </c>
      <c r="Q18" s="226">
        <f t="shared" si="4"/>
        <v>0</v>
      </c>
      <c r="R18" s="226">
        <f t="shared" si="4"/>
        <v>0</v>
      </c>
      <c r="S18" s="226">
        <f t="shared" si="4"/>
        <v>0</v>
      </c>
      <c r="T18" s="226">
        <f t="shared" si="4"/>
        <v>0</v>
      </c>
      <c r="U18" s="226">
        <f t="shared" si="4"/>
        <v>0</v>
      </c>
      <c r="V18" s="226">
        <f t="shared" si="4"/>
        <v>0</v>
      </c>
      <c r="W18" s="226">
        <f t="shared" si="4"/>
        <v>0</v>
      </c>
      <c r="X18" s="226">
        <f t="shared" si="4"/>
        <v>0</v>
      </c>
      <c r="Y18" s="226">
        <f t="shared" si="4"/>
        <v>0</v>
      </c>
      <c r="Z18" s="226">
        <f t="shared" si="4"/>
        <v>0</v>
      </c>
      <c r="AA18" s="226">
        <f t="shared" si="4"/>
        <v>0</v>
      </c>
      <c r="AB18" s="226">
        <f t="shared" si="4"/>
        <v>0</v>
      </c>
      <c r="AC18" s="226">
        <f t="shared" si="4"/>
        <v>0</v>
      </c>
      <c r="AD18" s="226">
        <f t="shared" si="4"/>
        <v>0</v>
      </c>
      <c r="AE18" s="226">
        <f t="shared" si="4"/>
        <v>0</v>
      </c>
      <c r="AF18" s="226">
        <f t="shared" si="4"/>
        <v>0</v>
      </c>
      <c r="AG18" s="226">
        <f t="shared" si="4"/>
        <v>0</v>
      </c>
      <c r="AH18" s="226">
        <f t="shared" si="4"/>
        <v>0</v>
      </c>
      <c r="AI18" s="226">
        <f t="shared" si="4"/>
        <v>0</v>
      </c>
      <c r="AJ18" s="226">
        <f t="shared" si="4"/>
        <v>0</v>
      </c>
      <c r="AK18" s="226">
        <f t="shared" si="4"/>
        <v>0</v>
      </c>
      <c r="AL18" s="226">
        <f t="shared" si="4"/>
        <v>0</v>
      </c>
      <c r="AM18" s="226">
        <f t="shared" si="4"/>
        <v>0</v>
      </c>
      <c r="AN18" s="226">
        <f>W18</f>
        <v>0</v>
      </c>
      <c r="AO18" s="226">
        <f t="shared" si="4"/>
        <v>0</v>
      </c>
      <c r="AP18" s="226">
        <f t="shared" si="4"/>
        <v>0</v>
      </c>
      <c r="AQ18" s="226">
        <f t="shared" si="4"/>
        <v>0</v>
      </c>
      <c r="AS18" s="571"/>
      <c r="AT18" s="202"/>
    </row>
    <row r="19" spans="1:46" s="229" customFormat="1" ht="18" customHeight="1" outlineLevel="2" x14ac:dyDescent="0.15">
      <c r="A19" s="227"/>
      <c r="B19" s="224" t="str">
        <f>$B$12</f>
        <v>销售率</v>
      </c>
      <c r="C19" s="228">
        <f>SUM(D19:AQ19)</f>
        <v>0</v>
      </c>
      <c r="D19" s="234"/>
      <c r="E19" s="234"/>
      <c r="F19" s="234"/>
      <c r="G19" s="234"/>
      <c r="H19" s="234"/>
      <c r="I19" s="234"/>
      <c r="J19" s="234"/>
      <c r="K19" s="234"/>
      <c r="L19" s="234"/>
      <c r="M19" s="234"/>
      <c r="N19" s="234"/>
      <c r="O19" s="234"/>
      <c r="P19" s="234"/>
      <c r="Q19" s="234"/>
      <c r="R19" s="234"/>
      <c r="S19" s="234"/>
      <c r="T19" s="234"/>
      <c r="U19" s="234"/>
      <c r="V19" s="234"/>
      <c r="W19" s="234"/>
      <c r="X19" s="234"/>
      <c r="Y19" s="234"/>
      <c r="Z19" s="234"/>
      <c r="AA19" s="234"/>
      <c r="AB19" s="234"/>
      <c r="AC19" s="234"/>
      <c r="AD19" s="234"/>
      <c r="AE19" s="234"/>
      <c r="AF19" s="234"/>
      <c r="AG19" s="234"/>
      <c r="AH19" s="234"/>
      <c r="AI19" s="234"/>
      <c r="AJ19" s="234"/>
      <c r="AK19" s="234"/>
      <c r="AL19" s="234"/>
      <c r="AM19" s="234"/>
      <c r="AN19" s="234"/>
      <c r="AO19" s="234"/>
      <c r="AP19" s="234"/>
      <c r="AQ19" s="234"/>
    </row>
    <row r="20" spans="1:46" s="229" customFormat="1" ht="18" customHeight="1" outlineLevel="2" x14ac:dyDescent="0.15">
      <c r="A20" s="227"/>
      <c r="B20" s="224" t="s">
        <v>577</v>
      </c>
      <c r="C20" s="234"/>
      <c r="D20" s="228"/>
      <c r="E20" s="228"/>
      <c r="F20" s="228"/>
      <c r="G20" s="228"/>
      <c r="H20" s="228"/>
      <c r="I20" s="228"/>
      <c r="J20" s="228"/>
      <c r="K20" s="228"/>
      <c r="L20" s="228"/>
      <c r="M20" s="228"/>
      <c r="N20" s="228"/>
      <c r="O20" s="228"/>
      <c r="P20" s="228"/>
      <c r="Q20" s="228"/>
      <c r="R20" s="228"/>
      <c r="S20" s="228"/>
      <c r="T20" s="228"/>
      <c r="U20" s="228"/>
      <c r="V20" s="228"/>
      <c r="W20" s="228"/>
      <c r="X20" s="228"/>
      <c r="Y20" s="228"/>
      <c r="Z20" s="228"/>
      <c r="AA20" s="228"/>
      <c r="AB20" s="228"/>
      <c r="AC20" s="228"/>
      <c r="AD20" s="228"/>
      <c r="AE20" s="228"/>
      <c r="AF20" s="228"/>
      <c r="AG20" s="228"/>
      <c r="AH20" s="228"/>
      <c r="AI20" s="228"/>
      <c r="AJ20" s="228"/>
      <c r="AK20" s="228"/>
      <c r="AL20" s="228"/>
      <c r="AM20" s="228"/>
      <c r="AN20" s="228"/>
      <c r="AO20" s="228"/>
      <c r="AP20" s="228"/>
      <c r="AQ20" s="228"/>
    </row>
    <row r="21" spans="1:46" s="213" customFormat="1" ht="18" customHeight="1" outlineLevel="2" x14ac:dyDescent="0.15">
      <c r="A21" s="216"/>
      <c r="B21" s="634"/>
      <c r="C21" s="228"/>
      <c r="D21" s="231"/>
      <c r="E21" s="231"/>
      <c r="F21" s="231"/>
      <c r="G21" s="231"/>
      <c r="H21" s="231"/>
      <c r="I21" s="231"/>
      <c r="J21" s="231"/>
      <c r="K21" s="231"/>
      <c r="L21" s="231"/>
      <c r="M21" s="231"/>
      <c r="N21" s="231"/>
      <c r="O21" s="231"/>
      <c r="P21" s="231"/>
      <c r="Q21" s="231"/>
      <c r="R21" s="231"/>
      <c r="S21" s="231"/>
      <c r="T21" s="231"/>
      <c r="U21" s="231"/>
      <c r="V21" s="231"/>
      <c r="W21" s="231"/>
      <c r="X21" s="231"/>
      <c r="Y21" s="231"/>
      <c r="Z21" s="231"/>
      <c r="AA21" s="231"/>
      <c r="AB21" s="231"/>
      <c r="AC21" s="231"/>
      <c r="AD21" s="231"/>
      <c r="AE21" s="231"/>
      <c r="AF21" s="231"/>
      <c r="AG21" s="231"/>
      <c r="AH21" s="231"/>
      <c r="AI21" s="231"/>
      <c r="AJ21" s="231"/>
      <c r="AK21" s="231"/>
      <c r="AL21" s="231"/>
      <c r="AM21" s="231"/>
      <c r="AN21" s="231"/>
      <c r="AO21" s="231"/>
      <c r="AP21" s="231"/>
      <c r="AQ21" s="231"/>
    </row>
    <row r="22" spans="1:46" s="213" customFormat="1" ht="18" customHeight="1" outlineLevel="1" x14ac:dyDescent="0.15">
      <c r="A22" s="216" t="s">
        <v>297</v>
      </c>
      <c r="B22" s="633" t="str">
        <f>规划指标!F6</f>
        <v>商业</v>
      </c>
      <c r="C22" s="217">
        <f>SUM(D22:AQ22)</f>
        <v>0</v>
      </c>
      <c r="D22" s="201">
        <f>D25*D23/10000</f>
        <v>0</v>
      </c>
      <c r="E22" s="201">
        <f t="shared" ref="E22:AQ22" si="5">E25*E23/10000</f>
        <v>0</v>
      </c>
      <c r="F22" s="201">
        <f t="shared" si="5"/>
        <v>0</v>
      </c>
      <c r="G22" s="201">
        <f t="shared" si="5"/>
        <v>0</v>
      </c>
      <c r="H22" s="201">
        <f t="shared" si="5"/>
        <v>0</v>
      </c>
      <c r="I22" s="201">
        <f t="shared" si="5"/>
        <v>0</v>
      </c>
      <c r="J22" s="201">
        <f t="shared" si="5"/>
        <v>0</v>
      </c>
      <c r="K22" s="201">
        <f t="shared" si="5"/>
        <v>0</v>
      </c>
      <c r="L22" s="201">
        <f t="shared" si="5"/>
        <v>0</v>
      </c>
      <c r="M22" s="201">
        <f t="shared" si="5"/>
        <v>0</v>
      </c>
      <c r="N22" s="201">
        <f t="shared" si="5"/>
        <v>0</v>
      </c>
      <c r="O22" s="201">
        <f t="shared" si="5"/>
        <v>0</v>
      </c>
      <c r="P22" s="201">
        <f t="shared" si="5"/>
        <v>0</v>
      </c>
      <c r="Q22" s="201">
        <f t="shared" si="5"/>
        <v>0</v>
      </c>
      <c r="R22" s="201">
        <f t="shared" si="5"/>
        <v>0</v>
      </c>
      <c r="S22" s="201">
        <f t="shared" si="5"/>
        <v>0</v>
      </c>
      <c r="T22" s="201">
        <f t="shared" si="5"/>
        <v>0</v>
      </c>
      <c r="U22" s="201">
        <f t="shared" si="5"/>
        <v>0</v>
      </c>
      <c r="V22" s="201">
        <f t="shared" si="5"/>
        <v>0</v>
      </c>
      <c r="W22" s="201">
        <f t="shared" si="5"/>
        <v>0</v>
      </c>
      <c r="X22" s="201">
        <f t="shared" si="5"/>
        <v>0</v>
      </c>
      <c r="Y22" s="201">
        <f t="shared" si="5"/>
        <v>0</v>
      </c>
      <c r="Z22" s="201">
        <f t="shared" si="5"/>
        <v>0</v>
      </c>
      <c r="AA22" s="201">
        <f t="shared" si="5"/>
        <v>0</v>
      </c>
      <c r="AB22" s="201">
        <f t="shared" si="5"/>
        <v>0</v>
      </c>
      <c r="AC22" s="201">
        <f t="shared" si="5"/>
        <v>0</v>
      </c>
      <c r="AD22" s="201">
        <f t="shared" si="5"/>
        <v>0</v>
      </c>
      <c r="AE22" s="201">
        <f t="shared" si="5"/>
        <v>0</v>
      </c>
      <c r="AF22" s="201">
        <f t="shared" si="5"/>
        <v>0</v>
      </c>
      <c r="AG22" s="201">
        <f t="shared" si="5"/>
        <v>0</v>
      </c>
      <c r="AH22" s="201">
        <f t="shared" si="5"/>
        <v>0</v>
      </c>
      <c r="AI22" s="201">
        <f t="shared" si="5"/>
        <v>0</v>
      </c>
      <c r="AJ22" s="201">
        <f t="shared" si="5"/>
        <v>0</v>
      </c>
      <c r="AK22" s="201">
        <f t="shared" si="5"/>
        <v>0</v>
      </c>
      <c r="AL22" s="201">
        <f t="shared" si="5"/>
        <v>0</v>
      </c>
      <c r="AM22" s="201">
        <f t="shared" si="5"/>
        <v>0</v>
      </c>
      <c r="AN22" s="201">
        <f t="shared" si="5"/>
        <v>0</v>
      </c>
      <c r="AO22" s="201">
        <f t="shared" si="5"/>
        <v>0</v>
      </c>
      <c r="AP22" s="201">
        <f t="shared" si="5"/>
        <v>0</v>
      </c>
      <c r="AQ22" s="201">
        <f t="shared" si="5"/>
        <v>0</v>
      </c>
    </row>
    <row r="23" spans="1:46" s="213" customFormat="1" ht="18" customHeight="1" outlineLevel="2" x14ac:dyDescent="0.15">
      <c r="A23" s="216"/>
      <c r="B23" s="224" t="str">
        <f>$B$9</f>
        <v>销售数量</v>
      </c>
      <c r="C23" s="217">
        <f>SUM(D23:AQ23)</f>
        <v>0</v>
      </c>
      <c r="D23" s="201">
        <f>D26*规划指标!$G$6</f>
        <v>0</v>
      </c>
      <c r="E23" s="201">
        <f>E26*规划指标!$G$6</f>
        <v>0</v>
      </c>
      <c r="F23" s="201">
        <f>F26*规划指标!$G$6</f>
        <v>0</v>
      </c>
      <c r="G23" s="201">
        <f>G26*规划指标!$G$6</f>
        <v>0</v>
      </c>
      <c r="H23" s="201">
        <f>H26*规划指标!$G$6</f>
        <v>0</v>
      </c>
      <c r="I23" s="201">
        <f>I26*规划指标!$G$6</f>
        <v>0</v>
      </c>
      <c r="J23" s="201">
        <f>J26*规划指标!$G$6</f>
        <v>0</v>
      </c>
      <c r="K23" s="201">
        <f>K26*规划指标!$G$6</f>
        <v>0</v>
      </c>
      <c r="L23" s="201">
        <f>L26*规划指标!$G$6</f>
        <v>0</v>
      </c>
      <c r="M23" s="201">
        <f>M26*规划指标!$G$6</f>
        <v>0</v>
      </c>
      <c r="N23" s="201">
        <f>N26*规划指标!$G$6</f>
        <v>0</v>
      </c>
      <c r="O23" s="201">
        <f>O26*规划指标!$G$6</f>
        <v>0</v>
      </c>
      <c r="P23" s="201">
        <f>P26*规划指标!$G$6</f>
        <v>0</v>
      </c>
      <c r="Q23" s="201">
        <f>Q26*规划指标!$G$6</f>
        <v>0</v>
      </c>
      <c r="R23" s="201">
        <f>R26*规划指标!$G$6</f>
        <v>0</v>
      </c>
      <c r="S23" s="201">
        <f>S26*规划指标!$G$6</f>
        <v>0</v>
      </c>
      <c r="T23" s="201">
        <f>T26*规划指标!$G$6</f>
        <v>0</v>
      </c>
      <c r="U23" s="201">
        <f>U26*规划指标!$G$6</f>
        <v>0</v>
      </c>
      <c r="V23" s="201">
        <f>V26*规划指标!$G$6</f>
        <v>0</v>
      </c>
      <c r="W23" s="201">
        <f>W26*规划指标!$G$6</f>
        <v>0</v>
      </c>
      <c r="X23" s="201">
        <f>X26*规划指标!$G$6</f>
        <v>0</v>
      </c>
      <c r="Y23" s="201">
        <f>Y26*规划指标!$G$6</f>
        <v>0</v>
      </c>
      <c r="Z23" s="201">
        <f>Z26*规划指标!$G$6</f>
        <v>0</v>
      </c>
      <c r="AA23" s="201">
        <f>AA26*规划指标!$G$6</f>
        <v>0</v>
      </c>
      <c r="AB23" s="201">
        <f>AB26*规划指标!$G$6</f>
        <v>0</v>
      </c>
      <c r="AC23" s="201">
        <f>AC26*规划指标!$G$6</f>
        <v>0</v>
      </c>
      <c r="AD23" s="201">
        <f>AD26*规划指标!$G$6</f>
        <v>0</v>
      </c>
      <c r="AE23" s="201">
        <f>AE26*规划指标!$G$6</f>
        <v>0</v>
      </c>
      <c r="AF23" s="201">
        <f>AF26*规划指标!$G$6</f>
        <v>0</v>
      </c>
      <c r="AG23" s="201">
        <f>AG26*规划指标!$G$6</f>
        <v>0</v>
      </c>
      <c r="AH23" s="201">
        <f>AH26*规划指标!$G$6</f>
        <v>0</v>
      </c>
      <c r="AI23" s="201">
        <f>AI26*规划指标!$G$6</f>
        <v>0</v>
      </c>
      <c r="AJ23" s="201">
        <f>AJ26*规划指标!$G$6</f>
        <v>0</v>
      </c>
      <c r="AK23" s="201">
        <f>AK26*规划指标!$G$6</f>
        <v>0</v>
      </c>
      <c r="AL23" s="201">
        <f>AL26*规划指标!$G$6</f>
        <v>0</v>
      </c>
      <c r="AM23" s="201">
        <f>AM26*规划指标!$G$6</f>
        <v>0</v>
      </c>
      <c r="AN23" s="201">
        <f>AN26*规划指标!$G$6</f>
        <v>0</v>
      </c>
      <c r="AO23" s="201">
        <f>AO26*规划指标!$G$6</f>
        <v>0</v>
      </c>
      <c r="AP23" s="201">
        <f>AP26*规划指标!$G$6</f>
        <v>0</v>
      </c>
      <c r="AQ23" s="201">
        <f>AQ26*规划指标!$G$6</f>
        <v>0</v>
      </c>
    </row>
    <row r="24" spans="1:46" s="213" customFormat="1" ht="18" customHeight="1" outlineLevel="2" x14ac:dyDescent="0.15">
      <c r="A24" s="216"/>
      <c r="B24" s="224" t="str">
        <f>B17</f>
        <v>销售套数</v>
      </c>
      <c r="C24" s="217">
        <f>SUM(D24:AQ24)</f>
        <v>0</v>
      </c>
      <c r="D24" s="245">
        <f>D23/规划指标!$G$6*规划指标!$I$6</f>
        <v>0</v>
      </c>
      <c r="E24" s="245">
        <f>E23/规划指标!$G$6*规划指标!$I$6</f>
        <v>0</v>
      </c>
      <c r="F24" s="245">
        <f>F23/规划指标!$G$6*规划指标!$I$6</f>
        <v>0</v>
      </c>
      <c r="G24" s="245">
        <f>G23/规划指标!$G$6*规划指标!$I$6</f>
        <v>0</v>
      </c>
      <c r="H24" s="245">
        <f>H23/规划指标!$G$6*规划指标!$I$6</f>
        <v>0</v>
      </c>
      <c r="I24" s="245">
        <f>I23/规划指标!$G$6*规划指标!$I$6</f>
        <v>0</v>
      </c>
      <c r="J24" s="245">
        <f>J23/规划指标!$G$6*规划指标!$I$6</f>
        <v>0</v>
      </c>
      <c r="K24" s="245">
        <f>K23/规划指标!$G$6*规划指标!$I$6</f>
        <v>0</v>
      </c>
      <c r="L24" s="245">
        <f>L23/规划指标!$G$6*规划指标!$I$6</f>
        <v>0</v>
      </c>
      <c r="M24" s="245">
        <f>M23/规划指标!$G$6*规划指标!$I$6</f>
        <v>0</v>
      </c>
      <c r="N24" s="245">
        <f>N23/规划指标!$G$6*规划指标!$I$6</f>
        <v>0</v>
      </c>
      <c r="O24" s="245">
        <f>O23/规划指标!$G$6*规划指标!$I$6</f>
        <v>0</v>
      </c>
      <c r="P24" s="245">
        <f>P23/规划指标!$G$6*规划指标!$I$6</f>
        <v>0</v>
      </c>
      <c r="Q24" s="245">
        <f>Q23/规划指标!$G$6*规划指标!$I$6</f>
        <v>0</v>
      </c>
      <c r="R24" s="245">
        <f>R23/规划指标!$G$6*规划指标!$I$6</f>
        <v>0</v>
      </c>
      <c r="S24" s="245">
        <f>S23/规划指标!$G$6*规划指标!$I$6</f>
        <v>0</v>
      </c>
      <c r="T24" s="245">
        <f>T23/规划指标!$G$6*规划指标!$I$6</f>
        <v>0</v>
      </c>
      <c r="U24" s="245">
        <f>U23/规划指标!$G$6*规划指标!$I$6</f>
        <v>0</v>
      </c>
      <c r="V24" s="245">
        <f>V23/规划指标!$G$6*规划指标!$I$6</f>
        <v>0</v>
      </c>
      <c r="W24" s="245">
        <f>W23/规划指标!$G$6*规划指标!$I$6</f>
        <v>0</v>
      </c>
      <c r="X24" s="245">
        <f>X23/规划指标!$G$6*规划指标!$I$6</f>
        <v>0</v>
      </c>
      <c r="Y24" s="245">
        <f>Y23/规划指标!$G$6*规划指标!$I$6</f>
        <v>0</v>
      </c>
      <c r="Z24" s="245">
        <f>Z23/规划指标!$G$6*规划指标!$I$6</f>
        <v>0</v>
      </c>
      <c r="AA24" s="245">
        <f>AA23/规划指标!$G$6*规划指标!$I$6</f>
        <v>0</v>
      </c>
      <c r="AB24" s="245">
        <f>AB23/规划指标!$G$6*规划指标!$I$6</f>
        <v>0</v>
      </c>
      <c r="AC24" s="245">
        <f>AC23/规划指标!$G$6*规划指标!$I$6</f>
        <v>0</v>
      </c>
      <c r="AD24" s="245">
        <f>AD23/规划指标!$G$6*规划指标!$I$6</f>
        <v>0</v>
      </c>
      <c r="AE24" s="245">
        <f>AE23/规划指标!$G$6*规划指标!$I$6</f>
        <v>0</v>
      </c>
      <c r="AF24" s="245">
        <f>AF23/规划指标!$G$6*规划指标!$I$6</f>
        <v>0</v>
      </c>
      <c r="AG24" s="245">
        <f>AG23/规划指标!$G$6*规划指标!$I$6</f>
        <v>0</v>
      </c>
      <c r="AH24" s="245">
        <f>AH23/规划指标!$G$6*规划指标!$I$6</f>
        <v>0</v>
      </c>
      <c r="AI24" s="245">
        <f>AI23/规划指标!$G$6*规划指标!$I$6</f>
        <v>0</v>
      </c>
      <c r="AJ24" s="245">
        <f>AJ23/规划指标!$G$6*规划指标!$I$6</f>
        <v>0</v>
      </c>
      <c r="AK24" s="245">
        <f>AK23/规划指标!$G$6*规划指标!$I$6</f>
        <v>0</v>
      </c>
      <c r="AL24" s="245">
        <f>AL23/规划指标!$G$6*规划指标!$I$6</f>
        <v>0</v>
      </c>
      <c r="AM24" s="245">
        <f>AM23/规划指标!$G$6*规划指标!$I$6</f>
        <v>0</v>
      </c>
      <c r="AN24" s="245">
        <f>AN23/规划指标!$G$6*规划指标!$I$6</f>
        <v>0</v>
      </c>
      <c r="AO24" s="245">
        <f>AO23/规划指标!$G$6*规划指标!$I$6</f>
        <v>0</v>
      </c>
      <c r="AP24" s="245">
        <f>AP23/规划指标!$G$6*规划指标!$I$6</f>
        <v>0</v>
      </c>
      <c r="AQ24" s="245">
        <f>AQ23/规划指标!$G$6*规划指标!$I$6</f>
        <v>0</v>
      </c>
    </row>
    <row r="25" spans="1:46" s="213" customFormat="1" ht="18" customHeight="1" outlineLevel="2" x14ac:dyDescent="0.15">
      <c r="A25" s="216"/>
      <c r="B25" s="224" t="str">
        <f>$B$11</f>
        <v>销售均价</v>
      </c>
      <c r="C25" s="225" t="e">
        <f>ROUND(C22/C23*10000,0)</f>
        <v>#DIV/0!</v>
      </c>
      <c r="D25" s="226">
        <f>ROUND(C27*D155,0)</f>
        <v>0</v>
      </c>
      <c r="E25" s="226">
        <f>D25</f>
        <v>0</v>
      </c>
      <c r="F25" s="226">
        <f t="shared" ref="F25:AQ25" si="6">E25</f>
        <v>0</v>
      </c>
      <c r="G25" s="226">
        <f t="shared" si="6"/>
        <v>0</v>
      </c>
      <c r="H25" s="226">
        <f t="shared" si="6"/>
        <v>0</v>
      </c>
      <c r="I25" s="226">
        <f t="shared" si="6"/>
        <v>0</v>
      </c>
      <c r="J25" s="226">
        <f t="shared" si="6"/>
        <v>0</v>
      </c>
      <c r="K25" s="226">
        <f t="shared" si="6"/>
        <v>0</v>
      </c>
      <c r="L25" s="226">
        <f t="shared" si="6"/>
        <v>0</v>
      </c>
      <c r="M25" s="226">
        <f t="shared" si="6"/>
        <v>0</v>
      </c>
      <c r="N25" s="226">
        <f t="shared" si="6"/>
        <v>0</v>
      </c>
      <c r="O25" s="226">
        <f t="shared" si="6"/>
        <v>0</v>
      </c>
      <c r="P25" s="226">
        <f t="shared" si="6"/>
        <v>0</v>
      </c>
      <c r="Q25" s="226">
        <f t="shared" si="6"/>
        <v>0</v>
      </c>
      <c r="R25" s="226">
        <f t="shared" si="6"/>
        <v>0</v>
      </c>
      <c r="S25" s="226">
        <f t="shared" si="6"/>
        <v>0</v>
      </c>
      <c r="T25" s="226">
        <f t="shared" si="6"/>
        <v>0</v>
      </c>
      <c r="U25" s="226">
        <f t="shared" si="6"/>
        <v>0</v>
      </c>
      <c r="V25" s="226">
        <f t="shared" si="6"/>
        <v>0</v>
      </c>
      <c r="W25" s="226">
        <f t="shared" si="6"/>
        <v>0</v>
      </c>
      <c r="X25" s="226">
        <f t="shared" si="6"/>
        <v>0</v>
      </c>
      <c r="Y25" s="226">
        <f t="shared" si="6"/>
        <v>0</v>
      </c>
      <c r="Z25" s="226">
        <f t="shared" si="6"/>
        <v>0</v>
      </c>
      <c r="AA25" s="226">
        <f t="shared" si="6"/>
        <v>0</v>
      </c>
      <c r="AB25" s="226">
        <f t="shared" si="6"/>
        <v>0</v>
      </c>
      <c r="AC25" s="226">
        <f t="shared" si="6"/>
        <v>0</v>
      </c>
      <c r="AD25" s="226">
        <f t="shared" si="6"/>
        <v>0</v>
      </c>
      <c r="AE25" s="226">
        <f t="shared" si="6"/>
        <v>0</v>
      </c>
      <c r="AF25" s="226">
        <f t="shared" si="6"/>
        <v>0</v>
      </c>
      <c r="AG25" s="226">
        <f t="shared" si="6"/>
        <v>0</v>
      </c>
      <c r="AH25" s="226">
        <f t="shared" si="6"/>
        <v>0</v>
      </c>
      <c r="AI25" s="226">
        <f t="shared" si="6"/>
        <v>0</v>
      </c>
      <c r="AJ25" s="226">
        <f t="shared" si="6"/>
        <v>0</v>
      </c>
      <c r="AK25" s="226">
        <f t="shared" si="6"/>
        <v>0</v>
      </c>
      <c r="AL25" s="226">
        <f t="shared" si="6"/>
        <v>0</v>
      </c>
      <c r="AM25" s="226">
        <f t="shared" si="6"/>
        <v>0</v>
      </c>
      <c r="AN25" s="226">
        <f>W25</f>
        <v>0</v>
      </c>
      <c r="AO25" s="226">
        <f t="shared" si="6"/>
        <v>0</v>
      </c>
      <c r="AP25" s="226">
        <f t="shared" si="6"/>
        <v>0</v>
      </c>
      <c r="AQ25" s="226">
        <f t="shared" si="6"/>
        <v>0</v>
      </c>
      <c r="AS25" s="571"/>
      <c r="AT25" s="202"/>
    </row>
    <row r="26" spans="1:46" s="229" customFormat="1" ht="18" customHeight="1" outlineLevel="2" x14ac:dyDescent="0.15">
      <c r="A26" s="227"/>
      <c r="B26" s="224" t="str">
        <f>$B$12</f>
        <v>销售率</v>
      </c>
      <c r="C26" s="228">
        <f>SUM(D26:AQ26)</f>
        <v>0</v>
      </c>
      <c r="D26" s="234"/>
      <c r="E26" s="234"/>
      <c r="F26" s="234"/>
      <c r="G26" s="234"/>
      <c r="H26" s="234"/>
      <c r="I26" s="234"/>
      <c r="J26" s="234"/>
      <c r="K26" s="234"/>
      <c r="L26" s="234"/>
      <c r="M26" s="234"/>
      <c r="N26" s="234"/>
      <c r="O26" s="234"/>
      <c r="P26" s="234"/>
      <c r="Q26" s="234"/>
      <c r="R26" s="234"/>
      <c r="S26" s="234"/>
      <c r="T26" s="234"/>
      <c r="U26" s="234"/>
      <c r="V26" s="234"/>
      <c r="W26" s="234"/>
      <c r="X26" s="234"/>
      <c r="Y26" s="234"/>
      <c r="Z26" s="234"/>
      <c r="AA26" s="234"/>
      <c r="AB26" s="234"/>
      <c r="AC26" s="234"/>
      <c r="AD26" s="234"/>
      <c r="AE26" s="234"/>
      <c r="AF26" s="234"/>
      <c r="AG26" s="234"/>
      <c r="AH26" s="234"/>
      <c r="AI26" s="234"/>
      <c r="AJ26" s="234"/>
      <c r="AK26" s="234"/>
      <c r="AL26" s="234"/>
      <c r="AM26" s="234"/>
      <c r="AN26" s="234"/>
      <c r="AO26" s="234"/>
      <c r="AP26" s="234"/>
      <c r="AQ26" s="234"/>
    </row>
    <row r="27" spans="1:46" s="229" customFormat="1" ht="18" customHeight="1" outlineLevel="2" x14ac:dyDescent="0.15">
      <c r="A27" s="227"/>
      <c r="B27" s="224" t="s">
        <v>577</v>
      </c>
      <c r="C27" s="234"/>
      <c r="D27" s="228"/>
      <c r="E27" s="228"/>
      <c r="F27" s="228"/>
      <c r="G27" s="228"/>
      <c r="H27" s="228"/>
      <c r="I27" s="228"/>
      <c r="J27" s="228"/>
      <c r="K27" s="228"/>
      <c r="L27" s="228"/>
      <c r="M27" s="228"/>
      <c r="N27" s="228"/>
      <c r="O27" s="228"/>
      <c r="P27" s="228"/>
      <c r="Q27" s="228"/>
      <c r="R27" s="228"/>
      <c r="S27" s="228"/>
      <c r="T27" s="228"/>
      <c r="U27" s="228"/>
      <c r="V27" s="228"/>
      <c r="W27" s="228"/>
      <c r="X27" s="228"/>
      <c r="Y27" s="228"/>
      <c r="Z27" s="228"/>
      <c r="AA27" s="228"/>
      <c r="AB27" s="228"/>
      <c r="AC27" s="228"/>
      <c r="AD27" s="228"/>
      <c r="AE27" s="228"/>
      <c r="AF27" s="228"/>
      <c r="AG27" s="228"/>
      <c r="AH27" s="228"/>
      <c r="AI27" s="228"/>
      <c r="AJ27" s="228"/>
      <c r="AK27" s="228"/>
      <c r="AL27" s="228"/>
      <c r="AM27" s="228"/>
      <c r="AN27" s="228"/>
      <c r="AO27" s="228"/>
      <c r="AP27" s="228"/>
      <c r="AQ27" s="228"/>
    </row>
    <row r="28" spans="1:46" s="213" customFormat="1" ht="18" customHeight="1" outlineLevel="2" x14ac:dyDescent="0.15">
      <c r="A28" s="216"/>
      <c r="B28" s="634"/>
      <c r="C28" s="228"/>
      <c r="D28" s="231"/>
      <c r="E28" s="231"/>
      <c r="F28" s="231"/>
      <c r="G28" s="231"/>
      <c r="H28" s="231"/>
      <c r="I28" s="231"/>
      <c r="J28" s="231"/>
      <c r="K28" s="231"/>
      <c r="L28" s="231"/>
      <c r="M28" s="231"/>
      <c r="N28" s="231"/>
      <c r="O28" s="231"/>
      <c r="P28" s="231"/>
      <c r="Q28" s="231"/>
      <c r="R28" s="231"/>
      <c r="S28" s="231"/>
      <c r="T28" s="231"/>
      <c r="U28" s="231"/>
      <c r="V28" s="231"/>
      <c r="W28" s="231"/>
      <c r="X28" s="231"/>
      <c r="Y28" s="231"/>
      <c r="Z28" s="231"/>
      <c r="AA28" s="231"/>
      <c r="AB28" s="231"/>
      <c r="AC28" s="231"/>
      <c r="AD28" s="231"/>
      <c r="AE28" s="231"/>
      <c r="AF28" s="231"/>
      <c r="AG28" s="231"/>
      <c r="AH28" s="231"/>
      <c r="AI28" s="231"/>
      <c r="AJ28" s="231"/>
      <c r="AK28" s="231"/>
      <c r="AL28" s="231"/>
      <c r="AM28" s="231"/>
      <c r="AN28" s="231"/>
      <c r="AO28" s="231"/>
      <c r="AP28" s="231"/>
      <c r="AQ28" s="231"/>
    </row>
    <row r="29" spans="1:46" s="213" customFormat="1" ht="18" customHeight="1" outlineLevel="1" x14ac:dyDescent="0.15">
      <c r="A29" s="216" t="s">
        <v>298</v>
      </c>
      <c r="B29" s="633" t="str">
        <f>规划指标!F7</f>
        <v>居服配套</v>
      </c>
      <c r="C29" s="217">
        <f>SUM(D29:AQ29)</f>
        <v>0</v>
      </c>
      <c r="D29" s="201">
        <f>D32*D30/10000</f>
        <v>0</v>
      </c>
      <c r="E29" s="201">
        <f t="shared" ref="E29:AQ29" si="7">E32*E30/10000</f>
        <v>0</v>
      </c>
      <c r="F29" s="201">
        <f t="shared" si="7"/>
        <v>0</v>
      </c>
      <c r="G29" s="201">
        <f t="shared" si="7"/>
        <v>0</v>
      </c>
      <c r="H29" s="201">
        <f t="shared" si="7"/>
        <v>0</v>
      </c>
      <c r="I29" s="201">
        <f t="shared" si="7"/>
        <v>0</v>
      </c>
      <c r="J29" s="201">
        <f t="shared" si="7"/>
        <v>0</v>
      </c>
      <c r="K29" s="201">
        <f t="shared" si="7"/>
        <v>0</v>
      </c>
      <c r="L29" s="201">
        <f t="shared" si="7"/>
        <v>0</v>
      </c>
      <c r="M29" s="201">
        <f t="shared" si="7"/>
        <v>0</v>
      </c>
      <c r="N29" s="201">
        <f t="shared" si="7"/>
        <v>0</v>
      </c>
      <c r="O29" s="201">
        <f t="shared" si="7"/>
        <v>0</v>
      </c>
      <c r="P29" s="201">
        <f t="shared" si="7"/>
        <v>0</v>
      </c>
      <c r="Q29" s="201">
        <f t="shared" si="7"/>
        <v>0</v>
      </c>
      <c r="R29" s="201">
        <f t="shared" si="7"/>
        <v>0</v>
      </c>
      <c r="S29" s="201">
        <f t="shared" si="7"/>
        <v>0</v>
      </c>
      <c r="T29" s="201">
        <f t="shared" si="7"/>
        <v>0</v>
      </c>
      <c r="U29" s="201">
        <f t="shared" si="7"/>
        <v>0</v>
      </c>
      <c r="V29" s="201">
        <f t="shared" si="7"/>
        <v>0</v>
      </c>
      <c r="W29" s="201">
        <f t="shared" si="7"/>
        <v>0</v>
      </c>
      <c r="X29" s="201">
        <f t="shared" si="7"/>
        <v>0</v>
      </c>
      <c r="Y29" s="201">
        <f t="shared" si="7"/>
        <v>0</v>
      </c>
      <c r="Z29" s="201">
        <f t="shared" si="7"/>
        <v>0</v>
      </c>
      <c r="AA29" s="201">
        <f t="shared" si="7"/>
        <v>0</v>
      </c>
      <c r="AB29" s="201">
        <f t="shared" si="7"/>
        <v>0</v>
      </c>
      <c r="AC29" s="201">
        <f t="shared" si="7"/>
        <v>0</v>
      </c>
      <c r="AD29" s="201">
        <f t="shared" si="7"/>
        <v>0</v>
      </c>
      <c r="AE29" s="201">
        <f t="shared" si="7"/>
        <v>0</v>
      </c>
      <c r="AF29" s="201">
        <f t="shared" si="7"/>
        <v>0</v>
      </c>
      <c r="AG29" s="201">
        <f t="shared" si="7"/>
        <v>0</v>
      </c>
      <c r="AH29" s="201">
        <f t="shared" si="7"/>
        <v>0</v>
      </c>
      <c r="AI29" s="201">
        <f t="shared" si="7"/>
        <v>0</v>
      </c>
      <c r="AJ29" s="201">
        <f t="shared" si="7"/>
        <v>0</v>
      </c>
      <c r="AK29" s="201">
        <f t="shared" si="7"/>
        <v>0</v>
      </c>
      <c r="AL29" s="201">
        <f t="shared" si="7"/>
        <v>0</v>
      </c>
      <c r="AM29" s="201">
        <f t="shared" si="7"/>
        <v>0</v>
      </c>
      <c r="AN29" s="201">
        <f t="shared" si="7"/>
        <v>0</v>
      </c>
      <c r="AO29" s="201">
        <f t="shared" si="7"/>
        <v>0</v>
      </c>
      <c r="AP29" s="201">
        <f t="shared" si="7"/>
        <v>0</v>
      </c>
      <c r="AQ29" s="201">
        <f t="shared" si="7"/>
        <v>0</v>
      </c>
    </row>
    <row r="30" spans="1:46" s="213" customFormat="1" ht="18" customHeight="1" outlineLevel="2" x14ac:dyDescent="0.15">
      <c r="A30" s="216"/>
      <c r="B30" s="224" t="str">
        <f>$B$9</f>
        <v>销售数量</v>
      </c>
      <c r="C30" s="217">
        <f>SUM(D30:AQ30)</f>
        <v>0</v>
      </c>
      <c r="D30" s="201">
        <f>D33*规划指标!$G$7</f>
        <v>0</v>
      </c>
      <c r="E30" s="201">
        <f>E33*规划指标!$G$7</f>
        <v>0</v>
      </c>
      <c r="F30" s="201">
        <f>F33*规划指标!$G$7</f>
        <v>0</v>
      </c>
      <c r="G30" s="201">
        <f>G33*规划指标!$G$7</f>
        <v>0</v>
      </c>
      <c r="H30" s="201">
        <f>H33*规划指标!$G$7</f>
        <v>0</v>
      </c>
      <c r="I30" s="201">
        <f>I33*规划指标!$G$7</f>
        <v>0</v>
      </c>
      <c r="J30" s="201">
        <f>J33*规划指标!$G$7</f>
        <v>0</v>
      </c>
      <c r="K30" s="201">
        <f>K33*规划指标!$G$7</f>
        <v>0</v>
      </c>
      <c r="L30" s="201">
        <f>L33*规划指标!$G$7</f>
        <v>0</v>
      </c>
      <c r="M30" s="201">
        <f>M33*规划指标!$G$7</f>
        <v>0</v>
      </c>
      <c r="N30" s="201">
        <f>N33*规划指标!$G$7</f>
        <v>0</v>
      </c>
      <c r="O30" s="201">
        <f>O33*规划指标!$G$7</f>
        <v>0</v>
      </c>
      <c r="P30" s="201">
        <f>P33*规划指标!$G$7</f>
        <v>0</v>
      </c>
      <c r="Q30" s="201">
        <f>Q33*规划指标!$G$7</f>
        <v>0</v>
      </c>
      <c r="R30" s="201">
        <f>R33*规划指标!$G$7</f>
        <v>0</v>
      </c>
      <c r="S30" s="201">
        <f>S33*规划指标!$G$7</f>
        <v>0</v>
      </c>
      <c r="T30" s="201">
        <f>T33*规划指标!$G$7</f>
        <v>0</v>
      </c>
      <c r="U30" s="201">
        <f>U33*规划指标!$G$7</f>
        <v>0</v>
      </c>
      <c r="V30" s="201">
        <f>V33*规划指标!$G$7</f>
        <v>0</v>
      </c>
      <c r="W30" s="201">
        <f>W33*规划指标!$G$7</f>
        <v>0</v>
      </c>
      <c r="X30" s="201">
        <f>X33*规划指标!$G$7</f>
        <v>0</v>
      </c>
      <c r="Y30" s="201">
        <f>Y33*规划指标!$G$7</f>
        <v>0</v>
      </c>
      <c r="Z30" s="201">
        <f>Z33*规划指标!$G$7</f>
        <v>0</v>
      </c>
      <c r="AA30" s="201">
        <f>AA33*规划指标!$G$7</f>
        <v>0</v>
      </c>
      <c r="AB30" s="201">
        <f>AB33*规划指标!$G$7</f>
        <v>0</v>
      </c>
      <c r="AC30" s="201">
        <f>AC33*规划指标!$G$7</f>
        <v>0</v>
      </c>
      <c r="AD30" s="201">
        <f>AD33*规划指标!$G$7</f>
        <v>0</v>
      </c>
      <c r="AE30" s="201">
        <f>AE33*规划指标!$G$7</f>
        <v>0</v>
      </c>
      <c r="AF30" s="201">
        <f>AF33*规划指标!$G$7</f>
        <v>0</v>
      </c>
      <c r="AG30" s="201">
        <f>AG33*规划指标!$G$7</f>
        <v>0</v>
      </c>
      <c r="AH30" s="201">
        <f>AH33*规划指标!$G$7</f>
        <v>0</v>
      </c>
      <c r="AI30" s="201">
        <f>AI33*规划指标!$G$7</f>
        <v>0</v>
      </c>
      <c r="AJ30" s="201">
        <f>AJ33*规划指标!$G$7</f>
        <v>0</v>
      </c>
      <c r="AK30" s="201">
        <f>AK33*规划指标!$G$7</f>
        <v>0</v>
      </c>
      <c r="AL30" s="201">
        <f>AL33*规划指标!$G$7</f>
        <v>0</v>
      </c>
      <c r="AM30" s="201">
        <f>AM33*规划指标!$G$7</f>
        <v>0</v>
      </c>
      <c r="AN30" s="201">
        <f>AN33*规划指标!$G$7</f>
        <v>0</v>
      </c>
      <c r="AO30" s="201">
        <f>AO33*规划指标!$G$7</f>
        <v>0</v>
      </c>
      <c r="AP30" s="201">
        <f>AP33*规划指标!$G$7</f>
        <v>0</v>
      </c>
      <c r="AQ30" s="201">
        <f>AQ33*规划指标!$G$7</f>
        <v>0</v>
      </c>
    </row>
    <row r="31" spans="1:46" s="213" customFormat="1" ht="18" customHeight="1" outlineLevel="2" x14ac:dyDescent="0.15">
      <c r="A31" s="216"/>
      <c r="B31" s="224" t="str">
        <f>B24</f>
        <v>销售套数</v>
      </c>
      <c r="C31" s="217">
        <f>SUM(D31:AQ31)</f>
        <v>0</v>
      </c>
      <c r="D31" s="245">
        <f>D30/规划指标!$G$7*规划指标!$I$7</f>
        <v>0</v>
      </c>
      <c r="E31" s="245">
        <f>E30/规划指标!$G$7*规划指标!$I$7</f>
        <v>0</v>
      </c>
      <c r="F31" s="245">
        <f>F30/规划指标!$G$7*规划指标!$I$7</f>
        <v>0</v>
      </c>
      <c r="G31" s="245">
        <f>G30/规划指标!$G$7*规划指标!$I$7</f>
        <v>0</v>
      </c>
      <c r="H31" s="245">
        <f>H30/规划指标!$G$7*规划指标!$I$7</f>
        <v>0</v>
      </c>
      <c r="I31" s="245">
        <f>I30/规划指标!$G$7*规划指标!$I$7</f>
        <v>0</v>
      </c>
      <c r="J31" s="245">
        <f>J30/规划指标!$G$7*规划指标!$I$7</f>
        <v>0</v>
      </c>
      <c r="K31" s="245">
        <f>K30/规划指标!$G$7*规划指标!$I$7</f>
        <v>0</v>
      </c>
      <c r="L31" s="245">
        <f>L30/规划指标!$G$7*规划指标!$I$7</f>
        <v>0</v>
      </c>
      <c r="M31" s="245">
        <f>M30/规划指标!$G$7*规划指标!$I$7</f>
        <v>0</v>
      </c>
      <c r="N31" s="245">
        <f>N30/规划指标!$G$7*规划指标!$I$7</f>
        <v>0</v>
      </c>
      <c r="O31" s="245">
        <f>O30/规划指标!$G$7*规划指标!$I$7</f>
        <v>0</v>
      </c>
      <c r="P31" s="245">
        <f>P30/规划指标!$G$7*规划指标!$I$7</f>
        <v>0</v>
      </c>
      <c r="Q31" s="245">
        <f>Q30/规划指标!$G$7*规划指标!$I$7</f>
        <v>0</v>
      </c>
      <c r="R31" s="245">
        <f>R30/规划指标!$G$7*规划指标!$I$7</f>
        <v>0</v>
      </c>
      <c r="S31" s="245">
        <f>S30/规划指标!$G$7*规划指标!$I$7</f>
        <v>0</v>
      </c>
      <c r="T31" s="245">
        <f>T30/规划指标!$G$7*规划指标!$I$7</f>
        <v>0</v>
      </c>
      <c r="U31" s="245">
        <f>U30/规划指标!$G$7*规划指标!$I$7</f>
        <v>0</v>
      </c>
      <c r="V31" s="245">
        <f>V30/规划指标!$G$7*规划指标!$I$7</f>
        <v>0</v>
      </c>
      <c r="W31" s="245">
        <f>W30/规划指标!$G$7*规划指标!$I$7</f>
        <v>0</v>
      </c>
      <c r="X31" s="245">
        <f>X30/规划指标!$G$7*规划指标!$I$7</f>
        <v>0</v>
      </c>
      <c r="Y31" s="245">
        <f>Y30/规划指标!$G$7*规划指标!$I$7</f>
        <v>0</v>
      </c>
      <c r="Z31" s="245">
        <f>Z30/规划指标!$G$7*规划指标!$I$7</f>
        <v>0</v>
      </c>
      <c r="AA31" s="245">
        <f>AA30/规划指标!$G$7*规划指标!$I$7</f>
        <v>0</v>
      </c>
      <c r="AB31" s="245">
        <f>AB30/规划指标!$G$7*规划指标!$I$7</f>
        <v>0</v>
      </c>
      <c r="AC31" s="245">
        <f>AC30/规划指标!$G$7*规划指标!$I$7</f>
        <v>0</v>
      </c>
      <c r="AD31" s="245">
        <f>AD30/规划指标!$G$7*规划指标!$I$7</f>
        <v>0</v>
      </c>
      <c r="AE31" s="245">
        <f>AE30/规划指标!$G$7*规划指标!$I$7</f>
        <v>0</v>
      </c>
      <c r="AF31" s="245">
        <f>AF30/规划指标!$G$7*规划指标!$I$7</f>
        <v>0</v>
      </c>
      <c r="AG31" s="245">
        <f>AG30/规划指标!$G$7*规划指标!$I$7</f>
        <v>0</v>
      </c>
      <c r="AH31" s="245">
        <f>AH30/规划指标!$G$7*规划指标!$I$7</f>
        <v>0</v>
      </c>
      <c r="AI31" s="245">
        <f>AI30/规划指标!$G$7*规划指标!$I$7</f>
        <v>0</v>
      </c>
      <c r="AJ31" s="245">
        <f>AJ30/规划指标!$G$7*规划指标!$I$7</f>
        <v>0</v>
      </c>
      <c r="AK31" s="245">
        <f>AK30/规划指标!$G$7*规划指标!$I$7</f>
        <v>0</v>
      </c>
      <c r="AL31" s="245">
        <f>AL30/规划指标!$G$7*规划指标!$I$7</f>
        <v>0</v>
      </c>
      <c r="AM31" s="245">
        <f>AM30/规划指标!$G$7*规划指标!$I$7</f>
        <v>0</v>
      </c>
      <c r="AN31" s="245">
        <f>AN30/规划指标!$G$7*规划指标!$I$7</f>
        <v>0</v>
      </c>
      <c r="AO31" s="245">
        <f>AO30/规划指标!$G$7*规划指标!$I$7</f>
        <v>0</v>
      </c>
      <c r="AP31" s="245">
        <f>AP30/规划指标!$G$7*规划指标!$I$7</f>
        <v>0</v>
      </c>
      <c r="AQ31" s="245">
        <f>AQ30/规划指标!$G$7*规划指标!$I$7</f>
        <v>0</v>
      </c>
    </row>
    <row r="32" spans="1:46" s="213" customFormat="1" ht="18" customHeight="1" outlineLevel="2" x14ac:dyDescent="0.15">
      <c r="A32" s="216"/>
      <c r="B32" s="224" t="str">
        <f>$B$11</f>
        <v>销售均价</v>
      </c>
      <c r="C32" s="225" t="e">
        <f>ROUND(C29/C30*10000,0)</f>
        <v>#DIV/0!</v>
      </c>
      <c r="D32" s="226">
        <f>ROUND(C34*D156,0)</f>
        <v>0</v>
      </c>
      <c r="E32" s="226">
        <f>D32</f>
        <v>0</v>
      </c>
      <c r="F32" s="226">
        <f t="shared" ref="F32:AQ32" si="8">E32</f>
        <v>0</v>
      </c>
      <c r="G32" s="226">
        <f t="shared" si="8"/>
        <v>0</v>
      </c>
      <c r="H32" s="226">
        <f t="shared" si="8"/>
        <v>0</v>
      </c>
      <c r="I32" s="226">
        <f t="shared" si="8"/>
        <v>0</v>
      </c>
      <c r="J32" s="226">
        <f t="shared" si="8"/>
        <v>0</v>
      </c>
      <c r="K32" s="226">
        <f t="shared" si="8"/>
        <v>0</v>
      </c>
      <c r="L32" s="226">
        <f t="shared" si="8"/>
        <v>0</v>
      </c>
      <c r="M32" s="226">
        <f t="shared" si="8"/>
        <v>0</v>
      </c>
      <c r="N32" s="226">
        <f t="shared" si="8"/>
        <v>0</v>
      </c>
      <c r="O32" s="226">
        <f t="shared" si="8"/>
        <v>0</v>
      </c>
      <c r="P32" s="226">
        <f t="shared" si="8"/>
        <v>0</v>
      </c>
      <c r="Q32" s="226">
        <f t="shared" si="8"/>
        <v>0</v>
      </c>
      <c r="R32" s="226">
        <f t="shared" si="8"/>
        <v>0</v>
      </c>
      <c r="S32" s="226">
        <f t="shared" si="8"/>
        <v>0</v>
      </c>
      <c r="T32" s="226">
        <f t="shared" si="8"/>
        <v>0</v>
      </c>
      <c r="U32" s="226">
        <f t="shared" si="8"/>
        <v>0</v>
      </c>
      <c r="V32" s="226">
        <f t="shared" si="8"/>
        <v>0</v>
      </c>
      <c r="W32" s="226">
        <f t="shared" si="8"/>
        <v>0</v>
      </c>
      <c r="X32" s="226">
        <f t="shared" si="8"/>
        <v>0</v>
      </c>
      <c r="Y32" s="226">
        <f t="shared" si="8"/>
        <v>0</v>
      </c>
      <c r="Z32" s="226">
        <f t="shared" si="8"/>
        <v>0</v>
      </c>
      <c r="AA32" s="226">
        <f t="shared" si="8"/>
        <v>0</v>
      </c>
      <c r="AB32" s="226">
        <f t="shared" si="8"/>
        <v>0</v>
      </c>
      <c r="AC32" s="226">
        <f t="shared" si="8"/>
        <v>0</v>
      </c>
      <c r="AD32" s="226">
        <f t="shared" si="8"/>
        <v>0</v>
      </c>
      <c r="AE32" s="226">
        <f t="shared" si="8"/>
        <v>0</v>
      </c>
      <c r="AF32" s="226">
        <f t="shared" si="8"/>
        <v>0</v>
      </c>
      <c r="AG32" s="226">
        <f t="shared" si="8"/>
        <v>0</v>
      </c>
      <c r="AH32" s="226">
        <f t="shared" si="8"/>
        <v>0</v>
      </c>
      <c r="AI32" s="226">
        <f t="shared" si="8"/>
        <v>0</v>
      </c>
      <c r="AJ32" s="226">
        <f t="shared" si="8"/>
        <v>0</v>
      </c>
      <c r="AK32" s="226">
        <f t="shared" si="8"/>
        <v>0</v>
      </c>
      <c r="AL32" s="226">
        <f t="shared" si="8"/>
        <v>0</v>
      </c>
      <c r="AM32" s="226">
        <f t="shared" si="8"/>
        <v>0</v>
      </c>
      <c r="AN32" s="226">
        <f>W32</f>
        <v>0</v>
      </c>
      <c r="AO32" s="226">
        <f t="shared" si="8"/>
        <v>0</v>
      </c>
      <c r="AP32" s="226">
        <f t="shared" si="8"/>
        <v>0</v>
      </c>
      <c r="AQ32" s="226">
        <f t="shared" si="8"/>
        <v>0</v>
      </c>
      <c r="AS32" s="571"/>
      <c r="AT32" s="202"/>
    </row>
    <row r="33" spans="1:46" s="229" customFormat="1" ht="18" customHeight="1" outlineLevel="2" x14ac:dyDescent="0.15">
      <c r="A33" s="227"/>
      <c r="B33" s="224" t="str">
        <f>$B$12</f>
        <v>销售率</v>
      </c>
      <c r="C33" s="228">
        <f>SUM(D33:AQ33)</f>
        <v>0</v>
      </c>
      <c r="D33" s="234"/>
      <c r="E33" s="234"/>
      <c r="F33" s="234"/>
      <c r="G33" s="234"/>
      <c r="H33" s="234"/>
      <c r="I33" s="234"/>
      <c r="J33" s="234"/>
      <c r="K33" s="234"/>
      <c r="L33" s="234"/>
      <c r="M33" s="234"/>
      <c r="N33" s="234"/>
      <c r="O33" s="234"/>
      <c r="P33" s="234"/>
      <c r="Q33" s="234"/>
      <c r="R33" s="234"/>
      <c r="S33" s="234"/>
      <c r="T33" s="234"/>
      <c r="U33" s="234"/>
      <c r="V33" s="234"/>
      <c r="W33" s="234"/>
      <c r="X33" s="234"/>
      <c r="Y33" s="234"/>
      <c r="Z33" s="234"/>
      <c r="AA33" s="234"/>
      <c r="AB33" s="234"/>
      <c r="AC33" s="234"/>
      <c r="AD33" s="234"/>
      <c r="AE33" s="234"/>
      <c r="AF33" s="234"/>
      <c r="AG33" s="234"/>
      <c r="AH33" s="234"/>
      <c r="AI33" s="234"/>
      <c r="AJ33" s="234"/>
      <c r="AK33" s="234"/>
      <c r="AL33" s="234"/>
      <c r="AM33" s="234"/>
      <c r="AN33" s="234"/>
      <c r="AO33" s="234"/>
      <c r="AP33" s="234"/>
      <c r="AQ33" s="234"/>
    </row>
    <row r="34" spans="1:46" s="229" customFormat="1" ht="18" customHeight="1" outlineLevel="2" x14ac:dyDescent="0.15">
      <c r="A34" s="227"/>
      <c r="B34" s="224" t="s">
        <v>577</v>
      </c>
      <c r="C34" s="234"/>
      <c r="D34" s="228"/>
      <c r="E34" s="228"/>
      <c r="F34" s="228"/>
      <c r="G34" s="228"/>
      <c r="H34" s="228"/>
      <c r="I34" s="228"/>
      <c r="J34" s="228"/>
      <c r="K34" s="228"/>
      <c r="L34" s="228"/>
      <c r="M34" s="228"/>
      <c r="N34" s="228"/>
      <c r="O34" s="228"/>
      <c r="P34" s="228"/>
      <c r="Q34" s="228"/>
      <c r="R34" s="228"/>
      <c r="S34" s="228"/>
      <c r="T34" s="228"/>
      <c r="U34" s="228"/>
      <c r="V34" s="228"/>
      <c r="W34" s="228"/>
      <c r="X34" s="228"/>
      <c r="Y34" s="228"/>
      <c r="Z34" s="228"/>
      <c r="AA34" s="228"/>
      <c r="AB34" s="228"/>
      <c r="AC34" s="228"/>
      <c r="AD34" s="228"/>
      <c r="AE34" s="228"/>
      <c r="AF34" s="228"/>
      <c r="AG34" s="228"/>
      <c r="AH34" s="228"/>
      <c r="AI34" s="228"/>
      <c r="AJ34" s="228"/>
      <c r="AK34" s="228"/>
      <c r="AL34" s="228"/>
      <c r="AM34" s="228"/>
      <c r="AN34" s="228"/>
      <c r="AO34" s="228"/>
      <c r="AP34" s="228"/>
      <c r="AQ34" s="228"/>
    </row>
    <row r="35" spans="1:46" s="213" customFormat="1" ht="18" customHeight="1" outlineLevel="2" x14ac:dyDescent="0.15">
      <c r="A35" s="216"/>
      <c r="B35" s="634"/>
      <c r="C35" s="228"/>
      <c r="D35" s="231"/>
      <c r="E35" s="231"/>
      <c r="F35" s="231"/>
      <c r="G35" s="231"/>
      <c r="H35" s="231"/>
      <c r="I35" s="231"/>
      <c r="J35" s="231"/>
      <c r="K35" s="231"/>
      <c r="L35" s="231"/>
      <c r="M35" s="231"/>
      <c r="N35" s="231"/>
      <c r="O35" s="231"/>
      <c r="P35" s="231"/>
      <c r="Q35" s="231"/>
      <c r="R35" s="231"/>
      <c r="S35" s="231"/>
      <c r="T35" s="231"/>
      <c r="U35" s="231"/>
      <c r="V35" s="231"/>
      <c r="W35" s="231"/>
      <c r="X35" s="231"/>
      <c r="Y35" s="231"/>
      <c r="Z35" s="231"/>
      <c r="AA35" s="231"/>
      <c r="AB35" s="231"/>
      <c r="AC35" s="231"/>
      <c r="AD35" s="231"/>
      <c r="AE35" s="231"/>
      <c r="AF35" s="231"/>
      <c r="AG35" s="231"/>
      <c r="AH35" s="231"/>
      <c r="AI35" s="231"/>
      <c r="AJ35" s="231"/>
      <c r="AK35" s="231"/>
      <c r="AL35" s="231"/>
      <c r="AM35" s="231"/>
      <c r="AN35" s="231"/>
      <c r="AO35" s="231"/>
      <c r="AP35" s="231"/>
      <c r="AQ35" s="231"/>
    </row>
    <row r="36" spans="1:46" s="213" customFormat="1" ht="18" customHeight="1" outlineLevel="1" x14ac:dyDescent="0.15">
      <c r="A36" s="216" t="s">
        <v>299</v>
      </c>
      <c r="B36" s="633">
        <f>规划指标!F8</f>
        <v>0</v>
      </c>
      <c r="C36" s="217">
        <f>SUM(D36:AQ36)</f>
        <v>0</v>
      </c>
      <c r="D36" s="201">
        <f>ROUND(D39*D37/10000,0)</f>
        <v>0</v>
      </c>
      <c r="E36" s="201">
        <f t="shared" ref="E36:AQ36" si="9">ROUND(E39*E37/10000,0)</f>
        <v>0</v>
      </c>
      <c r="F36" s="201">
        <f t="shared" si="9"/>
        <v>0</v>
      </c>
      <c r="G36" s="201">
        <f t="shared" si="9"/>
        <v>0</v>
      </c>
      <c r="H36" s="201">
        <f t="shared" si="9"/>
        <v>0</v>
      </c>
      <c r="I36" s="201">
        <f t="shared" si="9"/>
        <v>0</v>
      </c>
      <c r="J36" s="201">
        <f t="shared" si="9"/>
        <v>0</v>
      </c>
      <c r="K36" s="201">
        <f t="shared" si="9"/>
        <v>0</v>
      </c>
      <c r="L36" s="201">
        <f t="shared" si="9"/>
        <v>0</v>
      </c>
      <c r="M36" s="201">
        <f t="shared" si="9"/>
        <v>0</v>
      </c>
      <c r="N36" s="201">
        <f t="shared" si="9"/>
        <v>0</v>
      </c>
      <c r="O36" s="201">
        <f t="shared" si="9"/>
        <v>0</v>
      </c>
      <c r="P36" s="201">
        <f t="shared" si="9"/>
        <v>0</v>
      </c>
      <c r="Q36" s="201">
        <f t="shared" si="9"/>
        <v>0</v>
      </c>
      <c r="R36" s="201">
        <f t="shared" si="9"/>
        <v>0</v>
      </c>
      <c r="S36" s="201">
        <f t="shared" si="9"/>
        <v>0</v>
      </c>
      <c r="T36" s="201">
        <f t="shared" si="9"/>
        <v>0</v>
      </c>
      <c r="U36" s="201">
        <f t="shared" si="9"/>
        <v>0</v>
      </c>
      <c r="V36" s="201">
        <f t="shared" si="9"/>
        <v>0</v>
      </c>
      <c r="W36" s="201">
        <f t="shared" si="9"/>
        <v>0</v>
      </c>
      <c r="X36" s="201">
        <f t="shared" si="9"/>
        <v>0</v>
      </c>
      <c r="Y36" s="201">
        <f t="shared" si="9"/>
        <v>0</v>
      </c>
      <c r="Z36" s="201">
        <f t="shared" si="9"/>
        <v>0</v>
      </c>
      <c r="AA36" s="201">
        <f t="shared" si="9"/>
        <v>0</v>
      </c>
      <c r="AB36" s="201">
        <f t="shared" si="9"/>
        <v>0</v>
      </c>
      <c r="AC36" s="201">
        <f t="shared" si="9"/>
        <v>0</v>
      </c>
      <c r="AD36" s="201">
        <f t="shared" si="9"/>
        <v>0</v>
      </c>
      <c r="AE36" s="201">
        <f t="shared" si="9"/>
        <v>0</v>
      </c>
      <c r="AF36" s="201">
        <f t="shared" si="9"/>
        <v>0</v>
      </c>
      <c r="AG36" s="201">
        <f t="shared" si="9"/>
        <v>0</v>
      </c>
      <c r="AH36" s="201">
        <f t="shared" si="9"/>
        <v>0</v>
      </c>
      <c r="AI36" s="201">
        <f t="shared" si="9"/>
        <v>0</v>
      </c>
      <c r="AJ36" s="201">
        <f t="shared" si="9"/>
        <v>0</v>
      </c>
      <c r="AK36" s="201">
        <f t="shared" si="9"/>
        <v>0</v>
      </c>
      <c r="AL36" s="201">
        <f t="shared" si="9"/>
        <v>0</v>
      </c>
      <c r="AM36" s="201">
        <f t="shared" si="9"/>
        <v>0</v>
      </c>
      <c r="AN36" s="201">
        <f t="shared" si="9"/>
        <v>0</v>
      </c>
      <c r="AO36" s="201">
        <f t="shared" si="9"/>
        <v>0</v>
      </c>
      <c r="AP36" s="201">
        <f t="shared" si="9"/>
        <v>0</v>
      </c>
      <c r="AQ36" s="201">
        <f t="shared" si="9"/>
        <v>0</v>
      </c>
    </row>
    <row r="37" spans="1:46" s="213" customFormat="1" ht="18" customHeight="1" outlineLevel="2" x14ac:dyDescent="0.15">
      <c r="A37" s="216"/>
      <c r="B37" s="224" t="str">
        <f>$B$9</f>
        <v>销售数量</v>
      </c>
      <c r="C37" s="217">
        <f>SUM(D37:AQ37)</f>
        <v>0</v>
      </c>
      <c r="D37" s="201">
        <f>D40*规划指标!$G$8</f>
        <v>0</v>
      </c>
      <c r="E37" s="201">
        <f>E40*规划指标!$G$8</f>
        <v>0</v>
      </c>
      <c r="F37" s="201">
        <f>F40*规划指标!$G$8</f>
        <v>0</v>
      </c>
      <c r="G37" s="201">
        <f>G40*规划指标!$G$8</f>
        <v>0</v>
      </c>
      <c r="H37" s="201">
        <f>H40*规划指标!$G$8</f>
        <v>0</v>
      </c>
      <c r="I37" s="201">
        <f>I40*规划指标!$G$8</f>
        <v>0</v>
      </c>
      <c r="J37" s="201">
        <f>J40*规划指标!$G$8</f>
        <v>0</v>
      </c>
      <c r="K37" s="201">
        <f>K40*规划指标!$G$8</f>
        <v>0</v>
      </c>
      <c r="L37" s="201">
        <f>L40*规划指标!$G$8</f>
        <v>0</v>
      </c>
      <c r="M37" s="201">
        <f>M40*规划指标!$G$8</f>
        <v>0</v>
      </c>
      <c r="N37" s="201">
        <f>N40*规划指标!$G$8</f>
        <v>0</v>
      </c>
      <c r="O37" s="201">
        <f>O40*规划指标!$G$8</f>
        <v>0</v>
      </c>
      <c r="P37" s="201">
        <f>P40*规划指标!$G$8</f>
        <v>0</v>
      </c>
      <c r="Q37" s="201">
        <f>Q40*规划指标!$G$8</f>
        <v>0</v>
      </c>
      <c r="R37" s="201">
        <f>R40*规划指标!$G$8</f>
        <v>0</v>
      </c>
      <c r="S37" s="201">
        <f>S40*规划指标!$G$8</f>
        <v>0</v>
      </c>
      <c r="T37" s="201">
        <f>T40*规划指标!$G$8</f>
        <v>0</v>
      </c>
      <c r="U37" s="201">
        <f>U40*规划指标!$G$8</f>
        <v>0</v>
      </c>
      <c r="V37" s="201">
        <f>V40*规划指标!$G$8</f>
        <v>0</v>
      </c>
      <c r="W37" s="201">
        <f>W40*规划指标!$G$8</f>
        <v>0</v>
      </c>
      <c r="X37" s="201">
        <f>X40*规划指标!$G$8</f>
        <v>0</v>
      </c>
      <c r="Y37" s="201">
        <f>Y40*规划指标!$G$8</f>
        <v>0</v>
      </c>
      <c r="Z37" s="201">
        <f>Z40*规划指标!$G$8</f>
        <v>0</v>
      </c>
      <c r="AA37" s="201">
        <f>AA40*规划指标!$G$8</f>
        <v>0</v>
      </c>
      <c r="AB37" s="201">
        <f>AB40*规划指标!$G$8</f>
        <v>0</v>
      </c>
      <c r="AC37" s="201">
        <f>AC40*规划指标!$G$8</f>
        <v>0</v>
      </c>
      <c r="AD37" s="201">
        <f>AD40*规划指标!$G$8</f>
        <v>0</v>
      </c>
      <c r="AE37" s="201">
        <f>AE40*规划指标!$G$8</f>
        <v>0</v>
      </c>
      <c r="AF37" s="201">
        <f>AF40*规划指标!$G$8</f>
        <v>0</v>
      </c>
      <c r="AG37" s="201">
        <f>AG40*规划指标!$G$8</f>
        <v>0</v>
      </c>
      <c r="AH37" s="201">
        <f>AH40*规划指标!$G$8</f>
        <v>0</v>
      </c>
      <c r="AI37" s="201">
        <f>AI40*规划指标!$G$8</f>
        <v>0</v>
      </c>
      <c r="AJ37" s="201">
        <f>AJ40*规划指标!$G$8</f>
        <v>0</v>
      </c>
      <c r="AK37" s="201">
        <f>AK40*规划指标!$G$8</f>
        <v>0</v>
      </c>
      <c r="AL37" s="201">
        <f>AL40*规划指标!$G$8</f>
        <v>0</v>
      </c>
      <c r="AM37" s="201">
        <f>AM40*规划指标!$G$8</f>
        <v>0</v>
      </c>
      <c r="AN37" s="201">
        <f>AN40*规划指标!$G$8</f>
        <v>0</v>
      </c>
      <c r="AO37" s="201">
        <f>AO40*规划指标!$G$8</f>
        <v>0</v>
      </c>
      <c r="AP37" s="201">
        <f>AP40*规划指标!$G$8</f>
        <v>0</v>
      </c>
      <c r="AQ37" s="201">
        <f>AQ40*规划指标!$G$8</f>
        <v>0</v>
      </c>
    </row>
    <row r="38" spans="1:46" s="213" customFormat="1" ht="18" customHeight="1" outlineLevel="2" x14ac:dyDescent="0.15">
      <c r="A38" s="216"/>
      <c r="B38" s="224" t="str">
        <f>B31</f>
        <v>销售套数</v>
      </c>
      <c r="C38" s="217" t="e">
        <f>SUM(D38:AQ38)</f>
        <v>#DIV/0!</v>
      </c>
      <c r="D38" s="245" t="e">
        <f>D37/规划指标!$G$8*规划指标!$I$8</f>
        <v>#DIV/0!</v>
      </c>
      <c r="E38" s="245" t="e">
        <f>E37/规划指标!$G$8*规划指标!$I$8</f>
        <v>#DIV/0!</v>
      </c>
      <c r="F38" s="245" t="e">
        <f>F37/规划指标!$G$8*规划指标!$I$8</f>
        <v>#DIV/0!</v>
      </c>
      <c r="G38" s="245" t="e">
        <f>G37/规划指标!$G$8*规划指标!$I$8</f>
        <v>#DIV/0!</v>
      </c>
      <c r="H38" s="245" t="e">
        <f>H37/规划指标!$G$8*规划指标!$I$8</f>
        <v>#DIV/0!</v>
      </c>
      <c r="I38" s="245" t="e">
        <f>I37/规划指标!$G$8*规划指标!$I$8</f>
        <v>#DIV/0!</v>
      </c>
      <c r="J38" s="245" t="e">
        <f>J37/规划指标!$G$8*规划指标!$I$8</f>
        <v>#DIV/0!</v>
      </c>
      <c r="K38" s="245" t="e">
        <f>K37/规划指标!$G$8*规划指标!$I$8</f>
        <v>#DIV/0!</v>
      </c>
      <c r="L38" s="245" t="e">
        <f>L37/规划指标!$G$8*规划指标!$I$8</f>
        <v>#DIV/0!</v>
      </c>
      <c r="M38" s="245" t="e">
        <f>M37/规划指标!$G$8*规划指标!$I$8</f>
        <v>#DIV/0!</v>
      </c>
      <c r="N38" s="245" t="e">
        <f>N37/规划指标!$G$8*规划指标!$I$8</f>
        <v>#DIV/0!</v>
      </c>
      <c r="O38" s="245" t="e">
        <f>O37/规划指标!$G$8*规划指标!$I$8</f>
        <v>#DIV/0!</v>
      </c>
      <c r="P38" s="245" t="e">
        <f>P37/规划指标!$G$8*规划指标!$I$8</f>
        <v>#DIV/0!</v>
      </c>
      <c r="Q38" s="245" t="e">
        <f>Q37/规划指标!$G$8*规划指标!$I$8</f>
        <v>#DIV/0!</v>
      </c>
      <c r="R38" s="245" t="e">
        <f>R37/规划指标!$G$8*规划指标!$I$8</f>
        <v>#DIV/0!</v>
      </c>
      <c r="S38" s="245" t="e">
        <f>S37/规划指标!$G$8*规划指标!$I$8</f>
        <v>#DIV/0!</v>
      </c>
      <c r="T38" s="245" t="e">
        <f>T37/规划指标!$G$8*规划指标!$I$8</f>
        <v>#DIV/0!</v>
      </c>
      <c r="U38" s="245" t="e">
        <f>U37/规划指标!$G$8*规划指标!$I$8</f>
        <v>#DIV/0!</v>
      </c>
      <c r="V38" s="245" t="e">
        <f>V37/规划指标!$G$8*规划指标!$I$8</f>
        <v>#DIV/0!</v>
      </c>
      <c r="W38" s="245" t="e">
        <f>W37/规划指标!$G$8*规划指标!$I$8</f>
        <v>#DIV/0!</v>
      </c>
      <c r="X38" s="245" t="e">
        <f>X37/规划指标!$G$8*规划指标!$I$8</f>
        <v>#DIV/0!</v>
      </c>
      <c r="Y38" s="245" t="e">
        <f>Y37/规划指标!$G$8*规划指标!$I$8</f>
        <v>#DIV/0!</v>
      </c>
      <c r="Z38" s="245" t="e">
        <f>Z37/规划指标!$G$8*规划指标!$I$8</f>
        <v>#DIV/0!</v>
      </c>
      <c r="AA38" s="245" t="e">
        <f>AA37/规划指标!$G$8*规划指标!$I$8</f>
        <v>#DIV/0!</v>
      </c>
      <c r="AB38" s="245" t="e">
        <f>AB37/规划指标!$G$8*规划指标!$I$8</f>
        <v>#DIV/0!</v>
      </c>
      <c r="AC38" s="245" t="e">
        <f>AC37/规划指标!$G$8*规划指标!$I$8</f>
        <v>#DIV/0!</v>
      </c>
      <c r="AD38" s="245" t="e">
        <f>AD37/规划指标!$G$8*规划指标!$I$8</f>
        <v>#DIV/0!</v>
      </c>
      <c r="AE38" s="245" t="e">
        <f>AE37/规划指标!$G$8*规划指标!$I$8</f>
        <v>#DIV/0!</v>
      </c>
      <c r="AF38" s="245" t="e">
        <f>AF37/规划指标!$G$8*规划指标!$I$8</f>
        <v>#DIV/0!</v>
      </c>
      <c r="AG38" s="245" t="e">
        <f>AG37/规划指标!$G$8*规划指标!$I$8</f>
        <v>#DIV/0!</v>
      </c>
      <c r="AH38" s="245" t="e">
        <f>AH37/规划指标!$G$8*规划指标!$I$8</f>
        <v>#DIV/0!</v>
      </c>
      <c r="AI38" s="245" t="e">
        <f>AI37/规划指标!$G$8*规划指标!$I$8</f>
        <v>#DIV/0!</v>
      </c>
      <c r="AJ38" s="245" t="e">
        <f>AJ37/规划指标!$G$8*规划指标!$I$8</f>
        <v>#DIV/0!</v>
      </c>
      <c r="AK38" s="245" t="e">
        <f>AK37/规划指标!$G$8*规划指标!$I$8</f>
        <v>#DIV/0!</v>
      </c>
      <c r="AL38" s="245" t="e">
        <f>AL37/规划指标!$G$8*规划指标!$I$8</f>
        <v>#DIV/0!</v>
      </c>
      <c r="AM38" s="245" t="e">
        <f>AM37/规划指标!$G$8*规划指标!$I$8</f>
        <v>#DIV/0!</v>
      </c>
      <c r="AN38" s="245" t="e">
        <f>AN37/规划指标!$G$8*规划指标!$I$8</f>
        <v>#DIV/0!</v>
      </c>
      <c r="AO38" s="245" t="e">
        <f>AO37/规划指标!$G$8*规划指标!$I$8</f>
        <v>#DIV/0!</v>
      </c>
      <c r="AP38" s="245" t="e">
        <f>AP37/规划指标!$G$8*规划指标!$I$8</f>
        <v>#DIV/0!</v>
      </c>
      <c r="AQ38" s="245" t="e">
        <f>AQ37/规划指标!$G$8*规划指标!$I$8</f>
        <v>#DIV/0!</v>
      </c>
    </row>
    <row r="39" spans="1:46" s="213" customFormat="1" ht="18" customHeight="1" outlineLevel="2" x14ac:dyDescent="0.15">
      <c r="A39" s="216"/>
      <c r="B39" s="224" t="str">
        <f>$B$11</f>
        <v>销售均价</v>
      </c>
      <c r="C39" s="225" t="e">
        <f>ROUND(C36/C37*10000,0)</f>
        <v>#DIV/0!</v>
      </c>
      <c r="D39" s="226">
        <f>ROUND(C41*D157,0)</f>
        <v>0</v>
      </c>
      <c r="E39" s="226">
        <f>D39</f>
        <v>0</v>
      </c>
      <c r="F39" s="226">
        <f t="shared" ref="F39:AQ39" si="10">E39</f>
        <v>0</v>
      </c>
      <c r="G39" s="226">
        <f t="shared" si="10"/>
        <v>0</v>
      </c>
      <c r="H39" s="226">
        <f t="shared" si="10"/>
        <v>0</v>
      </c>
      <c r="I39" s="226">
        <f t="shared" si="10"/>
        <v>0</v>
      </c>
      <c r="J39" s="226">
        <f t="shared" si="10"/>
        <v>0</v>
      </c>
      <c r="K39" s="226">
        <f t="shared" si="10"/>
        <v>0</v>
      </c>
      <c r="L39" s="226">
        <f t="shared" si="10"/>
        <v>0</v>
      </c>
      <c r="M39" s="226">
        <f t="shared" si="10"/>
        <v>0</v>
      </c>
      <c r="N39" s="226">
        <f t="shared" si="10"/>
        <v>0</v>
      </c>
      <c r="O39" s="226">
        <f t="shared" si="10"/>
        <v>0</v>
      </c>
      <c r="P39" s="226">
        <f t="shared" si="10"/>
        <v>0</v>
      </c>
      <c r="Q39" s="226">
        <f t="shared" si="10"/>
        <v>0</v>
      </c>
      <c r="R39" s="226">
        <f t="shared" si="10"/>
        <v>0</v>
      </c>
      <c r="S39" s="226">
        <f t="shared" si="10"/>
        <v>0</v>
      </c>
      <c r="T39" s="226">
        <f t="shared" si="10"/>
        <v>0</v>
      </c>
      <c r="U39" s="226">
        <f t="shared" si="10"/>
        <v>0</v>
      </c>
      <c r="V39" s="226">
        <f t="shared" si="10"/>
        <v>0</v>
      </c>
      <c r="W39" s="226">
        <f t="shared" si="10"/>
        <v>0</v>
      </c>
      <c r="X39" s="226">
        <f t="shared" si="10"/>
        <v>0</v>
      </c>
      <c r="Y39" s="226">
        <f t="shared" si="10"/>
        <v>0</v>
      </c>
      <c r="Z39" s="226">
        <f t="shared" si="10"/>
        <v>0</v>
      </c>
      <c r="AA39" s="226">
        <f t="shared" si="10"/>
        <v>0</v>
      </c>
      <c r="AB39" s="226">
        <f t="shared" si="10"/>
        <v>0</v>
      </c>
      <c r="AC39" s="226">
        <f t="shared" si="10"/>
        <v>0</v>
      </c>
      <c r="AD39" s="226">
        <f t="shared" si="10"/>
        <v>0</v>
      </c>
      <c r="AE39" s="226">
        <f t="shared" si="10"/>
        <v>0</v>
      </c>
      <c r="AF39" s="226">
        <f t="shared" si="10"/>
        <v>0</v>
      </c>
      <c r="AG39" s="226">
        <f t="shared" si="10"/>
        <v>0</v>
      </c>
      <c r="AH39" s="226">
        <f t="shared" si="10"/>
        <v>0</v>
      </c>
      <c r="AI39" s="226">
        <f t="shared" si="10"/>
        <v>0</v>
      </c>
      <c r="AJ39" s="226">
        <f t="shared" si="10"/>
        <v>0</v>
      </c>
      <c r="AK39" s="226">
        <f t="shared" si="10"/>
        <v>0</v>
      </c>
      <c r="AL39" s="226">
        <f t="shared" si="10"/>
        <v>0</v>
      </c>
      <c r="AM39" s="226">
        <f t="shared" si="10"/>
        <v>0</v>
      </c>
      <c r="AN39" s="226">
        <f>W39</f>
        <v>0</v>
      </c>
      <c r="AO39" s="226">
        <f t="shared" si="10"/>
        <v>0</v>
      </c>
      <c r="AP39" s="226">
        <f t="shared" si="10"/>
        <v>0</v>
      </c>
      <c r="AQ39" s="226">
        <f t="shared" si="10"/>
        <v>0</v>
      </c>
      <c r="AS39" s="571"/>
      <c r="AT39" s="202"/>
    </row>
    <row r="40" spans="1:46" s="229" customFormat="1" ht="18" customHeight="1" outlineLevel="2" x14ac:dyDescent="0.15">
      <c r="A40" s="227"/>
      <c r="B40" s="224" t="str">
        <f>$B$12</f>
        <v>销售率</v>
      </c>
      <c r="C40" s="228">
        <f>SUM(D40:AQ40)</f>
        <v>0</v>
      </c>
      <c r="D40" s="234"/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  <c r="P40" s="234"/>
      <c r="Q40" s="234"/>
      <c r="R40" s="234"/>
      <c r="S40" s="234"/>
      <c r="T40" s="234"/>
      <c r="U40" s="234"/>
      <c r="V40" s="234"/>
      <c r="W40" s="234"/>
      <c r="X40" s="234"/>
      <c r="Y40" s="234"/>
      <c r="Z40" s="234"/>
      <c r="AA40" s="234"/>
      <c r="AB40" s="234"/>
      <c r="AC40" s="234"/>
      <c r="AD40" s="234"/>
      <c r="AE40" s="234"/>
      <c r="AF40" s="234"/>
      <c r="AG40" s="234"/>
      <c r="AH40" s="234"/>
      <c r="AI40" s="234"/>
      <c r="AJ40" s="234"/>
      <c r="AK40" s="234"/>
      <c r="AL40" s="234"/>
      <c r="AM40" s="234"/>
      <c r="AN40" s="234"/>
      <c r="AO40" s="234"/>
      <c r="AP40" s="234"/>
      <c r="AQ40" s="234"/>
    </row>
    <row r="41" spans="1:46" s="229" customFormat="1" ht="18" customHeight="1" outlineLevel="2" x14ac:dyDescent="0.15">
      <c r="A41" s="227"/>
      <c r="B41" s="224" t="s">
        <v>577</v>
      </c>
      <c r="C41" s="234"/>
      <c r="D41" s="228"/>
      <c r="E41" s="228"/>
      <c r="F41" s="228"/>
      <c r="G41" s="228"/>
      <c r="H41" s="228"/>
      <c r="I41" s="228"/>
      <c r="J41" s="228"/>
      <c r="K41" s="228"/>
      <c r="L41" s="228"/>
      <c r="M41" s="228"/>
      <c r="N41" s="228"/>
      <c r="O41" s="228"/>
      <c r="P41" s="228"/>
      <c r="Q41" s="228"/>
      <c r="R41" s="228"/>
      <c r="S41" s="228"/>
      <c r="T41" s="228"/>
      <c r="U41" s="228"/>
      <c r="V41" s="228"/>
      <c r="W41" s="228"/>
      <c r="X41" s="228"/>
      <c r="Y41" s="228"/>
      <c r="Z41" s="228"/>
      <c r="AA41" s="228"/>
      <c r="AB41" s="228"/>
      <c r="AC41" s="228"/>
      <c r="AD41" s="228"/>
      <c r="AE41" s="228"/>
      <c r="AF41" s="228"/>
      <c r="AG41" s="228"/>
      <c r="AH41" s="228"/>
      <c r="AI41" s="228"/>
      <c r="AJ41" s="228"/>
      <c r="AK41" s="228"/>
      <c r="AL41" s="228"/>
      <c r="AM41" s="228"/>
      <c r="AN41" s="228"/>
      <c r="AO41" s="228"/>
      <c r="AP41" s="228"/>
      <c r="AQ41" s="228"/>
    </row>
    <row r="42" spans="1:46" s="213" customFormat="1" ht="18" customHeight="1" outlineLevel="2" x14ac:dyDescent="0.15">
      <c r="A42" s="216"/>
      <c r="B42" s="634"/>
      <c r="C42" s="228"/>
      <c r="D42" s="231"/>
      <c r="E42" s="231"/>
      <c r="F42" s="231"/>
      <c r="G42" s="231"/>
      <c r="H42" s="231"/>
      <c r="I42" s="231"/>
      <c r="J42" s="231"/>
      <c r="K42" s="231"/>
      <c r="L42" s="231"/>
      <c r="M42" s="231"/>
      <c r="N42" s="231"/>
      <c r="O42" s="231"/>
      <c r="P42" s="231"/>
      <c r="Q42" s="231"/>
      <c r="R42" s="231"/>
      <c r="S42" s="231"/>
      <c r="T42" s="231"/>
      <c r="U42" s="231"/>
      <c r="V42" s="231"/>
      <c r="W42" s="231"/>
      <c r="X42" s="231"/>
      <c r="Y42" s="231"/>
      <c r="Z42" s="231"/>
      <c r="AA42" s="231"/>
      <c r="AB42" s="231"/>
      <c r="AC42" s="231"/>
      <c r="AD42" s="231"/>
      <c r="AE42" s="231"/>
      <c r="AF42" s="231"/>
      <c r="AG42" s="231"/>
      <c r="AH42" s="231"/>
      <c r="AI42" s="231"/>
      <c r="AJ42" s="231"/>
      <c r="AK42" s="231"/>
      <c r="AL42" s="231"/>
      <c r="AM42" s="231"/>
      <c r="AN42" s="231"/>
      <c r="AO42" s="231"/>
      <c r="AP42" s="231"/>
      <c r="AQ42" s="231"/>
    </row>
    <row r="43" spans="1:46" s="213" customFormat="1" ht="18" customHeight="1" outlineLevel="1" x14ac:dyDescent="0.15">
      <c r="A43" s="216" t="s">
        <v>300</v>
      </c>
      <c r="B43" s="633">
        <f>规划指标!F9</f>
        <v>0</v>
      </c>
      <c r="C43" s="217">
        <f>SUM(D43:AQ43)</f>
        <v>0</v>
      </c>
      <c r="D43" s="201">
        <f>ROUND(D46*D44/10000,0)</f>
        <v>0</v>
      </c>
      <c r="E43" s="201">
        <f t="shared" ref="E43:AQ43" si="11">ROUND(E46*E44/10000,0)</f>
        <v>0</v>
      </c>
      <c r="F43" s="201">
        <f t="shared" si="11"/>
        <v>0</v>
      </c>
      <c r="G43" s="201">
        <f t="shared" si="11"/>
        <v>0</v>
      </c>
      <c r="H43" s="201">
        <f t="shared" si="11"/>
        <v>0</v>
      </c>
      <c r="I43" s="201">
        <f t="shared" si="11"/>
        <v>0</v>
      </c>
      <c r="J43" s="201">
        <f t="shared" si="11"/>
        <v>0</v>
      </c>
      <c r="K43" s="201">
        <f t="shared" si="11"/>
        <v>0</v>
      </c>
      <c r="L43" s="201">
        <f t="shared" si="11"/>
        <v>0</v>
      </c>
      <c r="M43" s="201">
        <f t="shared" si="11"/>
        <v>0</v>
      </c>
      <c r="N43" s="201">
        <f t="shared" si="11"/>
        <v>0</v>
      </c>
      <c r="O43" s="201">
        <f t="shared" si="11"/>
        <v>0</v>
      </c>
      <c r="P43" s="201">
        <f t="shared" si="11"/>
        <v>0</v>
      </c>
      <c r="Q43" s="201">
        <f t="shared" si="11"/>
        <v>0</v>
      </c>
      <c r="R43" s="201">
        <f t="shared" si="11"/>
        <v>0</v>
      </c>
      <c r="S43" s="201">
        <f t="shared" si="11"/>
        <v>0</v>
      </c>
      <c r="T43" s="201">
        <f t="shared" si="11"/>
        <v>0</v>
      </c>
      <c r="U43" s="201">
        <f t="shared" si="11"/>
        <v>0</v>
      </c>
      <c r="V43" s="201">
        <f t="shared" si="11"/>
        <v>0</v>
      </c>
      <c r="W43" s="201">
        <f t="shared" si="11"/>
        <v>0</v>
      </c>
      <c r="X43" s="201">
        <f t="shared" si="11"/>
        <v>0</v>
      </c>
      <c r="Y43" s="201">
        <f t="shared" si="11"/>
        <v>0</v>
      </c>
      <c r="Z43" s="201">
        <f t="shared" si="11"/>
        <v>0</v>
      </c>
      <c r="AA43" s="201">
        <f t="shared" si="11"/>
        <v>0</v>
      </c>
      <c r="AB43" s="201">
        <f t="shared" si="11"/>
        <v>0</v>
      </c>
      <c r="AC43" s="201">
        <f t="shared" si="11"/>
        <v>0</v>
      </c>
      <c r="AD43" s="201">
        <f t="shared" si="11"/>
        <v>0</v>
      </c>
      <c r="AE43" s="201">
        <f t="shared" si="11"/>
        <v>0</v>
      </c>
      <c r="AF43" s="201">
        <f t="shared" si="11"/>
        <v>0</v>
      </c>
      <c r="AG43" s="201">
        <f t="shared" si="11"/>
        <v>0</v>
      </c>
      <c r="AH43" s="201">
        <f t="shared" si="11"/>
        <v>0</v>
      </c>
      <c r="AI43" s="201">
        <f t="shared" si="11"/>
        <v>0</v>
      </c>
      <c r="AJ43" s="201">
        <f t="shared" si="11"/>
        <v>0</v>
      </c>
      <c r="AK43" s="201">
        <f t="shared" si="11"/>
        <v>0</v>
      </c>
      <c r="AL43" s="201">
        <f t="shared" si="11"/>
        <v>0</v>
      </c>
      <c r="AM43" s="201">
        <f t="shared" si="11"/>
        <v>0</v>
      </c>
      <c r="AN43" s="201">
        <f t="shared" si="11"/>
        <v>0</v>
      </c>
      <c r="AO43" s="201">
        <f t="shared" si="11"/>
        <v>0</v>
      </c>
      <c r="AP43" s="201">
        <f t="shared" si="11"/>
        <v>0</v>
      </c>
      <c r="AQ43" s="201">
        <f t="shared" si="11"/>
        <v>0</v>
      </c>
    </row>
    <row r="44" spans="1:46" s="213" customFormat="1" ht="18" customHeight="1" outlineLevel="2" x14ac:dyDescent="0.15">
      <c r="A44" s="216"/>
      <c r="B44" s="224" t="str">
        <f>$B$9</f>
        <v>销售数量</v>
      </c>
      <c r="C44" s="217">
        <f>SUM(D44:AQ44)</f>
        <v>0</v>
      </c>
      <c r="D44" s="201">
        <f>D47*规划指标!$G$9</f>
        <v>0</v>
      </c>
      <c r="E44" s="201">
        <f>E47*规划指标!$G$9</f>
        <v>0</v>
      </c>
      <c r="F44" s="201">
        <f>F47*规划指标!$G$9</f>
        <v>0</v>
      </c>
      <c r="G44" s="201">
        <f>G47*规划指标!$G$9</f>
        <v>0</v>
      </c>
      <c r="H44" s="201">
        <f>H47*规划指标!$G$9</f>
        <v>0</v>
      </c>
      <c r="I44" s="201">
        <f>I47*规划指标!$G$9</f>
        <v>0</v>
      </c>
      <c r="J44" s="201">
        <f>J47*规划指标!$G$9</f>
        <v>0</v>
      </c>
      <c r="K44" s="201">
        <f>K47*规划指标!$G$9</f>
        <v>0</v>
      </c>
      <c r="L44" s="201">
        <f>L47*规划指标!$G$9</f>
        <v>0</v>
      </c>
      <c r="M44" s="201">
        <f>M47*规划指标!$G$9</f>
        <v>0</v>
      </c>
      <c r="N44" s="201">
        <f>N47*规划指标!$G$9</f>
        <v>0</v>
      </c>
      <c r="O44" s="201">
        <f>O47*规划指标!$G$9</f>
        <v>0</v>
      </c>
      <c r="P44" s="201">
        <f>P47*规划指标!$G$9</f>
        <v>0</v>
      </c>
      <c r="Q44" s="201">
        <f>Q47*规划指标!$G$9</f>
        <v>0</v>
      </c>
      <c r="R44" s="201">
        <f>R47*规划指标!$G$9</f>
        <v>0</v>
      </c>
      <c r="S44" s="201">
        <f>S47*规划指标!$G$9</f>
        <v>0</v>
      </c>
      <c r="T44" s="201">
        <f>T47*规划指标!$G$9</f>
        <v>0</v>
      </c>
      <c r="U44" s="201">
        <f>U47*规划指标!$G$9</f>
        <v>0</v>
      </c>
      <c r="V44" s="201">
        <f>V47*规划指标!$G$9</f>
        <v>0</v>
      </c>
      <c r="W44" s="201">
        <f>W47*规划指标!$G$9</f>
        <v>0</v>
      </c>
      <c r="X44" s="201">
        <f>X47*规划指标!$G$9</f>
        <v>0</v>
      </c>
      <c r="Y44" s="201">
        <f>Y47*规划指标!$G$9</f>
        <v>0</v>
      </c>
      <c r="Z44" s="201">
        <f>Z47*规划指标!$G$9</f>
        <v>0</v>
      </c>
      <c r="AA44" s="201">
        <f>AA47*规划指标!$G$9</f>
        <v>0</v>
      </c>
      <c r="AB44" s="201">
        <f>AB47*规划指标!$G$9</f>
        <v>0</v>
      </c>
      <c r="AC44" s="201">
        <f>AC47*规划指标!$G$9</f>
        <v>0</v>
      </c>
      <c r="AD44" s="201">
        <f>AD47*规划指标!$G$9</f>
        <v>0</v>
      </c>
      <c r="AE44" s="201">
        <f>AE47*规划指标!$G$9</f>
        <v>0</v>
      </c>
      <c r="AF44" s="201">
        <f>AF47*规划指标!$G$9</f>
        <v>0</v>
      </c>
      <c r="AG44" s="201">
        <f>AG47*规划指标!$G$9</f>
        <v>0</v>
      </c>
      <c r="AH44" s="201">
        <f>AH47*规划指标!$G$9</f>
        <v>0</v>
      </c>
      <c r="AI44" s="201">
        <f>AI47*规划指标!$G$9</f>
        <v>0</v>
      </c>
      <c r="AJ44" s="201">
        <f>AJ47*规划指标!$G$9</f>
        <v>0</v>
      </c>
      <c r="AK44" s="201">
        <f>AK47*规划指标!$G$9</f>
        <v>0</v>
      </c>
      <c r="AL44" s="201">
        <f>AL47*规划指标!$G$9</f>
        <v>0</v>
      </c>
      <c r="AM44" s="201">
        <f>AM47*规划指标!$G$9</f>
        <v>0</v>
      </c>
      <c r="AN44" s="201">
        <f>AN47*规划指标!$G$9</f>
        <v>0</v>
      </c>
      <c r="AO44" s="201">
        <f>AO47*规划指标!$G$9</f>
        <v>0</v>
      </c>
      <c r="AP44" s="201">
        <f>AP47*规划指标!$G$9</f>
        <v>0</v>
      </c>
      <c r="AQ44" s="201">
        <f>AQ47*规划指标!$G$9</f>
        <v>0</v>
      </c>
    </row>
    <row r="45" spans="1:46" s="213" customFormat="1" ht="18" customHeight="1" outlineLevel="2" x14ac:dyDescent="0.15">
      <c r="A45" s="216"/>
      <c r="B45" s="224" t="str">
        <f>B38</f>
        <v>销售套数</v>
      </c>
      <c r="C45" s="217" t="e">
        <f>SUM(D45:AQ45)</f>
        <v>#DIV/0!</v>
      </c>
      <c r="D45" s="245" t="e">
        <f>D44/规划指标!$G$9*规划指标!$I$9</f>
        <v>#DIV/0!</v>
      </c>
      <c r="E45" s="245" t="e">
        <f>E44/规划指标!$G$9*规划指标!$I$9</f>
        <v>#DIV/0!</v>
      </c>
      <c r="F45" s="245" t="e">
        <f>F44/规划指标!$G$9*规划指标!$I$9</f>
        <v>#DIV/0!</v>
      </c>
      <c r="G45" s="245" t="e">
        <f>G44/规划指标!$G$9*规划指标!$I$9</f>
        <v>#DIV/0!</v>
      </c>
      <c r="H45" s="245" t="e">
        <f>H44/规划指标!$G$9*规划指标!$I$9</f>
        <v>#DIV/0!</v>
      </c>
      <c r="I45" s="245" t="e">
        <f>I44/规划指标!$G$9*规划指标!$I$9</f>
        <v>#DIV/0!</v>
      </c>
      <c r="J45" s="245" t="e">
        <f>J44/规划指标!$G$9*规划指标!$I$9</f>
        <v>#DIV/0!</v>
      </c>
      <c r="K45" s="245" t="e">
        <f>K44/规划指标!$G$9*规划指标!$I$9</f>
        <v>#DIV/0!</v>
      </c>
      <c r="L45" s="245" t="e">
        <f>L44/规划指标!$G$9*规划指标!$I$9</f>
        <v>#DIV/0!</v>
      </c>
      <c r="M45" s="245" t="e">
        <f>M44/规划指标!$G$9*规划指标!$I$9</f>
        <v>#DIV/0!</v>
      </c>
      <c r="N45" s="245" t="e">
        <f>N44/规划指标!$G$9*规划指标!$I$9</f>
        <v>#DIV/0!</v>
      </c>
      <c r="O45" s="245" t="e">
        <f>O44/规划指标!$G$9*规划指标!$I$9</f>
        <v>#DIV/0!</v>
      </c>
      <c r="P45" s="245" t="e">
        <f>P44/规划指标!$G$9*规划指标!$I$9</f>
        <v>#DIV/0!</v>
      </c>
      <c r="Q45" s="245" t="e">
        <f>Q44/规划指标!$G$9*规划指标!$I$9</f>
        <v>#DIV/0!</v>
      </c>
      <c r="R45" s="245" t="e">
        <f>R44/规划指标!$G$9*规划指标!$I$9</f>
        <v>#DIV/0!</v>
      </c>
      <c r="S45" s="245" t="e">
        <f>S44/规划指标!$G$9*规划指标!$I$9</f>
        <v>#DIV/0!</v>
      </c>
      <c r="T45" s="245" t="e">
        <f>T44/规划指标!$G$9*规划指标!$I$9</f>
        <v>#DIV/0!</v>
      </c>
      <c r="U45" s="245" t="e">
        <f>U44/规划指标!$G$9*规划指标!$I$9</f>
        <v>#DIV/0!</v>
      </c>
      <c r="V45" s="245" t="e">
        <f>V44/规划指标!$G$9*规划指标!$I$9</f>
        <v>#DIV/0!</v>
      </c>
      <c r="W45" s="245" t="e">
        <f>W44/规划指标!$G$9*规划指标!$I$9</f>
        <v>#DIV/0!</v>
      </c>
      <c r="X45" s="245" t="e">
        <f>X44/规划指标!$G$9*规划指标!$I$9</f>
        <v>#DIV/0!</v>
      </c>
      <c r="Y45" s="245" t="e">
        <f>Y44/规划指标!$G$9*规划指标!$I$9</f>
        <v>#DIV/0!</v>
      </c>
      <c r="Z45" s="245" t="e">
        <f>Z44/规划指标!$G$9*规划指标!$I$9</f>
        <v>#DIV/0!</v>
      </c>
      <c r="AA45" s="245" t="e">
        <f>AA44/规划指标!$G$9*规划指标!$I$9</f>
        <v>#DIV/0!</v>
      </c>
      <c r="AB45" s="245" t="e">
        <f>AB44/规划指标!$G$9*规划指标!$I$9</f>
        <v>#DIV/0!</v>
      </c>
      <c r="AC45" s="245" t="e">
        <f>AC44/规划指标!$G$9*规划指标!$I$9</f>
        <v>#DIV/0!</v>
      </c>
      <c r="AD45" s="245" t="e">
        <f>AD44/规划指标!$G$9*规划指标!$I$9</f>
        <v>#DIV/0!</v>
      </c>
      <c r="AE45" s="245" t="e">
        <f>AE44/规划指标!$G$9*规划指标!$I$9</f>
        <v>#DIV/0!</v>
      </c>
      <c r="AF45" s="245" t="e">
        <f>AF44/规划指标!$G$9*规划指标!$I$9</f>
        <v>#DIV/0!</v>
      </c>
      <c r="AG45" s="245" t="e">
        <f>AG44/规划指标!$G$9*规划指标!$I$9</f>
        <v>#DIV/0!</v>
      </c>
      <c r="AH45" s="245" t="e">
        <f>AH44/规划指标!$G$9*规划指标!$I$9</f>
        <v>#DIV/0!</v>
      </c>
      <c r="AI45" s="245" t="e">
        <f>AI44/规划指标!$G$9*规划指标!$I$9</f>
        <v>#DIV/0!</v>
      </c>
      <c r="AJ45" s="245" t="e">
        <f>AJ44/规划指标!$G$9*规划指标!$I$9</f>
        <v>#DIV/0!</v>
      </c>
      <c r="AK45" s="245" t="e">
        <f>AK44/规划指标!$G$9*规划指标!$I$9</f>
        <v>#DIV/0!</v>
      </c>
      <c r="AL45" s="245" t="e">
        <f>AL44/规划指标!$G$9*规划指标!$I$9</f>
        <v>#DIV/0!</v>
      </c>
      <c r="AM45" s="245" t="e">
        <f>AM44/规划指标!$G$9*规划指标!$I$9</f>
        <v>#DIV/0!</v>
      </c>
      <c r="AN45" s="245" t="e">
        <f>AN44/规划指标!$G$9*规划指标!$I$9</f>
        <v>#DIV/0!</v>
      </c>
      <c r="AO45" s="245" t="e">
        <f>AO44/规划指标!$G$9*规划指标!$I$9</f>
        <v>#DIV/0!</v>
      </c>
      <c r="AP45" s="245" t="e">
        <f>AP44/规划指标!$G$9*规划指标!$I$9</f>
        <v>#DIV/0!</v>
      </c>
      <c r="AQ45" s="245" t="e">
        <f>AQ44/规划指标!$G$9*规划指标!$I$9</f>
        <v>#DIV/0!</v>
      </c>
    </row>
    <row r="46" spans="1:46" s="213" customFormat="1" ht="18" customHeight="1" outlineLevel="2" x14ac:dyDescent="0.15">
      <c r="A46" s="216"/>
      <c r="B46" s="224" t="str">
        <f>$B$11</f>
        <v>销售均价</v>
      </c>
      <c r="C46" s="225" t="e">
        <f>ROUND(C43/C44*10000,0)</f>
        <v>#DIV/0!</v>
      </c>
      <c r="D46" s="226">
        <f>ROUND(C48*D158,0)</f>
        <v>0</v>
      </c>
      <c r="E46" s="226">
        <f>D46</f>
        <v>0</v>
      </c>
      <c r="F46" s="226">
        <f t="shared" ref="F46:AQ46" si="12">E46</f>
        <v>0</v>
      </c>
      <c r="G46" s="226">
        <f t="shared" si="12"/>
        <v>0</v>
      </c>
      <c r="H46" s="226">
        <f t="shared" si="12"/>
        <v>0</v>
      </c>
      <c r="I46" s="226">
        <f t="shared" si="12"/>
        <v>0</v>
      </c>
      <c r="J46" s="226">
        <f t="shared" si="12"/>
        <v>0</v>
      </c>
      <c r="K46" s="226">
        <f t="shared" si="12"/>
        <v>0</v>
      </c>
      <c r="L46" s="226">
        <f t="shared" si="12"/>
        <v>0</v>
      </c>
      <c r="M46" s="226">
        <f t="shared" si="12"/>
        <v>0</v>
      </c>
      <c r="N46" s="226">
        <f t="shared" si="12"/>
        <v>0</v>
      </c>
      <c r="O46" s="226">
        <f t="shared" si="12"/>
        <v>0</v>
      </c>
      <c r="P46" s="226">
        <f t="shared" si="12"/>
        <v>0</v>
      </c>
      <c r="Q46" s="226">
        <f t="shared" si="12"/>
        <v>0</v>
      </c>
      <c r="R46" s="226">
        <f t="shared" si="12"/>
        <v>0</v>
      </c>
      <c r="S46" s="226">
        <f t="shared" si="12"/>
        <v>0</v>
      </c>
      <c r="T46" s="226">
        <f t="shared" si="12"/>
        <v>0</v>
      </c>
      <c r="U46" s="226">
        <f t="shared" si="12"/>
        <v>0</v>
      </c>
      <c r="V46" s="226">
        <f t="shared" si="12"/>
        <v>0</v>
      </c>
      <c r="W46" s="226">
        <f t="shared" si="12"/>
        <v>0</v>
      </c>
      <c r="X46" s="226">
        <f t="shared" si="12"/>
        <v>0</v>
      </c>
      <c r="Y46" s="226">
        <f t="shared" si="12"/>
        <v>0</v>
      </c>
      <c r="Z46" s="226">
        <f t="shared" si="12"/>
        <v>0</v>
      </c>
      <c r="AA46" s="226">
        <f t="shared" si="12"/>
        <v>0</v>
      </c>
      <c r="AB46" s="226">
        <f t="shared" si="12"/>
        <v>0</v>
      </c>
      <c r="AC46" s="226">
        <f t="shared" si="12"/>
        <v>0</v>
      </c>
      <c r="AD46" s="226">
        <f t="shared" si="12"/>
        <v>0</v>
      </c>
      <c r="AE46" s="226">
        <f t="shared" si="12"/>
        <v>0</v>
      </c>
      <c r="AF46" s="226">
        <f t="shared" si="12"/>
        <v>0</v>
      </c>
      <c r="AG46" s="226">
        <f t="shared" si="12"/>
        <v>0</v>
      </c>
      <c r="AH46" s="226">
        <f t="shared" si="12"/>
        <v>0</v>
      </c>
      <c r="AI46" s="226">
        <f t="shared" si="12"/>
        <v>0</v>
      </c>
      <c r="AJ46" s="226">
        <f t="shared" si="12"/>
        <v>0</v>
      </c>
      <c r="AK46" s="226">
        <f t="shared" si="12"/>
        <v>0</v>
      </c>
      <c r="AL46" s="226">
        <f t="shared" si="12"/>
        <v>0</v>
      </c>
      <c r="AM46" s="226">
        <f t="shared" si="12"/>
        <v>0</v>
      </c>
      <c r="AN46" s="226">
        <f>W46</f>
        <v>0</v>
      </c>
      <c r="AO46" s="226">
        <f t="shared" si="12"/>
        <v>0</v>
      </c>
      <c r="AP46" s="226">
        <f t="shared" si="12"/>
        <v>0</v>
      </c>
      <c r="AQ46" s="226">
        <f t="shared" si="12"/>
        <v>0</v>
      </c>
    </row>
    <row r="47" spans="1:46" s="229" customFormat="1" ht="18" customHeight="1" outlineLevel="2" x14ac:dyDescent="0.15">
      <c r="A47" s="227"/>
      <c r="B47" s="224" t="str">
        <f>$B$12</f>
        <v>销售率</v>
      </c>
      <c r="C47" s="228">
        <f>SUM(D47:AQ47)</f>
        <v>0</v>
      </c>
      <c r="D47" s="234"/>
      <c r="E47" s="234"/>
      <c r="F47" s="234"/>
      <c r="G47" s="234"/>
      <c r="H47" s="234"/>
      <c r="I47" s="234"/>
      <c r="J47" s="234"/>
      <c r="K47" s="234"/>
      <c r="L47" s="234"/>
      <c r="M47" s="234"/>
      <c r="N47" s="234"/>
      <c r="O47" s="234"/>
      <c r="P47" s="234"/>
      <c r="Q47" s="234"/>
      <c r="R47" s="234"/>
      <c r="S47" s="234"/>
      <c r="T47" s="234"/>
      <c r="U47" s="234"/>
      <c r="V47" s="234"/>
      <c r="W47" s="234"/>
      <c r="X47" s="234"/>
      <c r="Y47" s="234"/>
      <c r="Z47" s="234"/>
      <c r="AA47" s="234"/>
      <c r="AB47" s="234"/>
      <c r="AC47" s="234"/>
      <c r="AD47" s="234"/>
      <c r="AE47" s="234"/>
      <c r="AF47" s="234"/>
      <c r="AG47" s="234"/>
      <c r="AH47" s="234"/>
      <c r="AI47" s="234"/>
      <c r="AJ47" s="234"/>
      <c r="AK47" s="234"/>
      <c r="AL47" s="234"/>
      <c r="AM47" s="234"/>
      <c r="AN47" s="234"/>
      <c r="AO47" s="234"/>
      <c r="AP47" s="234"/>
      <c r="AQ47" s="234"/>
    </row>
    <row r="48" spans="1:46" s="229" customFormat="1" ht="18" customHeight="1" outlineLevel="2" x14ac:dyDescent="0.15">
      <c r="A48" s="227"/>
      <c r="B48" s="224" t="s">
        <v>577</v>
      </c>
      <c r="C48" s="234"/>
      <c r="D48" s="228"/>
      <c r="E48" s="228"/>
      <c r="F48" s="228"/>
      <c r="G48" s="228"/>
      <c r="H48" s="228"/>
      <c r="I48" s="228"/>
      <c r="J48" s="228"/>
      <c r="K48" s="228"/>
      <c r="L48" s="228"/>
      <c r="M48" s="228"/>
      <c r="N48" s="228"/>
      <c r="O48" s="228"/>
      <c r="P48" s="228"/>
      <c r="Q48" s="228"/>
      <c r="R48" s="228"/>
      <c r="S48" s="228"/>
      <c r="T48" s="228"/>
      <c r="U48" s="228"/>
      <c r="V48" s="228"/>
      <c r="W48" s="228"/>
      <c r="X48" s="228"/>
      <c r="Y48" s="228"/>
      <c r="Z48" s="228"/>
      <c r="AA48" s="228"/>
      <c r="AB48" s="228"/>
      <c r="AC48" s="228"/>
      <c r="AD48" s="228"/>
      <c r="AE48" s="228"/>
      <c r="AF48" s="228"/>
      <c r="AG48" s="228"/>
      <c r="AH48" s="228"/>
      <c r="AI48" s="228"/>
      <c r="AJ48" s="228"/>
      <c r="AK48" s="228"/>
      <c r="AL48" s="228"/>
      <c r="AM48" s="228"/>
      <c r="AN48" s="228"/>
      <c r="AO48" s="228"/>
      <c r="AP48" s="228"/>
      <c r="AQ48" s="228"/>
    </row>
    <row r="49" spans="1:43" s="213" customFormat="1" ht="18" customHeight="1" outlineLevel="2" x14ac:dyDescent="0.15">
      <c r="A49" s="216"/>
      <c r="B49" s="634"/>
      <c r="C49" s="228"/>
      <c r="D49" s="231"/>
      <c r="E49" s="231"/>
      <c r="F49" s="231"/>
      <c r="G49" s="231"/>
      <c r="H49" s="231"/>
      <c r="I49" s="231"/>
      <c r="J49" s="231"/>
      <c r="K49" s="231"/>
      <c r="L49" s="231"/>
      <c r="M49" s="231"/>
      <c r="N49" s="231"/>
      <c r="O49" s="231"/>
      <c r="P49" s="231"/>
      <c r="Q49" s="231"/>
      <c r="R49" s="231"/>
      <c r="S49" s="231"/>
      <c r="T49" s="231"/>
      <c r="U49" s="231"/>
      <c r="V49" s="231"/>
      <c r="W49" s="231"/>
      <c r="X49" s="231"/>
      <c r="Y49" s="231"/>
      <c r="Z49" s="231"/>
      <c r="AA49" s="231"/>
      <c r="AB49" s="231"/>
      <c r="AC49" s="231"/>
      <c r="AD49" s="231"/>
      <c r="AE49" s="231"/>
      <c r="AF49" s="231"/>
      <c r="AG49" s="231"/>
      <c r="AH49" s="231"/>
      <c r="AI49" s="231"/>
      <c r="AJ49" s="231"/>
      <c r="AK49" s="231"/>
      <c r="AL49" s="231"/>
      <c r="AM49" s="231"/>
      <c r="AN49" s="231"/>
      <c r="AO49" s="231"/>
      <c r="AP49" s="231"/>
      <c r="AQ49" s="231"/>
    </row>
    <row r="50" spans="1:43" s="213" customFormat="1" ht="18" customHeight="1" outlineLevel="1" x14ac:dyDescent="0.15">
      <c r="A50" s="216" t="s">
        <v>301</v>
      </c>
      <c r="B50" s="633">
        <f>规划指标!F10</f>
        <v>0</v>
      </c>
      <c r="C50" s="217">
        <f>SUM(D50:AQ50)</f>
        <v>0</v>
      </c>
      <c r="D50" s="201">
        <f>ROUND(D53*D51/10000,0)</f>
        <v>0</v>
      </c>
      <c r="E50" s="201">
        <f t="shared" ref="E50:AQ50" si="13">ROUND(E53*E51/10000,0)</f>
        <v>0</v>
      </c>
      <c r="F50" s="201">
        <f t="shared" si="13"/>
        <v>0</v>
      </c>
      <c r="G50" s="201">
        <f t="shared" si="13"/>
        <v>0</v>
      </c>
      <c r="H50" s="201">
        <f t="shared" si="13"/>
        <v>0</v>
      </c>
      <c r="I50" s="201">
        <f t="shared" si="13"/>
        <v>0</v>
      </c>
      <c r="J50" s="201">
        <f t="shared" si="13"/>
        <v>0</v>
      </c>
      <c r="K50" s="201">
        <f t="shared" si="13"/>
        <v>0</v>
      </c>
      <c r="L50" s="201">
        <f t="shared" si="13"/>
        <v>0</v>
      </c>
      <c r="M50" s="201">
        <f t="shared" si="13"/>
        <v>0</v>
      </c>
      <c r="N50" s="201">
        <f t="shared" si="13"/>
        <v>0</v>
      </c>
      <c r="O50" s="201">
        <f t="shared" si="13"/>
        <v>0</v>
      </c>
      <c r="P50" s="201">
        <f t="shared" si="13"/>
        <v>0</v>
      </c>
      <c r="Q50" s="201">
        <f t="shared" si="13"/>
        <v>0</v>
      </c>
      <c r="R50" s="201">
        <f t="shared" si="13"/>
        <v>0</v>
      </c>
      <c r="S50" s="201">
        <f t="shared" si="13"/>
        <v>0</v>
      </c>
      <c r="T50" s="201">
        <f t="shared" si="13"/>
        <v>0</v>
      </c>
      <c r="U50" s="201">
        <f t="shared" si="13"/>
        <v>0</v>
      </c>
      <c r="V50" s="201">
        <f t="shared" si="13"/>
        <v>0</v>
      </c>
      <c r="W50" s="201">
        <f t="shared" si="13"/>
        <v>0</v>
      </c>
      <c r="X50" s="201">
        <f t="shared" si="13"/>
        <v>0</v>
      </c>
      <c r="Y50" s="201">
        <f t="shared" si="13"/>
        <v>0</v>
      </c>
      <c r="Z50" s="201">
        <f t="shared" si="13"/>
        <v>0</v>
      </c>
      <c r="AA50" s="201">
        <f t="shared" si="13"/>
        <v>0</v>
      </c>
      <c r="AB50" s="201">
        <f t="shared" si="13"/>
        <v>0</v>
      </c>
      <c r="AC50" s="201">
        <f t="shared" si="13"/>
        <v>0</v>
      </c>
      <c r="AD50" s="201">
        <f t="shared" si="13"/>
        <v>0</v>
      </c>
      <c r="AE50" s="201">
        <f t="shared" si="13"/>
        <v>0</v>
      </c>
      <c r="AF50" s="201">
        <f t="shared" si="13"/>
        <v>0</v>
      </c>
      <c r="AG50" s="201">
        <f t="shared" si="13"/>
        <v>0</v>
      </c>
      <c r="AH50" s="201">
        <f t="shared" si="13"/>
        <v>0</v>
      </c>
      <c r="AI50" s="201">
        <f t="shared" si="13"/>
        <v>0</v>
      </c>
      <c r="AJ50" s="201">
        <f t="shared" si="13"/>
        <v>0</v>
      </c>
      <c r="AK50" s="201">
        <f t="shared" si="13"/>
        <v>0</v>
      </c>
      <c r="AL50" s="201">
        <f t="shared" si="13"/>
        <v>0</v>
      </c>
      <c r="AM50" s="201">
        <f t="shared" si="13"/>
        <v>0</v>
      </c>
      <c r="AN50" s="201">
        <f t="shared" si="13"/>
        <v>0</v>
      </c>
      <c r="AO50" s="201">
        <f t="shared" si="13"/>
        <v>0</v>
      </c>
      <c r="AP50" s="201">
        <f t="shared" si="13"/>
        <v>0</v>
      </c>
      <c r="AQ50" s="201">
        <f t="shared" si="13"/>
        <v>0</v>
      </c>
    </row>
    <row r="51" spans="1:43" s="213" customFormat="1" ht="18" customHeight="1" outlineLevel="2" x14ac:dyDescent="0.15">
      <c r="A51" s="216"/>
      <c r="B51" s="224" t="str">
        <f>$B$9</f>
        <v>销售数量</v>
      </c>
      <c r="C51" s="217">
        <f>SUM(D51:AQ51)</f>
        <v>0</v>
      </c>
      <c r="D51" s="201">
        <f>D54*规划指标!$G$10</f>
        <v>0</v>
      </c>
      <c r="E51" s="201">
        <f>E54*规划指标!$G$10</f>
        <v>0</v>
      </c>
      <c r="F51" s="201">
        <f>F54*规划指标!$G$10</f>
        <v>0</v>
      </c>
      <c r="G51" s="201">
        <f>G54*规划指标!$G$10</f>
        <v>0</v>
      </c>
      <c r="H51" s="201">
        <f>H54*规划指标!$G$10</f>
        <v>0</v>
      </c>
      <c r="I51" s="201">
        <f>I54*规划指标!$G$10</f>
        <v>0</v>
      </c>
      <c r="J51" s="201">
        <f>J54*规划指标!$G$10</f>
        <v>0</v>
      </c>
      <c r="K51" s="201">
        <f>K54*规划指标!$G$10</f>
        <v>0</v>
      </c>
      <c r="L51" s="201">
        <f>L54*规划指标!$G$10</f>
        <v>0</v>
      </c>
      <c r="M51" s="201">
        <f>M54*规划指标!$G$10</f>
        <v>0</v>
      </c>
      <c r="N51" s="201">
        <f>N54*规划指标!$G$10</f>
        <v>0</v>
      </c>
      <c r="O51" s="201">
        <f>O54*规划指标!$G$10</f>
        <v>0</v>
      </c>
      <c r="P51" s="201">
        <f>P54*规划指标!$G$10</f>
        <v>0</v>
      </c>
      <c r="Q51" s="201">
        <f>Q54*规划指标!$G$10</f>
        <v>0</v>
      </c>
      <c r="R51" s="201">
        <f>R54*规划指标!$G$10</f>
        <v>0</v>
      </c>
      <c r="S51" s="201">
        <f>S54*规划指标!$G$10</f>
        <v>0</v>
      </c>
      <c r="T51" s="201">
        <f>T54*规划指标!$G$10</f>
        <v>0</v>
      </c>
      <c r="U51" s="201">
        <f>U54*规划指标!$G$10</f>
        <v>0</v>
      </c>
      <c r="V51" s="201">
        <f>V54*规划指标!$G$10</f>
        <v>0</v>
      </c>
      <c r="W51" s="201">
        <f>W54*规划指标!$G$10</f>
        <v>0</v>
      </c>
      <c r="X51" s="201">
        <f>X54*规划指标!$G$10</f>
        <v>0</v>
      </c>
      <c r="Y51" s="201">
        <f>Y54*规划指标!$G$10</f>
        <v>0</v>
      </c>
      <c r="Z51" s="201">
        <f>Z54*规划指标!$G$10</f>
        <v>0</v>
      </c>
      <c r="AA51" s="201">
        <f>AA54*规划指标!$G$10</f>
        <v>0</v>
      </c>
      <c r="AB51" s="201">
        <f>AB54*规划指标!$G$10</f>
        <v>0</v>
      </c>
      <c r="AC51" s="201">
        <f>AC54*规划指标!$G$10</f>
        <v>0</v>
      </c>
      <c r="AD51" s="201">
        <f>AD54*规划指标!$G$10</f>
        <v>0</v>
      </c>
      <c r="AE51" s="201">
        <f>AE54*规划指标!$G$10</f>
        <v>0</v>
      </c>
      <c r="AF51" s="201">
        <f>AF54*规划指标!$G$10</f>
        <v>0</v>
      </c>
      <c r="AG51" s="201">
        <f>AG54*规划指标!$G$10</f>
        <v>0</v>
      </c>
      <c r="AH51" s="201">
        <f>AH54*规划指标!$G$10</f>
        <v>0</v>
      </c>
      <c r="AI51" s="201">
        <f>AI54*规划指标!$G$10</f>
        <v>0</v>
      </c>
      <c r="AJ51" s="201">
        <f>AJ54*规划指标!$G$10</f>
        <v>0</v>
      </c>
      <c r="AK51" s="201">
        <f>AK54*规划指标!$G$10</f>
        <v>0</v>
      </c>
      <c r="AL51" s="201">
        <f>AL54*规划指标!$G$10</f>
        <v>0</v>
      </c>
      <c r="AM51" s="201">
        <f>AM54*规划指标!$G$10</f>
        <v>0</v>
      </c>
      <c r="AN51" s="201">
        <f>AN54*规划指标!$G$10</f>
        <v>0</v>
      </c>
      <c r="AO51" s="201">
        <f>AO54*规划指标!$G$10</f>
        <v>0</v>
      </c>
      <c r="AP51" s="201">
        <f>AP54*规划指标!$G$10</f>
        <v>0</v>
      </c>
      <c r="AQ51" s="201">
        <f>AQ54*规划指标!$G$10</f>
        <v>0</v>
      </c>
    </row>
    <row r="52" spans="1:43" s="213" customFormat="1" ht="18" customHeight="1" outlineLevel="2" x14ac:dyDescent="0.15">
      <c r="A52" s="216"/>
      <c r="B52" s="224" t="str">
        <f>B45</f>
        <v>销售套数</v>
      </c>
      <c r="C52" s="217" t="e">
        <f>SUM(D52:AQ52)</f>
        <v>#DIV/0!</v>
      </c>
      <c r="D52" s="245" t="e">
        <f>D51/规划指标!$G$10*规划指标!$I$10</f>
        <v>#DIV/0!</v>
      </c>
      <c r="E52" s="245" t="e">
        <f>E51/规划指标!$G$10*规划指标!$I$10</f>
        <v>#DIV/0!</v>
      </c>
      <c r="F52" s="245" t="e">
        <f>F51/规划指标!$G$10*规划指标!$I$10</f>
        <v>#DIV/0!</v>
      </c>
      <c r="G52" s="245" t="e">
        <f>G51/规划指标!$G$10*规划指标!$I$10</f>
        <v>#DIV/0!</v>
      </c>
      <c r="H52" s="245" t="e">
        <f>H51/规划指标!$G$10*规划指标!$I$10</f>
        <v>#DIV/0!</v>
      </c>
      <c r="I52" s="245" t="e">
        <f>I51/规划指标!$G$10*规划指标!$I$10</f>
        <v>#DIV/0!</v>
      </c>
      <c r="J52" s="245" t="e">
        <f>J51/规划指标!$G$10*规划指标!$I$10</f>
        <v>#DIV/0!</v>
      </c>
      <c r="K52" s="245" t="e">
        <f>K51/规划指标!$G$10*规划指标!$I$10</f>
        <v>#DIV/0!</v>
      </c>
      <c r="L52" s="245" t="e">
        <f>L51/规划指标!$G$10*规划指标!$I$10</f>
        <v>#DIV/0!</v>
      </c>
      <c r="M52" s="245" t="e">
        <f>M51/规划指标!$G$10*规划指标!$I$10</f>
        <v>#DIV/0!</v>
      </c>
      <c r="N52" s="245" t="e">
        <f>N51/规划指标!$G$10*规划指标!$I$10</f>
        <v>#DIV/0!</v>
      </c>
      <c r="O52" s="245" t="e">
        <f>O51/规划指标!$G$10*规划指标!$I$10</f>
        <v>#DIV/0!</v>
      </c>
      <c r="P52" s="245" t="e">
        <f>P51/规划指标!$G$10*规划指标!$I$10</f>
        <v>#DIV/0!</v>
      </c>
      <c r="Q52" s="245" t="e">
        <f>Q51/规划指标!$G$10*规划指标!$I$10</f>
        <v>#DIV/0!</v>
      </c>
      <c r="R52" s="245" t="e">
        <f>R51/规划指标!$G$10*规划指标!$I$10</f>
        <v>#DIV/0!</v>
      </c>
      <c r="S52" s="245" t="e">
        <f>S51/规划指标!$G$10*规划指标!$I$10</f>
        <v>#DIV/0!</v>
      </c>
      <c r="T52" s="245" t="e">
        <f>T51/规划指标!$G$10*规划指标!$I$10</f>
        <v>#DIV/0!</v>
      </c>
      <c r="U52" s="245" t="e">
        <f>U51/规划指标!$G$10*规划指标!$I$10</f>
        <v>#DIV/0!</v>
      </c>
      <c r="V52" s="245" t="e">
        <f>V51/规划指标!$G$10*规划指标!$I$10</f>
        <v>#DIV/0!</v>
      </c>
      <c r="W52" s="245" t="e">
        <f>W51/规划指标!$G$10*规划指标!$I$10</f>
        <v>#DIV/0!</v>
      </c>
      <c r="X52" s="245" t="e">
        <f>X51/规划指标!$G$10*规划指标!$I$10</f>
        <v>#DIV/0!</v>
      </c>
      <c r="Y52" s="245" t="e">
        <f>Y51/规划指标!$G$10*规划指标!$I$10</f>
        <v>#DIV/0!</v>
      </c>
      <c r="Z52" s="245" t="e">
        <f>Z51/规划指标!$G$10*规划指标!$I$10</f>
        <v>#DIV/0!</v>
      </c>
      <c r="AA52" s="245" t="e">
        <f>AA51/规划指标!$G$10*规划指标!$I$10</f>
        <v>#DIV/0!</v>
      </c>
      <c r="AB52" s="245" t="e">
        <f>AB51/规划指标!$G$10*规划指标!$I$10</f>
        <v>#DIV/0!</v>
      </c>
      <c r="AC52" s="245" t="e">
        <f>AC51/规划指标!$G$10*规划指标!$I$10</f>
        <v>#DIV/0!</v>
      </c>
      <c r="AD52" s="245" t="e">
        <f>AD51/规划指标!$G$10*规划指标!$I$10</f>
        <v>#DIV/0!</v>
      </c>
      <c r="AE52" s="245" t="e">
        <f>AE51/规划指标!$G$10*规划指标!$I$10</f>
        <v>#DIV/0!</v>
      </c>
      <c r="AF52" s="245" t="e">
        <f>AF51/规划指标!$G$10*规划指标!$I$10</f>
        <v>#DIV/0!</v>
      </c>
      <c r="AG52" s="245" t="e">
        <f>AG51/规划指标!$G$10*规划指标!$I$10</f>
        <v>#DIV/0!</v>
      </c>
      <c r="AH52" s="245" t="e">
        <f>AH51/规划指标!$G$10*规划指标!$I$10</f>
        <v>#DIV/0!</v>
      </c>
      <c r="AI52" s="245" t="e">
        <f>AI51/规划指标!$G$10*规划指标!$I$10</f>
        <v>#DIV/0!</v>
      </c>
      <c r="AJ52" s="245" t="e">
        <f>AJ51/规划指标!$G$10*规划指标!$I$10</f>
        <v>#DIV/0!</v>
      </c>
      <c r="AK52" s="245" t="e">
        <f>AK51/规划指标!$G$10*规划指标!$I$10</f>
        <v>#DIV/0!</v>
      </c>
      <c r="AL52" s="245" t="e">
        <f>AL51/规划指标!$G$10*规划指标!$I$10</f>
        <v>#DIV/0!</v>
      </c>
      <c r="AM52" s="245" t="e">
        <f>AM51/规划指标!$G$10*规划指标!$I$10</f>
        <v>#DIV/0!</v>
      </c>
      <c r="AN52" s="245" t="e">
        <f>AN51/规划指标!$G$10*规划指标!$I$10</f>
        <v>#DIV/0!</v>
      </c>
      <c r="AO52" s="245" t="e">
        <f>AO51/规划指标!$G$10*规划指标!$I$10</f>
        <v>#DIV/0!</v>
      </c>
      <c r="AP52" s="245" t="e">
        <f>AP51/规划指标!$G$10*规划指标!$I$10</f>
        <v>#DIV/0!</v>
      </c>
      <c r="AQ52" s="245" t="e">
        <f>AQ51/规划指标!$G$10*规划指标!$I$10</f>
        <v>#DIV/0!</v>
      </c>
    </row>
    <row r="53" spans="1:43" s="213" customFormat="1" ht="18" customHeight="1" outlineLevel="2" x14ac:dyDescent="0.15">
      <c r="A53" s="216"/>
      <c r="B53" s="224" t="str">
        <f>$B$11</f>
        <v>销售均价</v>
      </c>
      <c r="C53" s="225" t="e">
        <f>ROUND(C50/C51*10000,0)</f>
        <v>#DIV/0!</v>
      </c>
      <c r="D53" s="226">
        <f>ROUND(C55*D159,0)</f>
        <v>0</v>
      </c>
      <c r="E53" s="226">
        <f>D53</f>
        <v>0</v>
      </c>
      <c r="F53" s="226">
        <f t="shared" ref="F53:AQ53" si="14">E53</f>
        <v>0</v>
      </c>
      <c r="G53" s="226">
        <f t="shared" si="14"/>
        <v>0</v>
      </c>
      <c r="H53" s="226">
        <f t="shared" si="14"/>
        <v>0</v>
      </c>
      <c r="I53" s="226">
        <f t="shared" si="14"/>
        <v>0</v>
      </c>
      <c r="J53" s="226">
        <f t="shared" si="14"/>
        <v>0</v>
      </c>
      <c r="K53" s="226">
        <f t="shared" si="14"/>
        <v>0</v>
      </c>
      <c r="L53" s="226">
        <f t="shared" si="14"/>
        <v>0</v>
      </c>
      <c r="M53" s="226">
        <f t="shared" si="14"/>
        <v>0</v>
      </c>
      <c r="N53" s="226">
        <f t="shared" si="14"/>
        <v>0</v>
      </c>
      <c r="O53" s="226">
        <f t="shared" si="14"/>
        <v>0</v>
      </c>
      <c r="P53" s="226">
        <f t="shared" si="14"/>
        <v>0</v>
      </c>
      <c r="Q53" s="226">
        <f t="shared" si="14"/>
        <v>0</v>
      </c>
      <c r="R53" s="226">
        <f t="shared" si="14"/>
        <v>0</v>
      </c>
      <c r="S53" s="226">
        <f t="shared" si="14"/>
        <v>0</v>
      </c>
      <c r="T53" s="226">
        <f t="shared" si="14"/>
        <v>0</v>
      </c>
      <c r="U53" s="226">
        <f t="shared" si="14"/>
        <v>0</v>
      </c>
      <c r="V53" s="226">
        <f t="shared" si="14"/>
        <v>0</v>
      </c>
      <c r="W53" s="226">
        <f t="shared" si="14"/>
        <v>0</v>
      </c>
      <c r="X53" s="226">
        <f t="shared" si="14"/>
        <v>0</v>
      </c>
      <c r="Y53" s="226">
        <f t="shared" si="14"/>
        <v>0</v>
      </c>
      <c r="Z53" s="226">
        <f t="shared" si="14"/>
        <v>0</v>
      </c>
      <c r="AA53" s="226">
        <f t="shared" si="14"/>
        <v>0</v>
      </c>
      <c r="AB53" s="226">
        <f t="shared" si="14"/>
        <v>0</v>
      </c>
      <c r="AC53" s="226">
        <f t="shared" si="14"/>
        <v>0</v>
      </c>
      <c r="AD53" s="226">
        <f t="shared" si="14"/>
        <v>0</v>
      </c>
      <c r="AE53" s="226">
        <f t="shared" si="14"/>
        <v>0</v>
      </c>
      <c r="AF53" s="226">
        <f t="shared" si="14"/>
        <v>0</v>
      </c>
      <c r="AG53" s="226">
        <f t="shared" si="14"/>
        <v>0</v>
      </c>
      <c r="AH53" s="226">
        <f t="shared" si="14"/>
        <v>0</v>
      </c>
      <c r="AI53" s="226">
        <f t="shared" si="14"/>
        <v>0</v>
      </c>
      <c r="AJ53" s="226">
        <f t="shared" si="14"/>
        <v>0</v>
      </c>
      <c r="AK53" s="226">
        <f t="shared" si="14"/>
        <v>0</v>
      </c>
      <c r="AL53" s="226">
        <f t="shared" si="14"/>
        <v>0</v>
      </c>
      <c r="AM53" s="226">
        <f t="shared" si="14"/>
        <v>0</v>
      </c>
      <c r="AN53" s="226">
        <f>W53</f>
        <v>0</v>
      </c>
      <c r="AO53" s="226">
        <f t="shared" si="14"/>
        <v>0</v>
      </c>
      <c r="AP53" s="226">
        <f t="shared" si="14"/>
        <v>0</v>
      </c>
      <c r="AQ53" s="226">
        <f t="shared" si="14"/>
        <v>0</v>
      </c>
    </row>
    <row r="54" spans="1:43" s="229" customFormat="1" ht="18" customHeight="1" outlineLevel="2" x14ac:dyDescent="0.15">
      <c r="A54" s="227"/>
      <c r="B54" s="224" t="str">
        <f>$B$12</f>
        <v>销售率</v>
      </c>
      <c r="C54" s="228">
        <f>SUM(D54:AQ54)</f>
        <v>0</v>
      </c>
      <c r="D54" s="234"/>
      <c r="E54" s="234"/>
      <c r="F54" s="234"/>
      <c r="G54" s="234"/>
      <c r="H54" s="234"/>
      <c r="I54" s="234"/>
      <c r="J54" s="234"/>
      <c r="K54" s="234"/>
      <c r="L54" s="234"/>
      <c r="M54" s="234"/>
      <c r="N54" s="234"/>
      <c r="O54" s="234"/>
      <c r="P54" s="234"/>
      <c r="Q54" s="234"/>
      <c r="R54" s="234"/>
      <c r="S54" s="234"/>
      <c r="T54" s="234"/>
      <c r="U54" s="234"/>
      <c r="V54" s="234"/>
      <c r="W54" s="234"/>
      <c r="X54" s="234"/>
      <c r="Y54" s="234"/>
      <c r="Z54" s="234"/>
      <c r="AA54" s="234"/>
      <c r="AB54" s="234"/>
      <c r="AC54" s="234"/>
      <c r="AD54" s="234"/>
      <c r="AE54" s="234"/>
      <c r="AF54" s="234"/>
      <c r="AG54" s="234"/>
      <c r="AH54" s="234"/>
      <c r="AI54" s="234"/>
      <c r="AJ54" s="234"/>
      <c r="AK54" s="234"/>
      <c r="AL54" s="234"/>
      <c r="AM54" s="234"/>
      <c r="AN54" s="234"/>
      <c r="AO54" s="234"/>
      <c r="AP54" s="234"/>
      <c r="AQ54" s="234"/>
    </row>
    <row r="55" spans="1:43" s="229" customFormat="1" ht="18" customHeight="1" outlineLevel="2" x14ac:dyDescent="0.15">
      <c r="A55" s="227"/>
      <c r="B55" s="224" t="s">
        <v>577</v>
      </c>
      <c r="C55" s="234"/>
      <c r="D55" s="228"/>
      <c r="E55" s="228"/>
      <c r="F55" s="228"/>
      <c r="G55" s="228"/>
      <c r="H55" s="228"/>
      <c r="I55" s="228"/>
      <c r="J55" s="228"/>
      <c r="K55" s="228"/>
      <c r="L55" s="228"/>
      <c r="M55" s="228"/>
      <c r="N55" s="228"/>
      <c r="O55" s="228"/>
      <c r="P55" s="228"/>
      <c r="Q55" s="228"/>
      <c r="R55" s="228"/>
      <c r="S55" s="228"/>
      <c r="T55" s="228"/>
      <c r="U55" s="228"/>
      <c r="V55" s="228"/>
      <c r="W55" s="228"/>
      <c r="X55" s="228"/>
      <c r="Y55" s="228"/>
      <c r="Z55" s="228"/>
      <c r="AA55" s="228"/>
      <c r="AB55" s="228"/>
      <c r="AC55" s="228"/>
      <c r="AD55" s="228"/>
      <c r="AE55" s="228"/>
      <c r="AF55" s="228"/>
      <c r="AG55" s="228"/>
      <c r="AH55" s="228"/>
      <c r="AI55" s="228"/>
      <c r="AJ55" s="228"/>
      <c r="AK55" s="228"/>
      <c r="AL55" s="228"/>
      <c r="AM55" s="228"/>
      <c r="AN55" s="228"/>
      <c r="AO55" s="228"/>
      <c r="AP55" s="228"/>
      <c r="AQ55" s="228"/>
    </row>
    <row r="56" spans="1:43" s="213" customFormat="1" ht="18" customHeight="1" outlineLevel="2" x14ac:dyDescent="0.15">
      <c r="A56" s="216"/>
      <c r="B56" s="634"/>
      <c r="C56" s="228"/>
      <c r="D56" s="231"/>
      <c r="E56" s="231"/>
      <c r="F56" s="231"/>
      <c r="G56" s="231"/>
      <c r="H56" s="231"/>
      <c r="I56" s="231"/>
      <c r="J56" s="231"/>
      <c r="K56" s="231"/>
      <c r="L56" s="231"/>
      <c r="M56" s="231"/>
      <c r="N56" s="231"/>
      <c r="O56" s="231"/>
      <c r="P56" s="231"/>
      <c r="Q56" s="231"/>
      <c r="R56" s="231"/>
      <c r="S56" s="231"/>
      <c r="T56" s="231"/>
      <c r="U56" s="231"/>
      <c r="V56" s="231"/>
      <c r="W56" s="231"/>
      <c r="X56" s="231"/>
      <c r="Y56" s="231"/>
      <c r="Z56" s="231"/>
      <c r="AA56" s="231"/>
      <c r="AB56" s="231"/>
      <c r="AC56" s="231"/>
      <c r="AD56" s="231"/>
      <c r="AE56" s="231"/>
      <c r="AF56" s="231"/>
      <c r="AG56" s="231"/>
      <c r="AH56" s="231"/>
      <c r="AI56" s="231"/>
      <c r="AJ56" s="231"/>
      <c r="AK56" s="231"/>
      <c r="AL56" s="231"/>
      <c r="AM56" s="231"/>
      <c r="AN56" s="231"/>
      <c r="AO56" s="231"/>
      <c r="AP56" s="231"/>
      <c r="AQ56" s="231"/>
    </row>
    <row r="57" spans="1:43" s="213" customFormat="1" ht="18" customHeight="1" outlineLevel="1" x14ac:dyDescent="0.15">
      <c r="A57" s="216" t="s">
        <v>302</v>
      </c>
      <c r="B57" s="633">
        <f>规划指标!F11</f>
        <v>0</v>
      </c>
      <c r="C57" s="217">
        <f>SUM(D57:AQ57)</f>
        <v>0</v>
      </c>
      <c r="D57" s="201">
        <f>ROUND(D60*D58/10000,0)</f>
        <v>0</v>
      </c>
      <c r="E57" s="201">
        <f t="shared" ref="E57:AQ57" si="15">ROUND(E60*E58/10000,0)</f>
        <v>0</v>
      </c>
      <c r="F57" s="201">
        <f t="shared" si="15"/>
        <v>0</v>
      </c>
      <c r="G57" s="201">
        <f t="shared" si="15"/>
        <v>0</v>
      </c>
      <c r="H57" s="201">
        <f t="shared" si="15"/>
        <v>0</v>
      </c>
      <c r="I57" s="201">
        <f t="shared" si="15"/>
        <v>0</v>
      </c>
      <c r="J57" s="201">
        <f t="shared" si="15"/>
        <v>0</v>
      </c>
      <c r="K57" s="201">
        <f t="shared" si="15"/>
        <v>0</v>
      </c>
      <c r="L57" s="201">
        <f t="shared" si="15"/>
        <v>0</v>
      </c>
      <c r="M57" s="201">
        <f t="shared" si="15"/>
        <v>0</v>
      </c>
      <c r="N57" s="201">
        <f t="shared" si="15"/>
        <v>0</v>
      </c>
      <c r="O57" s="201">
        <f t="shared" si="15"/>
        <v>0</v>
      </c>
      <c r="P57" s="201">
        <f t="shared" si="15"/>
        <v>0</v>
      </c>
      <c r="Q57" s="201">
        <f t="shared" si="15"/>
        <v>0</v>
      </c>
      <c r="R57" s="201">
        <f t="shared" si="15"/>
        <v>0</v>
      </c>
      <c r="S57" s="201">
        <f t="shared" si="15"/>
        <v>0</v>
      </c>
      <c r="T57" s="201">
        <f t="shared" si="15"/>
        <v>0</v>
      </c>
      <c r="U57" s="201">
        <f t="shared" si="15"/>
        <v>0</v>
      </c>
      <c r="V57" s="201">
        <f t="shared" si="15"/>
        <v>0</v>
      </c>
      <c r="W57" s="201">
        <f t="shared" si="15"/>
        <v>0</v>
      </c>
      <c r="X57" s="201">
        <f t="shared" si="15"/>
        <v>0</v>
      </c>
      <c r="Y57" s="201">
        <f t="shared" si="15"/>
        <v>0</v>
      </c>
      <c r="Z57" s="201">
        <f t="shared" si="15"/>
        <v>0</v>
      </c>
      <c r="AA57" s="201">
        <f t="shared" si="15"/>
        <v>0</v>
      </c>
      <c r="AB57" s="201">
        <f t="shared" si="15"/>
        <v>0</v>
      </c>
      <c r="AC57" s="201">
        <f t="shared" si="15"/>
        <v>0</v>
      </c>
      <c r="AD57" s="201">
        <f t="shared" si="15"/>
        <v>0</v>
      </c>
      <c r="AE57" s="201">
        <f t="shared" si="15"/>
        <v>0</v>
      </c>
      <c r="AF57" s="201">
        <f t="shared" si="15"/>
        <v>0</v>
      </c>
      <c r="AG57" s="201">
        <f t="shared" si="15"/>
        <v>0</v>
      </c>
      <c r="AH57" s="201">
        <f t="shared" si="15"/>
        <v>0</v>
      </c>
      <c r="AI57" s="201">
        <f t="shared" si="15"/>
        <v>0</v>
      </c>
      <c r="AJ57" s="201">
        <f t="shared" si="15"/>
        <v>0</v>
      </c>
      <c r="AK57" s="201">
        <f t="shared" si="15"/>
        <v>0</v>
      </c>
      <c r="AL57" s="201">
        <f t="shared" si="15"/>
        <v>0</v>
      </c>
      <c r="AM57" s="201">
        <f t="shared" si="15"/>
        <v>0</v>
      </c>
      <c r="AN57" s="201">
        <f t="shared" si="15"/>
        <v>0</v>
      </c>
      <c r="AO57" s="201">
        <f t="shared" si="15"/>
        <v>0</v>
      </c>
      <c r="AP57" s="201">
        <f t="shared" si="15"/>
        <v>0</v>
      </c>
      <c r="AQ57" s="201">
        <f t="shared" si="15"/>
        <v>0</v>
      </c>
    </row>
    <row r="58" spans="1:43" s="213" customFormat="1" ht="18" customHeight="1" outlineLevel="2" x14ac:dyDescent="0.15">
      <c r="A58" s="216"/>
      <c r="B58" s="224" t="str">
        <f>$B$9</f>
        <v>销售数量</v>
      </c>
      <c r="C58" s="217">
        <f>SUM(D58:AQ58)</f>
        <v>0</v>
      </c>
      <c r="D58" s="201">
        <f>D61*规划指标!$G$11</f>
        <v>0</v>
      </c>
      <c r="E58" s="201">
        <f>E61*规划指标!$G$11</f>
        <v>0</v>
      </c>
      <c r="F58" s="201">
        <f>F61*规划指标!$G$11</f>
        <v>0</v>
      </c>
      <c r="G58" s="201">
        <f>G61*规划指标!$G$11</f>
        <v>0</v>
      </c>
      <c r="H58" s="201">
        <f>H61*规划指标!$G$11</f>
        <v>0</v>
      </c>
      <c r="I58" s="201">
        <f>I61*规划指标!$G$11</f>
        <v>0</v>
      </c>
      <c r="J58" s="201">
        <f>J61*规划指标!$G$11</f>
        <v>0</v>
      </c>
      <c r="K58" s="201">
        <f>K61*规划指标!$G$11</f>
        <v>0</v>
      </c>
      <c r="L58" s="201">
        <f>L61*规划指标!$G$11</f>
        <v>0</v>
      </c>
      <c r="M58" s="201">
        <f>M61*规划指标!$G$11</f>
        <v>0</v>
      </c>
      <c r="N58" s="201">
        <f>N61*规划指标!$G$11</f>
        <v>0</v>
      </c>
      <c r="O58" s="201">
        <f>O61*规划指标!$G$11</f>
        <v>0</v>
      </c>
      <c r="P58" s="201">
        <f>P61*规划指标!$G$11</f>
        <v>0</v>
      </c>
      <c r="Q58" s="201">
        <f>Q61*规划指标!$G$11</f>
        <v>0</v>
      </c>
      <c r="R58" s="201">
        <f>R61*规划指标!$G$11</f>
        <v>0</v>
      </c>
      <c r="S58" s="201">
        <f>S61*规划指标!$G$11</f>
        <v>0</v>
      </c>
      <c r="T58" s="201">
        <f>T61*规划指标!$G$11</f>
        <v>0</v>
      </c>
      <c r="U58" s="201">
        <f>U61*规划指标!$G$11</f>
        <v>0</v>
      </c>
      <c r="V58" s="201">
        <f>V61*规划指标!$G$11</f>
        <v>0</v>
      </c>
      <c r="W58" s="201">
        <f>W61*规划指标!$G$11</f>
        <v>0</v>
      </c>
      <c r="X58" s="201">
        <f>X61*规划指标!$G$11</f>
        <v>0</v>
      </c>
      <c r="Y58" s="201">
        <f>Y61*规划指标!$G$11</f>
        <v>0</v>
      </c>
      <c r="Z58" s="201">
        <f>Z61*规划指标!$G$11</f>
        <v>0</v>
      </c>
      <c r="AA58" s="201">
        <f>AA61*规划指标!$G$11</f>
        <v>0</v>
      </c>
      <c r="AB58" s="201">
        <f>AB61*规划指标!$G$11</f>
        <v>0</v>
      </c>
      <c r="AC58" s="201">
        <f>AC61*规划指标!$G$11</f>
        <v>0</v>
      </c>
      <c r="AD58" s="201">
        <f>AD61*规划指标!$G$11</f>
        <v>0</v>
      </c>
      <c r="AE58" s="201">
        <f>AE61*规划指标!$G$11</f>
        <v>0</v>
      </c>
      <c r="AF58" s="201">
        <f>AF61*规划指标!$G$11</f>
        <v>0</v>
      </c>
      <c r="AG58" s="201">
        <f>AG61*规划指标!$G$11</f>
        <v>0</v>
      </c>
      <c r="AH58" s="201">
        <f>AH61*规划指标!$G$11</f>
        <v>0</v>
      </c>
      <c r="AI58" s="201">
        <f>AI61*规划指标!$G$11</f>
        <v>0</v>
      </c>
      <c r="AJ58" s="201">
        <f>AJ61*规划指标!$G$11</f>
        <v>0</v>
      </c>
      <c r="AK58" s="201">
        <f>AK61*规划指标!$G$11</f>
        <v>0</v>
      </c>
      <c r="AL58" s="201">
        <f>AL61*规划指标!$G$11</f>
        <v>0</v>
      </c>
      <c r="AM58" s="201">
        <f>AM61*规划指标!$G$11</f>
        <v>0</v>
      </c>
      <c r="AN58" s="201">
        <f>AN61*规划指标!$G$11</f>
        <v>0</v>
      </c>
      <c r="AO58" s="201">
        <f>AO61*规划指标!$G$11</f>
        <v>0</v>
      </c>
      <c r="AP58" s="201">
        <f>AP61*规划指标!$G$11</f>
        <v>0</v>
      </c>
      <c r="AQ58" s="201">
        <f>AQ61*规划指标!$G$11</f>
        <v>0</v>
      </c>
    </row>
    <row r="59" spans="1:43" s="213" customFormat="1" ht="18" customHeight="1" outlineLevel="2" x14ac:dyDescent="0.15">
      <c r="A59" s="216"/>
      <c r="B59" s="224" t="str">
        <f>B52</f>
        <v>销售套数</v>
      </c>
      <c r="C59" s="217" t="e">
        <f>SUM(D59:AQ59)</f>
        <v>#DIV/0!</v>
      </c>
      <c r="D59" s="201" t="e">
        <f>D58/规划指标!$G$11*规划指标!$I$11</f>
        <v>#DIV/0!</v>
      </c>
      <c r="E59" s="201" t="e">
        <f>E58/规划指标!$G$11*规划指标!$I$11</f>
        <v>#DIV/0!</v>
      </c>
      <c r="F59" s="201" t="e">
        <f>F58/规划指标!$G$11*规划指标!$I$11</f>
        <v>#DIV/0!</v>
      </c>
      <c r="G59" s="201" t="e">
        <f>G58/规划指标!$G$11*规划指标!$I$11</f>
        <v>#DIV/0!</v>
      </c>
      <c r="H59" s="201" t="e">
        <f>H58/规划指标!$G$11*规划指标!$I$11</f>
        <v>#DIV/0!</v>
      </c>
      <c r="I59" s="201" t="e">
        <f>I58/规划指标!$G$11*规划指标!$I$11</f>
        <v>#DIV/0!</v>
      </c>
      <c r="J59" s="201" t="e">
        <f>J58/规划指标!$G$11*规划指标!$I$11</f>
        <v>#DIV/0!</v>
      </c>
      <c r="K59" s="201" t="e">
        <f>K58/规划指标!$G$11*规划指标!$I$11</f>
        <v>#DIV/0!</v>
      </c>
      <c r="L59" s="201" t="e">
        <f>L58/规划指标!$G$11*规划指标!$I$11</f>
        <v>#DIV/0!</v>
      </c>
      <c r="M59" s="201" t="e">
        <f>M58/规划指标!$G$11*规划指标!$I$11</f>
        <v>#DIV/0!</v>
      </c>
      <c r="N59" s="201" t="e">
        <f>N58/规划指标!$G$11*规划指标!$I$11</f>
        <v>#DIV/0!</v>
      </c>
      <c r="O59" s="201" t="e">
        <f>O58/规划指标!$G$11*规划指标!$I$11</f>
        <v>#DIV/0!</v>
      </c>
      <c r="P59" s="201" t="e">
        <f>P58/规划指标!$G$11*规划指标!$I$11</f>
        <v>#DIV/0!</v>
      </c>
      <c r="Q59" s="201" t="e">
        <f>Q58/规划指标!$G$11*规划指标!$I$11</f>
        <v>#DIV/0!</v>
      </c>
      <c r="R59" s="201" t="e">
        <f>R58/规划指标!$G$11*规划指标!$I$11</f>
        <v>#DIV/0!</v>
      </c>
      <c r="S59" s="201" t="e">
        <f>S58/规划指标!$G$11*规划指标!$I$11</f>
        <v>#DIV/0!</v>
      </c>
      <c r="T59" s="201" t="e">
        <f>T58/规划指标!$G$11*规划指标!$I$11</f>
        <v>#DIV/0!</v>
      </c>
      <c r="U59" s="201" t="e">
        <f>U58/规划指标!$G$11*规划指标!$I$11</f>
        <v>#DIV/0!</v>
      </c>
      <c r="V59" s="201" t="e">
        <f>V58/规划指标!$G$11*规划指标!$I$11</f>
        <v>#DIV/0!</v>
      </c>
      <c r="W59" s="201" t="e">
        <f>W58/规划指标!$G$11*规划指标!$I$11</f>
        <v>#DIV/0!</v>
      </c>
      <c r="X59" s="201" t="e">
        <f>X58/规划指标!$G$11*规划指标!$I$11</f>
        <v>#DIV/0!</v>
      </c>
      <c r="Y59" s="201" t="e">
        <f>Y58/规划指标!$G$11*规划指标!$I$11</f>
        <v>#DIV/0!</v>
      </c>
      <c r="Z59" s="201" t="e">
        <f>Z58/规划指标!$G$11*规划指标!$I$11</f>
        <v>#DIV/0!</v>
      </c>
      <c r="AA59" s="201" t="e">
        <f>AA58/规划指标!$G$11*规划指标!$I$11</f>
        <v>#DIV/0!</v>
      </c>
      <c r="AB59" s="201" t="e">
        <f>AB58/规划指标!$G$11*规划指标!$I$11</f>
        <v>#DIV/0!</v>
      </c>
      <c r="AC59" s="201" t="e">
        <f>AC58/规划指标!$G$11*规划指标!$I$11</f>
        <v>#DIV/0!</v>
      </c>
      <c r="AD59" s="201" t="e">
        <f>AD58/规划指标!$G$11*规划指标!$I$11</f>
        <v>#DIV/0!</v>
      </c>
      <c r="AE59" s="201" t="e">
        <f>AE58/规划指标!$G$11*规划指标!$I$11</f>
        <v>#DIV/0!</v>
      </c>
      <c r="AF59" s="201" t="e">
        <f>AF58/规划指标!$G$11*规划指标!$I$11</f>
        <v>#DIV/0!</v>
      </c>
      <c r="AG59" s="201" t="e">
        <f>AG58/规划指标!$G$11*规划指标!$I$11</f>
        <v>#DIV/0!</v>
      </c>
      <c r="AH59" s="201" t="e">
        <f>AH58/规划指标!$G$11*规划指标!$I$11</f>
        <v>#DIV/0!</v>
      </c>
      <c r="AI59" s="201" t="e">
        <f>AI58/规划指标!$G$11*规划指标!$I$11</f>
        <v>#DIV/0!</v>
      </c>
      <c r="AJ59" s="201" t="e">
        <f>AJ58/规划指标!$G$11*规划指标!$I$11</f>
        <v>#DIV/0!</v>
      </c>
      <c r="AK59" s="201" t="e">
        <f>AK58/规划指标!$G$11*规划指标!$I$11</f>
        <v>#DIV/0!</v>
      </c>
      <c r="AL59" s="201" t="e">
        <f>AL58/规划指标!$G$11*规划指标!$I$11</f>
        <v>#DIV/0!</v>
      </c>
      <c r="AM59" s="201" t="e">
        <f>AM58/规划指标!$G$11*规划指标!$I$11</f>
        <v>#DIV/0!</v>
      </c>
      <c r="AN59" s="201" t="e">
        <f>AN58/规划指标!$G$11*规划指标!$I$11</f>
        <v>#DIV/0!</v>
      </c>
      <c r="AO59" s="201" t="e">
        <f>AO58/规划指标!$G$11*规划指标!$I$11</f>
        <v>#DIV/0!</v>
      </c>
      <c r="AP59" s="201" t="e">
        <f>AP58/规划指标!$G$11*规划指标!$I$11</f>
        <v>#DIV/0!</v>
      </c>
      <c r="AQ59" s="201" t="e">
        <f>AQ58/规划指标!$G$11*规划指标!$I$11</f>
        <v>#DIV/0!</v>
      </c>
    </row>
    <row r="60" spans="1:43" s="213" customFormat="1" ht="18" customHeight="1" outlineLevel="2" x14ac:dyDescent="0.15">
      <c r="A60" s="216"/>
      <c r="B60" s="224" t="str">
        <f>$B$11</f>
        <v>销售均价</v>
      </c>
      <c r="C60" s="225" t="e">
        <f>ROUND(C57/C58*10000,0)</f>
        <v>#DIV/0!</v>
      </c>
      <c r="D60" s="226">
        <f>ROUND(C62*D160,0)</f>
        <v>0</v>
      </c>
      <c r="E60" s="226">
        <f>D60</f>
        <v>0</v>
      </c>
      <c r="F60" s="226">
        <f t="shared" ref="F60:AQ60" si="16">E60</f>
        <v>0</v>
      </c>
      <c r="G60" s="226">
        <f t="shared" si="16"/>
        <v>0</v>
      </c>
      <c r="H60" s="226">
        <f t="shared" si="16"/>
        <v>0</v>
      </c>
      <c r="I60" s="226">
        <f t="shared" si="16"/>
        <v>0</v>
      </c>
      <c r="J60" s="226">
        <f t="shared" si="16"/>
        <v>0</v>
      </c>
      <c r="K60" s="226">
        <f t="shared" si="16"/>
        <v>0</v>
      </c>
      <c r="L60" s="226">
        <f t="shared" si="16"/>
        <v>0</v>
      </c>
      <c r="M60" s="226">
        <f t="shared" si="16"/>
        <v>0</v>
      </c>
      <c r="N60" s="226">
        <f t="shared" si="16"/>
        <v>0</v>
      </c>
      <c r="O60" s="226">
        <f t="shared" si="16"/>
        <v>0</v>
      </c>
      <c r="P60" s="226">
        <f t="shared" si="16"/>
        <v>0</v>
      </c>
      <c r="Q60" s="226">
        <f t="shared" si="16"/>
        <v>0</v>
      </c>
      <c r="R60" s="226">
        <f t="shared" si="16"/>
        <v>0</v>
      </c>
      <c r="S60" s="226">
        <f t="shared" si="16"/>
        <v>0</v>
      </c>
      <c r="T60" s="226">
        <f t="shared" si="16"/>
        <v>0</v>
      </c>
      <c r="U60" s="226">
        <f t="shared" si="16"/>
        <v>0</v>
      </c>
      <c r="V60" s="226">
        <f t="shared" si="16"/>
        <v>0</v>
      </c>
      <c r="W60" s="226">
        <f t="shared" si="16"/>
        <v>0</v>
      </c>
      <c r="X60" s="226">
        <f t="shared" si="16"/>
        <v>0</v>
      </c>
      <c r="Y60" s="226">
        <f t="shared" si="16"/>
        <v>0</v>
      </c>
      <c r="Z60" s="226">
        <f t="shared" si="16"/>
        <v>0</v>
      </c>
      <c r="AA60" s="226">
        <f t="shared" si="16"/>
        <v>0</v>
      </c>
      <c r="AB60" s="226">
        <f t="shared" si="16"/>
        <v>0</v>
      </c>
      <c r="AC60" s="226">
        <f t="shared" si="16"/>
        <v>0</v>
      </c>
      <c r="AD60" s="226">
        <f t="shared" si="16"/>
        <v>0</v>
      </c>
      <c r="AE60" s="226">
        <f t="shared" si="16"/>
        <v>0</v>
      </c>
      <c r="AF60" s="226">
        <f t="shared" si="16"/>
        <v>0</v>
      </c>
      <c r="AG60" s="226">
        <f t="shared" si="16"/>
        <v>0</v>
      </c>
      <c r="AH60" s="226">
        <f t="shared" si="16"/>
        <v>0</v>
      </c>
      <c r="AI60" s="226">
        <f t="shared" si="16"/>
        <v>0</v>
      </c>
      <c r="AJ60" s="226">
        <f t="shared" si="16"/>
        <v>0</v>
      </c>
      <c r="AK60" s="226">
        <f t="shared" si="16"/>
        <v>0</v>
      </c>
      <c r="AL60" s="226">
        <f t="shared" si="16"/>
        <v>0</v>
      </c>
      <c r="AM60" s="226">
        <f t="shared" si="16"/>
        <v>0</v>
      </c>
      <c r="AN60" s="226">
        <f>W60</f>
        <v>0</v>
      </c>
      <c r="AO60" s="226">
        <f t="shared" si="16"/>
        <v>0</v>
      </c>
      <c r="AP60" s="226">
        <f t="shared" si="16"/>
        <v>0</v>
      </c>
      <c r="AQ60" s="226">
        <f t="shared" si="16"/>
        <v>0</v>
      </c>
    </row>
    <row r="61" spans="1:43" s="229" customFormat="1" ht="18" customHeight="1" outlineLevel="2" x14ac:dyDescent="0.15">
      <c r="A61" s="227"/>
      <c r="B61" s="224" t="str">
        <f>$B$12</f>
        <v>销售率</v>
      </c>
      <c r="C61" s="228">
        <f>SUM(D61:AQ61)</f>
        <v>0</v>
      </c>
      <c r="D61" s="234"/>
      <c r="E61" s="234"/>
      <c r="F61" s="234"/>
      <c r="G61" s="234"/>
      <c r="H61" s="234"/>
      <c r="I61" s="234"/>
      <c r="J61" s="234"/>
      <c r="K61" s="234"/>
      <c r="L61" s="234"/>
      <c r="M61" s="234"/>
      <c r="N61" s="234"/>
      <c r="O61" s="234"/>
      <c r="P61" s="234"/>
      <c r="Q61" s="234"/>
      <c r="R61" s="234"/>
      <c r="S61" s="234"/>
      <c r="T61" s="234"/>
      <c r="U61" s="234"/>
      <c r="V61" s="234"/>
      <c r="W61" s="234"/>
      <c r="X61" s="234"/>
      <c r="Y61" s="234"/>
      <c r="Z61" s="234"/>
      <c r="AA61" s="234"/>
      <c r="AB61" s="234"/>
      <c r="AC61" s="234"/>
      <c r="AD61" s="234"/>
      <c r="AE61" s="234"/>
      <c r="AF61" s="234"/>
      <c r="AG61" s="234"/>
      <c r="AH61" s="234"/>
      <c r="AI61" s="234"/>
      <c r="AJ61" s="234"/>
      <c r="AK61" s="234"/>
      <c r="AL61" s="234"/>
      <c r="AM61" s="234"/>
      <c r="AN61" s="234"/>
      <c r="AO61" s="234"/>
      <c r="AP61" s="234"/>
      <c r="AQ61" s="234"/>
    </row>
    <row r="62" spans="1:43" s="229" customFormat="1" ht="18" customHeight="1" outlineLevel="2" x14ac:dyDescent="0.15">
      <c r="A62" s="227"/>
      <c r="B62" s="224" t="s">
        <v>577</v>
      </c>
      <c r="C62" s="234"/>
      <c r="D62" s="228"/>
      <c r="E62" s="228"/>
      <c r="F62" s="228"/>
      <c r="G62" s="228"/>
      <c r="H62" s="228"/>
      <c r="I62" s="228"/>
      <c r="J62" s="228"/>
      <c r="K62" s="228"/>
      <c r="L62" s="228"/>
      <c r="M62" s="228"/>
      <c r="N62" s="228"/>
      <c r="O62" s="228"/>
      <c r="P62" s="228"/>
      <c r="Q62" s="228"/>
      <c r="R62" s="228"/>
      <c r="S62" s="228"/>
      <c r="T62" s="228"/>
      <c r="U62" s="228"/>
      <c r="V62" s="228"/>
      <c r="W62" s="228"/>
      <c r="X62" s="228"/>
      <c r="Y62" s="228"/>
      <c r="Z62" s="228"/>
      <c r="AA62" s="228"/>
      <c r="AB62" s="228"/>
      <c r="AC62" s="228"/>
      <c r="AD62" s="228"/>
      <c r="AE62" s="228"/>
      <c r="AF62" s="228"/>
      <c r="AG62" s="228"/>
      <c r="AH62" s="228"/>
      <c r="AI62" s="228"/>
      <c r="AJ62" s="228"/>
      <c r="AK62" s="228"/>
      <c r="AL62" s="228"/>
      <c r="AM62" s="228"/>
      <c r="AN62" s="228"/>
      <c r="AO62" s="228"/>
      <c r="AP62" s="228"/>
      <c r="AQ62" s="228"/>
    </row>
    <row r="63" spans="1:43" s="213" customFormat="1" ht="18" customHeight="1" outlineLevel="2" x14ac:dyDescent="0.15">
      <c r="A63" s="216"/>
      <c r="B63" s="634"/>
      <c r="C63" s="228"/>
      <c r="D63" s="231"/>
      <c r="E63" s="231"/>
      <c r="F63" s="231"/>
      <c r="G63" s="231"/>
      <c r="H63" s="231"/>
      <c r="I63" s="231"/>
      <c r="J63" s="231"/>
      <c r="K63" s="231"/>
      <c r="L63" s="231"/>
      <c r="M63" s="231"/>
      <c r="N63" s="231"/>
      <c r="O63" s="231"/>
      <c r="P63" s="231"/>
      <c r="Q63" s="231"/>
      <c r="R63" s="231"/>
      <c r="S63" s="231"/>
      <c r="T63" s="231"/>
      <c r="U63" s="231"/>
      <c r="V63" s="231"/>
      <c r="W63" s="231"/>
      <c r="X63" s="231"/>
      <c r="Y63" s="231"/>
      <c r="Z63" s="231"/>
      <c r="AA63" s="231"/>
      <c r="AB63" s="231"/>
      <c r="AC63" s="231"/>
      <c r="AD63" s="231"/>
      <c r="AE63" s="231"/>
      <c r="AF63" s="231"/>
      <c r="AG63" s="231"/>
      <c r="AH63" s="231"/>
      <c r="AI63" s="231"/>
      <c r="AJ63" s="231"/>
      <c r="AK63" s="231"/>
      <c r="AL63" s="231"/>
      <c r="AM63" s="231"/>
      <c r="AN63" s="231"/>
      <c r="AO63" s="231"/>
      <c r="AP63" s="231"/>
      <c r="AQ63" s="231"/>
    </row>
    <row r="64" spans="1:43" s="213" customFormat="1" ht="18" customHeight="1" outlineLevel="1" x14ac:dyDescent="0.15">
      <c r="A64" s="216" t="s">
        <v>303</v>
      </c>
      <c r="B64" s="633">
        <f>规划指标!F12</f>
        <v>0</v>
      </c>
      <c r="C64" s="217">
        <f>SUM(D64:AQ64)</f>
        <v>0</v>
      </c>
      <c r="D64" s="201">
        <f>ROUND(D67*D65/10000,0)</f>
        <v>0</v>
      </c>
      <c r="E64" s="201">
        <f t="shared" ref="E64:AQ64" si="17">ROUND(E67*E65/10000,0)</f>
        <v>0</v>
      </c>
      <c r="F64" s="201">
        <f t="shared" si="17"/>
        <v>0</v>
      </c>
      <c r="G64" s="201">
        <f t="shared" si="17"/>
        <v>0</v>
      </c>
      <c r="H64" s="201">
        <f t="shared" si="17"/>
        <v>0</v>
      </c>
      <c r="I64" s="201">
        <f t="shared" si="17"/>
        <v>0</v>
      </c>
      <c r="J64" s="201">
        <f t="shared" si="17"/>
        <v>0</v>
      </c>
      <c r="K64" s="201">
        <f t="shared" si="17"/>
        <v>0</v>
      </c>
      <c r="L64" s="201">
        <f t="shared" si="17"/>
        <v>0</v>
      </c>
      <c r="M64" s="201">
        <f t="shared" si="17"/>
        <v>0</v>
      </c>
      <c r="N64" s="201">
        <f t="shared" si="17"/>
        <v>0</v>
      </c>
      <c r="O64" s="201">
        <f t="shared" si="17"/>
        <v>0</v>
      </c>
      <c r="P64" s="201">
        <f t="shared" si="17"/>
        <v>0</v>
      </c>
      <c r="Q64" s="201">
        <f t="shared" si="17"/>
        <v>0</v>
      </c>
      <c r="R64" s="201">
        <f t="shared" si="17"/>
        <v>0</v>
      </c>
      <c r="S64" s="201">
        <f t="shared" si="17"/>
        <v>0</v>
      </c>
      <c r="T64" s="201">
        <f t="shared" si="17"/>
        <v>0</v>
      </c>
      <c r="U64" s="201">
        <f t="shared" si="17"/>
        <v>0</v>
      </c>
      <c r="V64" s="201">
        <f t="shared" si="17"/>
        <v>0</v>
      </c>
      <c r="W64" s="201">
        <f t="shared" si="17"/>
        <v>0</v>
      </c>
      <c r="X64" s="201">
        <f t="shared" si="17"/>
        <v>0</v>
      </c>
      <c r="Y64" s="201">
        <f t="shared" si="17"/>
        <v>0</v>
      </c>
      <c r="Z64" s="201">
        <f t="shared" si="17"/>
        <v>0</v>
      </c>
      <c r="AA64" s="201">
        <f t="shared" si="17"/>
        <v>0</v>
      </c>
      <c r="AB64" s="201">
        <f t="shared" si="17"/>
        <v>0</v>
      </c>
      <c r="AC64" s="201">
        <f t="shared" si="17"/>
        <v>0</v>
      </c>
      <c r="AD64" s="201">
        <f t="shared" si="17"/>
        <v>0</v>
      </c>
      <c r="AE64" s="201">
        <f t="shared" si="17"/>
        <v>0</v>
      </c>
      <c r="AF64" s="201">
        <f t="shared" si="17"/>
        <v>0</v>
      </c>
      <c r="AG64" s="201">
        <f t="shared" si="17"/>
        <v>0</v>
      </c>
      <c r="AH64" s="201">
        <f t="shared" si="17"/>
        <v>0</v>
      </c>
      <c r="AI64" s="201">
        <f t="shared" si="17"/>
        <v>0</v>
      </c>
      <c r="AJ64" s="201">
        <f t="shared" si="17"/>
        <v>0</v>
      </c>
      <c r="AK64" s="201">
        <f t="shared" si="17"/>
        <v>0</v>
      </c>
      <c r="AL64" s="201">
        <f t="shared" si="17"/>
        <v>0</v>
      </c>
      <c r="AM64" s="201">
        <f t="shared" si="17"/>
        <v>0</v>
      </c>
      <c r="AN64" s="201">
        <f t="shared" si="17"/>
        <v>0</v>
      </c>
      <c r="AO64" s="201">
        <f t="shared" si="17"/>
        <v>0</v>
      </c>
      <c r="AP64" s="201">
        <f t="shared" si="17"/>
        <v>0</v>
      </c>
      <c r="AQ64" s="201">
        <f t="shared" si="17"/>
        <v>0</v>
      </c>
    </row>
    <row r="65" spans="1:46" s="213" customFormat="1" ht="18" customHeight="1" outlineLevel="2" x14ac:dyDescent="0.15">
      <c r="A65" s="216"/>
      <c r="B65" s="224" t="str">
        <f>$B$9</f>
        <v>销售数量</v>
      </c>
      <c r="C65" s="217">
        <f>SUM(D65:AQ65)</f>
        <v>0</v>
      </c>
      <c r="D65" s="201">
        <f>D68*规划指标!$G$12</f>
        <v>0</v>
      </c>
      <c r="E65" s="201">
        <f>E68*规划指标!$G$12</f>
        <v>0</v>
      </c>
      <c r="F65" s="201">
        <f>F68*规划指标!$G$12</f>
        <v>0</v>
      </c>
      <c r="G65" s="201">
        <f>G68*规划指标!$G$12</f>
        <v>0</v>
      </c>
      <c r="H65" s="201">
        <f>H68*规划指标!$G$12</f>
        <v>0</v>
      </c>
      <c r="I65" s="201">
        <f>I68*规划指标!$G$12</f>
        <v>0</v>
      </c>
      <c r="J65" s="201">
        <f>J68*规划指标!$G$12</f>
        <v>0</v>
      </c>
      <c r="K65" s="201">
        <f>K68*规划指标!$G$12</f>
        <v>0</v>
      </c>
      <c r="L65" s="201">
        <f>L68*规划指标!$G$12</f>
        <v>0</v>
      </c>
      <c r="M65" s="201">
        <f>M68*规划指标!$G$12</f>
        <v>0</v>
      </c>
      <c r="N65" s="201">
        <f>N68*规划指标!$G$12</f>
        <v>0</v>
      </c>
      <c r="O65" s="201">
        <f>O68*规划指标!$G$12</f>
        <v>0</v>
      </c>
      <c r="P65" s="201">
        <f>P68*规划指标!$G$12</f>
        <v>0</v>
      </c>
      <c r="Q65" s="201">
        <f>Q68*规划指标!$G$12</f>
        <v>0</v>
      </c>
      <c r="R65" s="201">
        <f>R68*规划指标!$G$12</f>
        <v>0</v>
      </c>
      <c r="S65" s="201">
        <f>S68*规划指标!$G$12</f>
        <v>0</v>
      </c>
      <c r="T65" s="201">
        <f>T68*规划指标!$G$12</f>
        <v>0</v>
      </c>
      <c r="U65" s="201">
        <f>U68*规划指标!$G$12</f>
        <v>0</v>
      </c>
      <c r="V65" s="201">
        <f>V68*规划指标!$G$12</f>
        <v>0</v>
      </c>
      <c r="W65" s="201">
        <f>W68*规划指标!$G$12</f>
        <v>0</v>
      </c>
      <c r="X65" s="201">
        <f>X68*规划指标!$G$12</f>
        <v>0</v>
      </c>
      <c r="Y65" s="201">
        <f>Y68*规划指标!$G$12</f>
        <v>0</v>
      </c>
      <c r="Z65" s="201">
        <f>Z68*规划指标!$G$12</f>
        <v>0</v>
      </c>
      <c r="AA65" s="201">
        <f>AA68*规划指标!$G$12</f>
        <v>0</v>
      </c>
      <c r="AB65" s="201">
        <f>AB68*规划指标!$G$12</f>
        <v>0</v>
      </c>
      <c r="AC65" s="201">
        <f>AC68*规划指标!$G$12</f>
        <v>0</v>
      </c>
      <c r="AD65" s="201">
        <f>AD68*规划指标!$G$12</f>
        <v>0</v>
      </c>
      <c r="AE65" s="201">
        <f>AE68*规划指标!$G$12</f>
        <v>0</v>
      </c>
      <c r="AF65" s="201">
        <f>AF68*规划指标!$G$12</f>
        <v>0</v>
      </c>
      <c r="AG65" s="201">
        <f>AG68*规划指标!$G$12</f>
        <v>0</v>
      </c>
      <c r="AH65" s="201">
        <f>AH68*规划指标!$G$12</f>
        <v>0</v>
      </c>
      <c r="AI65" s="201">
        <f>AI68*规划指标!$G$12</f>
        <v>0</v>
      </c>
      <c r="AJ65" s="201">
        <f>AJ68*规划指标!$G$12</f>
        <v>0</v>
      </c>
      <c r="AK65" s="201">
        <f>AK68*规划指标!$G$12</f>
        <v>0</v>
      </c>
      <c r="AL65" s="201">
        <f>AL68*规划指标!$G$12</f>
        <v>0</v>
      </c>
      <c r="AM65" s="201">
        <f>AM68*规划指标!$G$12</f>
        <v>0</v>
      </c>
      <c r="AN65" s="201">
        <f>AN68*规划指标!$G$12</f>
        <v>0</v>
      </c>
      <c r="AO65" s="201">
        <f>AO68*规划指标!$G$12</f>
        <v>0</v>
      </c>
      <c r="AP65" s="201">
        <f>AP68*规划指标!$G$12</f>
        <v>0</v>
      </c>
      <c r="AQ65" s="201">
        <f>AQ68*规划指标!$G$12</f>
        <v>0</v>
      </c>
    </row>
    <row r="66" spans="1:46" s="213" customFormat="1" ht="18" customHeight="1" outlineLevel="2" x14ac:dyDescent="0.15">
      <c r="A66" s="216"/>
      <c r="B66" s="224" t="str">
        <f>B59</f>
        <v>销售套数</v>
      </c>
      <c r="C66" s="217" t="e">
        <f>SUM(D66:AQ66)</f>
        <v>#DIV/0!</v>
      </c>
      <c r="D66" s="245" t="e">
        <f>D65/规划指标!$G$12*规划指标!$I$12</f>
        <v>#DIV/0!</v>
      </c>
      <c r="E66" s="245" t="e">
        <f>E65/规划指标!$G$12*规划指标!$I$12</f>
        <v>#DIV/0!</v>
      </c>
      <c r="F66" s="245" t="e">
        <f>F65/规划指标!$G$12*规划指标!$I$12</f>
        <v>#DIV/0!</v>
      </c>
      <c r="G66" s="245" t="e">
        <f>G65/规划指标!$G$12*规划指标!$I$12</f>
        <v>#DIV/0!</v>
      </c>
      <c r="H66" s="245" t="e">
        <f>H65/规划指标!$G$12*规划指标!$I$12</f>
        <v>#DIV/0!</v>
      </c>
      <c r="I66" s="245" t="e">
        <f>I65/规划指标!$G$12*规划指标!$I$12</f>
        <v>#DIV/0!</v>
      </c>
      <c r="J66" s="245" t="e">
        <f>J65/规划指标!$G$12*规划指标!$I$12</f>
        <v>#DIV/0!</v>
      </c>
      <c r="K66" s="245" t="e">
        <f>K65/规划指标!$G$12*规划指标!$I$12</f>
        <v>#DIV/0!</v>
      </c>
      <c r="L66" s="245" t="e">
        <f>L65/规划指标!$G$12*规划指标!$I$12</f>
        <v>#DIV/0!</v>
      </c>
      <c r="M66" s="245" t="e">
        <f>M65/规划指标!$G$12*规划指标!$I$12</f>
        <v>#DIV/0!</v>
      </c>
      <c r="N66" s="245" t="e">
        <f>N65/规划指标!$G$12*规划指标!$I$12</f>
        <v>#DIV/0!</v>
      </c>
      <c r="O66" s="245" t="e">
        <f>O65/规划指标!$G$12*规划指标!$I$12</f>
        <v>#DIV/0!</v>
      </c>
      <c r="P66" s="245" t="e">
        <f>P65/规划指标!$G$12*规划指标!$I$12</f>
        <v>#DIV/0!</v>
      </c>
      <c r="Q66" s="245" t="e">
        <f>Q65/规划指标!$G$12*规划指标!$I$12</f>
        <v>#DIV/0!</v>
      </c>
      <c r="R66" s="245" t="e">
        <f>R65/规划指标!$G$12*规划指标!$I$12</f>
        <v>#DIV/0!</v>
      </c>
      <c r="S66" s="245" t="e">
        <f>S65/规划指标!$G$12*规划指标!$I$12</f>
        <v>#DIV/0!</v>
      </c>
      <c r="T66" s="245" t="e">
        <f>T65/规划指标!$G$12*规划指标!$I$12</f>
        <v>#DIV/0!</v>
      </c>
      <c r="U66" s="245" t="e">
        <f>U65/规划指标!$G$12*规划指标!$I$12</f>
        <v>#DIV/0!</v>
      </c>
      <c r="V66" s="245" t="e">
        <f>V65/规划指标!$G$12*规划指标!$I$12</f>
        <v>#DIV/0!</v>
      </c>
      <c r="W66" s="245" t="e">
        <f>W65/规划指标!$G$12*规划指标!$I$12</f>
        <v>#DIV/0!</v>
      </c>
      <c r="X66" s="245" t="e">
        <f>X65/规划指标!$G$12*规划指标!$I$12</f>
        <v>#DIV/0!</v>
      </c>
      <c r="Y66" s="245" t="e">
        <f>Y65/规划指标!$G$12*规划指标!$I$12</f>
        <v>#DIV/0!</v>
      </c>
      <c r="Z66" s="245" t="e">
        <f>Z65/规划指标!$G$12*规划指标!$I$12</f>
        <v>#DIV/0!</v>
      </c>
      <c r="AA66" s="245" t="e">
        <f>AA65/规划指标!$G$12*规划指标!$I$12</f>
        <v>#DIV/0!</v>
      </c>
      <c r="AB66" s="245" t="e">
        <f>AB65/规划指标!$G$12*规划指标!$I$12</f>
        <v>#DIV/0!</v>
      </c>
      <c r="AC66" s="245" t="e">
        <f>AC65/规划指标!$G$12*规划指标!$I$12</f>
        <v>#DIV/0!</v>
      </c>
      <c r="AD66" s="245" t="e">
        <f>AD65/规划指标!$G$12*规划指标!$I$12</f>
        <v>#DIV/0!</v>
      </c>
      <c r="AE66" s="245" t="e">
        <f>AE65/规划指标!$G$12*规划指标!$I$12</f>
        <v>#DIV/0!</v>
      </c>
      <c r="AF66" s="245" t="e">
        <f>AF65/规划指标!$G$12*规划指标!$I$12</f>
        <v>#DIV/0!</v>
      </c>
      <c r="AG66" s="245" t="e">
        <f>AG65/规划指标!$G$12*规划指标!$I$12</f>
        <v>#DIV/0!</v>
      </c>
      <c r="AH66" s="245" t="e">
        <f>AH65/规划指标!$G$12*规划指标!$I$12</f>
        <v>#DIV/0!</v>
      </c>
      <c r="AI66" s="245" t="e">
        <f>AI65/规划指标!$G$12*规划指标!$I$12</f>
        <v>#DIV/0!</v>
      </c>
      <c r="AJ66" s="245" t="e">
        <f>AJ65/规划指标!$G$12*规划指标!$I$12</f>
        <v>#DIV/0!</v>
      </c>
      <c r="AK66" s="245" t="e">
        <f>AK65/规划指标!$G$12*规划指标!$I$12</f>
        <v>#DIV/0!</v>
      </c>
      <c r="AL66" s="245" t="e">
        <f>AL65/规划指标!$G$12*规划指标!$I$12</f>
        <v>#DIV/0!</v>
      </c>
      <c r="AM66" s="245" t="e">
        <f>AM65/规划指标!$G$12*规划指标!$I$12</f>
        <v>#DIV/0!</v>
      </c>
      <c r="AN66" s="245" t="e">
        <f>AN65/规划指标!$G$12*规划指标!$I$12</f>
        <v>#DIV/0!</v>
      </c>
      <c r="AO66" s="245" t="e">
        <f>AO65/规划指标!$G$12*规划指标!$I$12</f>
        <v>#DIV/0!</v>
      </c>
      <c r="AP66" s="245" t="e">
        <f>AP65/规划指标!$G$12*规划指标!$I$12</f>
        <v>#DIV/0!</v>
      </c>
      <c r="AQ66" s="245" t="e">
        <f>AQ65/规划指标!$G$12*规划指标!$I$12</f>
        <v>#DIV/0!</v>
      </c>
    </row>
    <row r="67" spans="1:46" s="213" customFormat="1" ht="18" customHeight="1" outlineLevel="2" x14ac:dyDescent="0.15">
      <c r="A67" s="216"/>
      <c r="B67" s="224" t="str">
        <f>$B$11</f>
        <v>销售均价</v>
      </c>
      <c r="C67" s="225" t="e">
        <f>ROUND(C64/C65*10000,0)</f>
        <v>#DIV/0!</v>
      </c>
      <c r="D67" s="226">
        <f>ROUND(C69*D161,0)</f>
        <v>0</v>
      </c>
      <c r="E67" s="226">
        <f>D67</f>
        <v>0</v>
      </c>
      <c r="F67" s="226">
        <f t="shared" ref="F67:AQ67" si="18">E67</f>
        <v>0</v>
      </c>
      <c r="G67" s="226">
        <f t="shared" si="18"/>
        <v>0</v>
      </c>
      <c r="H67" s="226">
        <f t="shared" si="18"/>
        <v>0</v>
      </c>
      <c r="I67" s="226">
        <f t="shared" si="18"/>
        <v>0</v>
      </c>
      <c r="J67" s="226">
        <f t="shared" si="18"/>
        <v>0</v>
      </c>
      <c r="K67" s="226">
        <f t="shared" si="18"/>
        <v>0</v>
      </c>
      <c r="L67" s="226">
        <f t="shared" si="18"/>
        <v>0</v>
      </c>
      <c r="M67" s="226">
        <f t="shared" si="18"/>
        <v>0</v>
      </c>
      <c r="N67" s="226">
        <f t="shared" si="18"/>
        <v>0</v>
      </c>
      <c r="O67" s="226">
        <f t="shared" si="18"/>
        <v>0</v>
      </c>
      <c r="P67" s="226">
        <f t="shared" si="18"/>
        <v>0</v>
      </c>
      <c r="Q67" s="226">
        <f t="shared" si="18"/>
        <v>0</v>
      </c>
      <c r="R67" s="226">
        <f t="shared" si="18"/>
        <v>0</v>
      </c>
      <c r="S67" s="226">
        <f t="shared" si="18"/>
        <v>0</v>
      </c>
      <c r="T67" s="226">
        <f t="shared" si="18"/>
        <v>0</v>
      </c>
      <c r="U67" s="226">
        <f t="shared" si="18"/>
        <v>0</v>
      </c>
      <c r="V67" s="226">
        <f t="shared" si="18"/>
        <v>0</v>
      </c>
      <c r="W67" s="226">
        <f t="shared" si="18"/>
        <v>0</v>
      </c>
      <c r="X67" s="226">
        <f t="shared" si="18"/>
        <v>0</v>
      </c>
      <c r="Y67" s="226">
        <f t="shared" si="18"/>
        <v>0</v>
      </c>
      <c r="Z67" s="226">
        <f t="shared" si="18"/>
        <v>0</v>
      </c>
      <c r="AA67" s="226">
        <f t="shared" si="18"/>
        <v>0</v>
      </c>
      <c r="AB67" s="226">
        <f t="shared" si="18"/>
        <v>0</v>
      </c>
      <c r="AC67" s="226">
        <f t="shared" si="18"/>
        <v>0</v>
      </c>
      <c r="AD67" s="226">
        <f t="shared" si="18"/>
        <v>0</v>
      </c>
      <c r="AE67" s="226">
        <f t="shared" si="18"/>
        <v>0</v>
      </c>
      <c r="AF67" s="226">
        <f t="shared" si="18"/>
        <v>0</v>
      </c>
      <c r="AG67" s="226">
        <f t="shared" si="18"/>
        <v>0</v>
      </c>
      <c r="AH67" s="226">
        <f t="shared" si="18"/>
        <v>0</v>
      </c>
      <c r="AI67" s="226">
        <f t="shared" si="18"/>
        <v>0</v>
      </c>
      <c r="AJ67" s="226">
        <f t="shared" si="18"/>
        <v>0</v>
      </c>
      <c r="AK67" s="226">
        <f t="shared" si="18"/>
        <v>0</v>
      </c>
      <c r="AL67" s="226">
        <f t="shared" si="18"/>
        <v>0</v>
      </c>
      <c r="AM67" s="226">
        <f t="shared" si="18"/>
        <v>0</v>
      </c>
      <c r="AN67" s="226">
        <f>W67</f>
        <v>0</v>
      </c>
      <c r="AO67" s="226">
        <f t="shared" si="18"/>
        <v>0</v>
      </c>
      <c r="AP67" s="226">
        <f t="shared" si="18"/>
        <v>0</v>
      </c>
      <c r="AQ67" s="226">
        <f t="shared" si="18"/>
        <v>0</v>
      </c>
      <c r="AS67" s="571"/>
      <c r="AT67" s="202"/>
    </row>
    <row r="68" spans="1:46" s="229" customFormat="1" ht="18" customHeight="1" outlineLevel="2" x14ac:dyDescent="0.15">
      <c r="A68" s="227"/>
      <c r="B68" s="224" t="str">
        <f>$B$12</f>
        <v>销售率</v>
      </c>
      <c r="C68" s="228">
        <f>SUM(D68:AQ68)</f>
        <v>0</v>
      </c>
      <c r="D68" s="234"/>
      <c r="E68" s="234"/>
      <c r="F68" s="234"/>
      <c r="G68" s="234"/>
      <c r="H68" s="234"/>
      <c r="I68" s="234"/>
      <c r="J68" s="234"/>
      <c r="K68" s="234"/>
      <c r="L68" s="234"/>
      <c r="M68" s="234"/>
      <c r="N68" s="234"/>
      <c r="O68" s="234"/>
      <c r="P68" s="234"/>
      <c r="Q68" s="234"/>
      <c r="R68" s="234"/>
      <c r="S68" s="234"/>
      <c r="T68" s="234"/>
      <c r="U68" s="234"/>
      <c r="V68" s="234"/>
      <c r="W68" s="234"/>
      <c r="X68" s="234"/>
      <c r="Y68" s="234"/>
      <c r="Z68" s="234"/>
      <c r="AA68" s="234"/>
      <c r="AB68" s="234"/>
      <c r="AC68" s="234"/>
      <c r="AD68" s="234"/>
      <c r="AE68" s="234"/>
      <c r="AF68" s="234"/>
      <c r="AG68" s="234"/>
      <c r="AH68" s="234"/>
      <c r="AI68" s="234"/>
      <c r="AJ68" s="234"/>
      <c r="AK68" s="234"/>
      <c r="AL68" s="234"/>
      <c r="AM68" s="234"/>
      <c r="AN68" s="234"/>
      <c r="AO68" s="234"/>
      <c r="AP68" s="234"/>
      <c r="AQ68" s="234"/>
    </row>
    <row r="69" spans="1:46" s="229" customFormat="1" ht="18" customHeight="1" outlineLevel="2" x14ac:dyDescent="0.15">
      <c r="A69" s="227"/>
      <c r="B69" s="224" t="s">
        <v>577</v>
      </c>
      <c r="C69" s="234"/>
      <c r="D69" s="228"/>
      <c r="E69" s="228"/>
      <c r="F69" s="228"/>
      <c r="G69" s="228"/>
      <c r="H69" s="228"/>
      <c r="I69" s="228"/>
      <c r="J69" s="228"/>
      <c r="K69" s="228"/>
      <c r="L69" s="228"/>
      <c r="M69" s="228"/>
      <c r="N69" s="228"/>
      <c r="O69" s="228"/>
      <c r="P69" s="228"/>
      <c r="Q69" s="228"/>
      <c r="R69" s="228"/>
      <c r="S69" s="228"/>
      <c r="T69" s="228"/>
      <c r="U69" s="228"/>
      <c r="V69" s="228"/>
      <c r="W69" s="228"/>
      <c r="X69" s="228"/>
      <c r="Y69" s="228"/>
      <c r="Z69" s="228"/>
      <c r="AA69" s="228"/>
      <c r="AB69" s="228"/>
      <c r="AC69" s="228"/>
      <c r="AD69" s="228"/>
      <c r="AE69" s="228"/>
      <c r="AF69" s="228"/>
      <c r="AG69" s="228"/>
      <c r="AH69" s="228"/>
      <c r="AI69" s="228"/>
      <c r="AJ69" s="228"/>
      <c r="AK69" s="228"/>
      <c r="AL69" s="228"/>
      <c r="AM69" s="228"/>
      <c r="AN69" s="228"/>
      <c r="AO69" s="228"/>
      <c r="AP69" s="228"/>
      <c r="AQ69" s="228"/>
    </row>
    <row r="70" spans="1:46" s="213" customFormat="1" ht="18" customHeight="1" outlineLevel="2" x14ac:dyDescent="0.15">
      <c r="A70" s="216"/>
      <c r="B70" s="634"/>
      <c r="C70" s="228"/>
      <c r="D70" s="231"/>
      <c r="E70" s="231"/>
      <c r="F70" s="231"/>
      <c r="G70" s="231"/>
      <c r="H70" s="231"/>
      <c r="I70" s="231"/>
      <c r="J70" s="231"/>
      <c r="K70" s="231"/>
      <c r="L70" s="231"/>
      <c r="M70" s="231"/>
      <c r="N70" s="231"/>
      <c r="O70" s="231"/>
      <c r="P70" s="231"/>
      <c r="Q70" s="231"/>
      <c r="R70" s="231"/>
      <c r="S70" s="231"/>
      <c r="T70" s="231"/>
      <c r="U70" s="231"/>
      <c r="V70" s="231"/>
      <c r="W70" s="231"/>
      <c r="X70" s="231"/>
      <c r="Y70" s="231"/>
      <c r="Z70" s="231"/>
      <c r="AA70" s="231"/>
      <c r="AB70" s="231"/>
      <c r="AC70" s="231"/>
      <c r="AD70" s="231"/>
      <c r="AE70" s="231"/>
      <c r="AF70" s="231"/>
      <c r="AG70" s="231"/>
      <c r="AH70" s="231"/>
      <c r="AI70" s="231"/>
      <c r="AJ70" s="231"/>
      <c r="AK70" s="231"/>
      <c r="AL70" s="231"/>
      <c r="AM70" s="231"/>
      <c r="AN70" s="231"/>
      <c r="AO70" s="231"/>
      <c r="AP70" s="231"/>
      <c r="AQ70" s="231"/>
    </row>
    <row r="71" spans="1:46" s="213" customFormat="1" ht="18" customHeight="1" outlineLevel="1" x14ac:dyDescent="0.15">
      <c r="A71" s="216" t="s">
        <v>294</v>
      </c>
      <c r="B71" s="633">
        <f>规划指标!F13</f>
        <v>0</v>
      </c>
      <c r="C71" s="217">
        <f>SUM(D71:AQ71)</f>
        <v>0</v>
      </c>
      <c r="D71" s="201">
        <f>D74*D72/10000</f>
        <v>0</v>
      </c>
      <c r="E71" s="201">
        <f t="shared" ref="E71:AQ71" si="19">E74*E72/10000</f>
        <v>0</v>
      </c>
      <c r="F71" s="201">
        <f t="shared" si="19"/>
        <v>0</v>
      </c>
      <c r="G71" s="201">
        <f t="shared" si="19"/>
        <v>0</v>
      </c>
      <c r="H71" s="201">
        <f t="shared" si="19"/>
        <v>0</v>
      </c>
      <c r="I71" s="201">
        <f t="shared" si="19"/>
        <v>0</v>
      </c>
      <c r="J71" s="201">
        <f t="shared" si="19"/>
        <v>0</v>
      </c>
      <c r="K71" s="201">
        <f t="shared" si="19"/>
        <v>0</v>
      </c>
      <c r="L71" s="201">
        <f t="shared" si="19"/>
        <v>0</v>
      </c>
      <c r="M71" s="201">
        <f t="shared" si="19"/>
        <v>0</v>
      </c>
      <c r="N71" s="201">
        <f t="shared" si="19"/>
        <v>0</v>
      </c>
      <c r="O71" s="201">
        <f t="shared" si="19"/>
        <v>0</v>
      </c>
      <c r="P71" s="201">
        <f t="shared" si="19"/>
        <v>0</v>
      </c>
      <c r="Q71" s="201">
        <f t="shared" si="19"/>
        <v>0</v>
      </c>
      <c r="R71" s="201">
        <f t="shared" si="19"/>
        <v>0</v>
      </c>
      <c r="S71" s="201">
        <f t="shared" si="19"/>
        <v>0</v>
      </c>
      <c r="T71" s="201">
        <f t="shared" si="19"/>
        <v>0</v>
      </c>
      <c r="U71" s="201">
        <f t="shared" si="19"/>
        <v>0</v>
      </c>
      <c r="V71" s="201">
        <f t="shared" si="19"/>
        <v>0</v>
      </c>
      <c r="W71" s="201">
        <f t="shared" si="19"/>
        <v>0</v>
      </c>
      <c r="X71" s="201">
        <f t="shared" si="19"/>
        <v>0</v>
      </c>
      <c r="Y71" s="201">
        <f t="shared" si="19"/>
        <v>0</v>
      </c>
      <c r="Z71" s="201">
        <f t="shared" si="19"/>
        <v>0</v>
      </c>
      <c r="AA71" s="201">
        <f t="shared" si="19"/>
        <v>0</v>
      </c>
      <c r="AB71" s="201">
        <f t="shared" si="19"/>
        <v>0</v>
      </c>
      <c r="AC71" s="201">
        <f t="shared" si="19"/>
        <v>0</v>
      </c>
      <c r="AD71" s="201">
        <f t="shared" si="19"/>
        <v>0</v>
      </c>
      <c r="AE71" s="201">
        <f t="shared" si="19"/>
        <v>0</v>
      </c>
      <c r="AF71" s="201">
        <f t="shared" si="19"/>
        <v>0</v>
      </c>
      <c r="AG71" s="201">
        <f t="shared" si="19"/>
        <v>0</v>
      </c>
      <c r="AH71" s="201">
        <f t="shared" si="19"/>
        <v>0</v>
      </c>
      <c r="AI71" s="201">
        <f t="shared" si="19"/>
        <v>0</v>
      </c>
      <c r="AJ71" s="201">
        <f t="shared" si="19"/>
        <v>0</v>
      </c>
      <c r="AK71" s="201">
        <f t="shared" si="19"/>
        <v>0</v>
      </c>
      <c r="AL71" s="201">
        <f t="shared" si="19"/>
        <v>0</v>
      </c>
      <c r="AM71" s="201">
        <f t="shared" si="19"/>
        <v>0</v>
      </c>
      <c r="AN71" s="201">
        <f t="shared" si="19"/>
        <v>0</v>
      </c>
      <c r="AO71" s="201">
        <f t="shared" si="19"/>
        <v>0</v>
      </c>
      <c r="AP71" s="201">
        <f t="shared" si="19"/>
        <v>0</v>
      </c>
      <c r="AQ71" s="201">
        <f t="shared" si="19"/>
        <v>0</v>
      </c>
    </row>
    <row r="72" spans="1:46" s="213" customFormat="1" ht="18" customHeight="1" outlineLevel="2" x14ac:dyDescent="0.15">
      <c r="A72" s="216"/>
      <c r="B72" s="224" t="str">
        <f>$B$9</f>
        <v>销售数量</v>
      </c>
      <c r="C72" s="217">
        <f>SUM(D72:AQ72)</f>
        <v>0</v>
      </c>
      <c r="D72" s="201">
        <f>D75*规划指标!$G$13</f>
        <v>0</v>
      </c>
      <c r="E72" s="201">
        <f>E75*规划指标!$G$13</f>
        <v>0</v>
      </c>
      <c r="F72" s="201">
        <f>F75*规划指标!$G$13</f>
        <v>0</v>
      </c>
      <c r="G72" s="201">
        <f>G75*规划指标!$G$13</f>
        <v>0</v>
      </c>
      <c r="H72" s="201">
        <f>H75*规划指标!$G$13</f>
        <v>0</v>
      </c>
      <c r="I72" s="201">
        <f>I75*规划指标!$G$13</f>
        <v>0</v>
      </c>
      <c r="J72" s="201">
        <f>J75*规划指标!$G$13</f>
        <v>0</v>
      </c>
      <c r="K72" s="201">
        <f>K75*规划指标!$G$13</f>
        <v>0</v>
      </c>
      <c r="L72" s="201">
        <f>L75*规划指标!$G$13</f>
        <v>0</v>
      </c>
      <c r="M72" s="201">
        <f>M75*规划指标!$G$13</f>
        <v>0</v>
      </c>
      <c r="N72" s="201">
        <f>N75*规划指标!$G$13</f>
        <v>0</v>
      </c>
      <c r="O72" s="201">
        <f>O75*规划指标!$G$13</f>
        <v>0</v>
      </c>
      <c r="P72" s="201">
        <f>P75*规划指标!$G$13</f>
        <v>0</v>
      </c>
      <c r="Q72" s="201">
        <f>Q75*规划指标!$G$13</f>
        <v>0</v>
      </c>
      <c r="R72" s="201">
        <f>R75*规划指标!$G$13</f>
        <v>0</v>
      </c>
      <c r="S72" s="201">
        <f>S75*规划指标!$G$13</f>
        <v>0</v>
      </c>
      <c r="T72" s="201">
        <f>T75*规划指标!$G$13</f>
        <v>0</v>
      </c>
      <c r="U72" s="201">
        <f>U75*规划指标!$G$13</f>
        <v>0</v>
      </c>
      <c r="V72" s="201">
        <f>V75*规划指标!$G$13</f>
        <v>0</v>
      </c>
      <c r="W72" s="201">
        <f>W75*规划指标!$G$13</f>
        <v>0</v>
      </c>
      <c r="X72" s="201">
        <f>X75*规划指标!$G$13</f>
        <v>0</v>
      </c>
      <c r="Y72" s="201">
        <f>Y75*规划指标!$G$13</f>
        <v>0</v>
      </c>
      <c r="Z72" s="201">
        <f>Z75*规划指标!$G$13</f>
        <v>0</v>
      </c>
      <c r="AA72" s="201">
        <f>AA75*规划指标!$G$13</f>
        <v>0</v>
      </c>
      <c r="AB72" s="201">
        <f>AB75*规划指标!$G$13</f>
        <v>0</v>
      </c>
      <c r="AC72" s="201">
        <f>AC75*规划指标!$G$13</f>
        <v>0</v>
      </c>
      <c r="AD72" s="201">
        <f>AD75*规划指标!$G$13</f>
        <v>0</v>
      </c>
      <c r="AE72" s="201">
        <f>AE75*规划指标!$G$13</f>
        <v>0</v>
      </c>
      <c r="AF72" s="201">
        <f>AF75*规划指标!$G$13</f>
        <v>0</v>
      </c>
      <c r="AG72" s="201">
        <f>AG75*规划指标!$G$13</f>
        <v>0</v>
      </c>
      <c r="AH72" s="201">
        <f>AH75*规划指标!$G$13</f>
        <v>0</v>
      </c>
      <c r="AI72" s="201">
        <f>AI75*规划指标!$G$13</f>
        <v>0</v>
      </c>
      <c r="AJ72" s="201">
        <f>AJ75*规划指标!$G$13</f>
        <v>0</v>
      </c>
      <c r="AK72" s="201">
        <f>AK75*规划指标!$G$13</f>
        <v>0</v>
      </c>
      <c r="AL72" s="201">
        <f>AL75*规划指标!$G$13</f>
        <v>0</v>
      </c>
      <c r="AM72" s="201">
        <f>AM75*规划指标!$G$13</f>
        <v>0</v>
      </c>
      <c r="AN72" s="201">
        <f>AN75*规划指标!$G$13</f>
        <v>0</v>
      </c>
      <c r="AO72" s="201">
        <f>AO75*规划指标!$G$13</f>
        <v>0</v>
      </c>
      <c r="AP72" s="201">
        <f>AP75*规划指标!$G$13</f>
        <v>0</v>
      </c>
      <c r="AQ72" s="201">
        <f>AQ75*规划指标!$G$13</f>
        <v>0</v>
      </c>
    </row>
    <row r="73" spans="1:46" s="213" customFormat="1" ht="18" customHeight="1" outlineLevel="2" x14ac:dyDescent="0.15">
      <c r="A73" s="216"/>
      <c r="B73" s="224" t="str">
        <f>B66</f>
        <v>销售套数</v>
      </c>
      <c r="C73" s="217" t="e">
        <f>SUM(D73:AQ73)</f>
        <v>#DIV/0!</v>
      </c>
      <c r="D73" s="245" t="e">
        <f>D72/规划指标!$G$13*规划指标!$I$13</f>
        <v>#DIV/0!</v>
      </c>
      <c r="E73" s="245" t="e">
        <f>E72/规划指标!$G$13*规划指标!$I$13</f>
        <v>#DIV/0!</v>
      </c>
      <c r="F73" s="245" t="e">
        <f>F72/规划指标!$G$13*规划指标!$I$13</f>
        <v>#DIV/0!</v>
      </c>
      <c r="G73" s="245" t="e">
        <f>G72/规划指标!$G$13*规划指标!$I$13</f>
        <v>#DIV/0!</v>
      </c>
      <c r="H73" s="245" t="e">
        <f>H72/规划指标!$G$13*规划指标!$I$13</f>
        <v>#DIV/0!</v>
      </c>
      <c r="I73" s="245" t="e">
        <f>I72/规划指标!$G$13*规划指标!$I$13</f>
        <v>#DIV/0!</v>
      </c>
      <c r="J73" s="245" t="e">
        <f>J72/规划指标!$G$13*规划指标!$I$13</f>
        <v>#DIV/0!</v>
      </c>
      <c r="K73" s="245" t="e">
        <f>K72/规划指标!$G$13*规划指标!$I$13</f>
        <v>#DIV/0!</v>
      </c>
      <c r="L73" s="245" t="e">
        <f>L72/规划指标!$G$13*规划指标!$I$13</f>
        <v>#DIV/0!</v>
      </c>
      <c r="M73" s="245" t="e">
        <f>M72/规划指标!$G$13*规划指标!$I$13</f>
        <v>#DIV/0!</v>
      </c>
      <c r="N73" s="245" t="e">
        <f>N72/规划指标!$G$13*规划指标!$I$13</f>
        <v>#DIV/0!</v>
      </c>
      <c r="O73" s="245" t="e">
        <f>O72/规划指标!$G$13*规划指标!$I$13</f>
        <v>#DIV/0!</v>
      </c>
      <c r="P73" s="245" t="e">
        <f>P72/规划指标!$G$13*规划指标!$I$13</f>
        <v>#DIV/0!</v>
      </c>
      <c r="Q73" s="245" t="e">
        <f>Q72/规划指标!$G$13*规划指标!$I$13</f>
        <v>#DIV/0!</v>
      </c>
      <c r="R73" s="245" t="e">
        <f>R72/规划指标!$G$13*规划指标!$I$13</f>
        <v>#DIV/0!</v>
      </c>
      <c r="S73" s="245" t="e">
        <f>S72/规划指标!$G$13*规划指标!$I$13</f>
        <v>#DIV/0!</v>
      </c>
      <c r="T73" s="245" t="e">
        <f>T72/规划指标!$G$13*规划指标!$I$13</f>
        <v>#DIV/0!</v>
      </c>
      <c r="U73" s="245" t="e">
        <f>U72/规划指标!$G$13*规划指标!$I$13</f>
        <v>#DIV/0!</v>
      </c>
      <c r="V73" s="245" t="e">
        <f>V72/规划指标!$G$13*规划指标!$I$13</f>
        <v>#DIV/0!</v>
      </c>
      <c r="W73" s="245" t="e">
        <f>W72/规划指标!$G$13*规划指标!$I$13</f>
        <v>#DIV/0!</v>
      </c>
      <c r="X73" s="245" t="e">
        <f>X72/规划指标!$G$13*规划指标!$I$13</f>
        <v>#DIV/0!</v>
      </c>
      <c r="Y73" s="245" t="e">
        <f>Y72/规划指标!$G$13*规划指标!$I$13</f>
        <v>#DIV/0!</v>
      </c>
      <c r="Z73" s="245" t="e">
        <f>Z72/规划指标!$G$13*规划指标!$I$13</f>
        <v>#DIV/0!</v>
      </c>
      <c r="AA73" s="245" t="e">
        <f>AA72/规划指标!$G$13*规划指标!$I$13</f>
        <v>#DIV/0!</v>
      </c>
      <c r="AB73" s="245" t="e">
        <f>AB72/规划指标!$G$13*规划指标!$I$13</f>
        <v>#DIV/0!</v>
      </c>
      <c r="AC73" s="245" t="e">
        <f>AC72/规划指标!$G$13*规划指标!$I$13</f>
        <v>#DIV/0!</v>
      </c>
      <c r="AD73" s="245" t="e">
        <f>AD72/规划指标!$G$13*规划指标!$I$13</f>
        <v>#DIV/0!</v>
      </c>
      <c r="AE73" s="245" t="e">
        <f>AE72/规划指标!$G$13*规划指标!$I$13</f>
        <v>#DIV/0!</v>
      </c>
      <c r="AF73" s="245" t="e">
        <f>AF72/规划指标!$G$13*规划指标!$I$13</f>
        <v>#DIV/0!</v>
      </c>
      <c r="AG73" s="245" t="e">
        <f>AG72/规划指标!$G$13*规划指标!$I$13</f>
        <v>#DIV/0!</v>
      </c>
      <c r="AH73" s="245" t="e">
        <f>AH72/规划指标!$G$13*规划指标!$I$13</f>
        <v>#DIV/0!</v>
      </c>
      <c r="AI73" s="245" t="e">
        <f>AI72/规划指标!$G$13*规划指标!$I$13</f>
        <v>#DIV/0!</v>
      </c>
      <c r="AJ73" s="245" t="e">
        <f>AJ72/规划指标!$G$13*规划指标!$I$13</f>
        <v>#DIV/0!</v>
      </c>
      <c r="AK73" s="245" t="e">
        <f>AK72/规划指标!$G$13*规划指标!$I$13</f>
        <v>#DIV/0!</v>
      </c>
      <c r="AL73" s="245" t="e">
        <f>AL72/规划指标!$G$13*规划指标!$I$13</f>
        <v>#DIV/0!</v>
      </c>
      <c r="AM73" s="245" t="e">
        <f>AM72/规划指标!$G$13*规划指标!$I$13</f>
        <v>#DIV/0!</v>
      </c>
      <c r="AN73" s="245" t="e">
        <f>AN72/规划指标!$G$13*规划指标!$I$13</f>
        <v>#DIV/0!</v>
      </c>
      <c r="AO73" s="245" t="e">
        <f>AO72/规划指标!$G$13*规划指标!$I$13</f>
        <v>#DIV/0!</v>
      </c>
      <c r="AP73" s="245" t="e">
        <f>AP72/规划指标!$G$13*规划指标!$I$13</f>
        <v>#DIV/0!</v>
      </c>
      <c r="AQ73" s="245" t="e">
        <f>AQ72/规划指标!$G$13*规划指标!$I$13</f>
        <v>#DIV/0!</v>
      </c>
    </row>
    <row r="74" spans="1:46" s="213" customFormat="1" ht="18" customHeight="1" outlineLevel="2" x14ac:dyDescent="0.15">
      <c r="A74" s="216"/>
      <c r="B74" s="224" t="str">
        <f>$B$11</f>
        <v>销售均价</v>
      </c>
      <c r="C74" s="225" t="e">
        <f>ROUND(C71/C72*10000,0)</f>
        <v>#DIV/0!</v>
      </c>
      <c r="D74" s="226">
        <f>ROUND(C76*D162,0)</f>
        <v>0</v>
      </c>
      <c r="E74" s="226">
        <f>D74</f>
        <v>0</v>
      </c>
      <c r="F74" s="226">
        <f t="shared" ref="F74:AQ74" si="20">E74</f>
        <v>0</v>
      </c>
      <c r="G74" s="226">
        <f t="shared" si="20"/>
        <v>0</v>
      </c>
      <c r="H74" s="226">
        <f t="shared" si="20"/>
        <v>0</v>
      </c>
      <c r="I74" s="226">
        <f t="shared" si="20"/>
        <v>0</v>
      </c>
      <c r="J74" s="226">
        <f t="shared" si="20"/>
        <v>0</v>
      </c>
      <c r="K74" s="226">
        <f t="shared" si="20"/>
        <v>0</v>
      </c>
      <c r="L74" s="226">
        <f t="shared" si="20"/>
        <v>0</v>
      </c>
      <c r="M74" s="226">
        <f t="shared" si="20"/>
        <v>0</v>
      </c>
      <c r="N74" s="226">
        <f t="shared" si="20"/>
        <v>0</v>
      </c>
      <c r="O74" s="226">
        <f t="shared" si="20"/>
        <v>0</v>
      </c>
      <c r="P74" s="226">
        <f t="shared" si="20"/>
        <v>0</v>
      </c>
      <c r="Q74" s="226">
        <f t="shared" si="20"/>
        <v>0</v>
      </c>
      <c r="R74" s="226">
        <f t="shared" si="20"/>
        <v>0</v>
      </c>
      <c r="S74" s="226">
        <f t="shared" si="20"/>
        <v>0</v>
      </c>
      <c r="T74" s="226">
        <f t="shared" si="20"/>
        <v>0</v>
      </c>
      <c r="U74" s="226">
        <f t="shared" si="20"/>
        <v>0</v>
      </c>
      <c r="V74" s="226">
        <f t="shared" si="20"/>
        <v>0</v>
      </c>
      <c r="W74" s="226">
        <f t="shared" si="20"/>
        <v>0</v>
      </c>
      <c r="X74" s="226">
        <f t="shared" si="20"/>
        <v>0</v>
      </c>
      <c r="Y74" s="226">
        <f t="shared" si="20"/>
        <v>0</v>
      </c>
      <c r="Z74" s="226">
        <f t="shared" si="20"/>
        <v>0</v>
      </c>
      <c r="AA74" s="226">
        <f t="shared" si="20"/>
        <v>0</v>
      </c>
      <c r="AB74" s="226">
        <f t="shared" si="20"/>
        <v>0</v>
      </c>
      <c r="AC74" s="226">
        <f t="shared" si="20"/>
        <v>0</v>
      </c>
      <c r="AD74" s="226">
        <f t="shared" si="20"/>
        <v>0</v>
      </c>
      <c r="AE74" s="226">
        <f t="shared" si="20"/>
        <v>0</v>
      </c>
      <c r="AF74" s="226">
        <f t="shared" si="20"/>
        <v>0</v>
      </c>
      <c r="AG74" s="226">
        <f t="shared" si="20"/>
        <v>0</v>
      </c>
      <c r="AH74" s="226">
        <f t="shared" si="20"/>
        <v>0</v>
      </c>
      <c r="AI74" s="226">
        <f t="shared" si="20"/>
        <v>0</v>
      </c>
      <c r="AJ74" s="226">
        <f t="shared" si="20"/>
        <v>0</v>
      </c>
      <c r="AK74" s="226">
        <f t="shared" si="20"/>
        <v>0</v>
      </c>
      <c r="AL74" s="226">
        <f t="shared" si="20"/>
        <v>0</v>
      </c>
      <c r="AM74" s="226">
        <f t="shared" si="20"/>
        <v>0</v>
      </c>
      <c r="AN74" s="226">
        <f>W74</f>
        <v>0</v>
      </c>
      <c r="AO74" s="226">
        <f t="shared" si="20"/>
        <v>0</v>
      </c>
      <c r="AP74" s="226">
        <f t="shared" si="20"/>
        <v>0</v>
      </c>
      <c r="AQ74" s="226">
        <f t="shared" si="20"/>
        <v>0</v>
      </c>
    </row>
    <row r="75" spans="1:46" s="229" customFormat="1" ht="18" customHeight="1" outlineLevel="2" x14ac:dyDescent="0.15">
      <c r="A75" s="227"/>
      <c r="B75" s="224" t="str">
        <f>$B$12</f>
        <v>销售率</v>
      </c>
      <c r="C75" s="228">
        <f>SUM(D75:AQ75)</f>
        <v>0</v>
      </c>
      <c r="D75" s="234"/>
      <c r="E75" s="234"/>
      <c r="F75" s="234"/>
      <c r="G75" s="234"/>
      <c r="H75" s="234"/>
      <c r="I75" s="234"/>
      <c r="J75" s="234"/>
      <c r="K75" s="234"/>
      <c r="L75" s="234"/>
      <c r="M75" s="234"/>
      <c r="N75" s="234"/>
      <c r="O75" s="234"/>
      <c r="P75" s="234"/>
      <c r="Q75" s="234"/>
      <c r="R75" s="234"/>
      <c r="S75" s="234"/>
      <c r="T75" s="234"/>
      <c r="U75" s="234"/>
      <c r="V75" s="234"/>
      <c r="W75" s="234"/>
      <c r="X75" s="234"/>
      <c r="Y75" s="234"/>
      <c r="Z75" s="234"/>
      <c r="AA75" s="234"/>
      <c r="AB75" s="234"/>
      <c r="AC75" s="234"/>
      <c r="AD75" s="234"/>
      <c r="AE75" s="234"/>
      <c r="AF75" s="234"/>
      <c r="AG75" s="234"/>
      <c r="AH75" s="234"/>
      <c r="AI75" s="234"/>
      <c r="AJ75" s="234"/>
      <c r="AK75" s="234"/>
      <c r="AL75" s="234"/>
      <c r="AM75" s="234"/>
      <c r="AN75" s="234"/>
      <c r="AO75" s="234"/>
      <c r="AP75" s="234"/>
      <c r="AQ75" s="234"/>
    </row>
    <row r="76" spans="1:46" s="229" customFormat="1" ht="18" customHeight="1" outlineLevel="2" x14ac:dyDescent="0.15">
      <c r="A76" s="227"/>
      <c r="B76" s="224" t="s">
        <v>577</v>
      </c>
      <c r="C76" s="234"/>
      <c r="D76" s="228"/>
      <c r="E76" s="228"/>
      <c r="F76" s="228"/>
      <c r="G76" s="228"/>
      <c r="H76" s="228"/>
      <c r="I76" s="228"/>
      <c r="J76" s="228"/>
      <c r="K76" s="228"/>
      <c r="L76" s="228"/>
      <c r="M76" s="228"/>
      <c r="N76" s="228"/>
      <c r="O76" s="228"/>
      <c r="P76" s="228"/>
      <c r="Q76" s="228"/>
      <c r="R76" s="228"/>
      <c r="S76" s="228"/>
      <c r="T76" s="228"/>
      <c r="U76" s="228"/>
      <c r="V76" s="228"/>
      <c r="W76" s="228"/>
      <c r="X76" s="228"/>
      <c r="Y76" s="228"/>
      <c r="Z76" s="228"/>
      <c r="AA76" s="228"/>
      <c r="AB76" s="228"/>
      <c r="AC76" s="228"/>
      <c r="AD76" s="228"/>
      <c r="AE76" s="228"/>
      <c r="AF76" s="228"/>
      <c r="AG76" s="228"/>
      <c r="AH76" s="228"/>
      <c r="AI76" s="228"/>
      <c r="AJ76" s="228"/>
      <c r="AK76" s="228"/>
      <c r="AL76" s="228"/>
      <c r="AM76" s="228"/>
      <c r="AN76" s="228"/>
      <c r="AO76" s="228"/>
      <c r="AP76" s="228"/>
      <c r="AQ76" s="228"/>
    </row>
    <row r="77" spans="1:46" s="213" customFormat="1" ht="18" customHeight="1" outlineLevel="2" x14ac:dyDescent="0.15">
      <c r="A77" s="216"/>
      <c r="B77" s="634"/>
      <c r="C77" s="228"/>
      <c r="D77" s="231"/>
      <c r="E77" s="231"/>
      <c r="F77" s="231"/>
      <c r="G77" s="231"/>
      <c r="H77" s="231"/>
      <c r="I77" s="231"/>
      <c r="J77" s="231"/>
      <c r="K77" s="231"/>
      <c r="L77" s="231"/>
      <c r="M77" s="231"/>
      <c r="N77" s="231"/>
      <c r="O77" s="231"/>
      <c r="P77" s="231"/>
      <c r="Q77" s="231"/>
      <c r="R77" s="231"/>
      <c r="S77" s="231"/>
      <c r="T77" s="231"/>
      <c r="U77" s="231"/>
      <c r="V77" s="231"/>
      <c r="W77" s="231"/>
      <c r="X77" s="231"/>
      <c r="Y77" s="231"/>
      <c r="Z77" s="231"/>
      <c r="AA77" s="231"/>
      <c r="AB77" s="231"/>
      <c r="AC77" s="231"/>
      <c r="AD77" s="231"/>
      <c r="AE77" s="231"/>
      <c r="AF77" s="231"/>
      <c r="AG77" s="231"/>
      <c r="AH77" s="231"/>
      <c r="AI77" s="231"/>
      <c r="AJ77" s="231"/>
      <c r="AK77" s="231"/>
      <c r="AL77" s="231"/>
      <c r="AM77" s="231"/>
      <c r="AN77" s="231"/>
      <c r="AO77" s="231"/>
      <c r="AP77" s="231"/>
      <c r="AQ77" s="231"/>
    </row>
    <row r="78" spans="1:46" s="213" customFormat="1" ht="18" customHeight="1" outlineLevel="1" x14ac:dyDescent="0.15">
      <c r="A78" s="216" t="s">
        <v>295</v>
      </c>
      <c r="B78" s="633">
        <f>规划指标!F14</f>
        <v>0</v>
      </c>
      <c r="C78" s="217">
        <f>SUM(D78:AQ78)</f>
        <v>0</v>
      </c>
      <c r="D78" s="201">
        <f>D81*D79/10000</f>
        <v>0</v>
      </c>
      <c r="E78" s="201">
        <f t="shared" ref="E78:AQ78" si="21">E81*E79/10000</f>
        <v>0</v>
      </c>
      <c r="F78" s="201">
        <f t="shared" si="21"/>
        <v>0</v>
      </c>
      <c r="G78" s="201">
        <f t="shared" si="21"/>
        <v>0</v>
      </c>
      <c r="H78" s="201">
        <f t="shared" si="21"/>
        <v>0</v>
      </c>
      <c r="I78" s="201">
        <f t="shared" si="21"/>
        <v>0</v>
      </c>
      <c r="J78" s="201">
        <f t="shared" si="21"/>
        <v>0</v>
      </c>
      <c r="K78" s="201">
        <f t="shared" si="21"/>
        <v>0</v>
      </c>
      <c r="L78" s="201">
        <f t="shared" si="21"/>
        <v>0</v>
      </c>
      <c r="M78" s="201">
        <f t="shared" si="21"/>
        <v>0</v>
      </c>
      <c r="N78" s="201">
        <f t="shared" si="21"/>
        <v>0</v>
      </c>
      <c r="O78" s="201">
        <f t="shared" si="21"/>
        <v>0</v>
      </c>
      <c r="P78" s="201">
        <f t="shared" si="21"/>
        <v>0</v>
      </c>
      <c r="Q78" s="201">
        <f t="shared" si="21"/>
        <v>0</v>
      </c>
      <c r="R78" s="201">
        <f t="shared" si="21"/>
        <v>0</v>
      </c>
      <c r="S78" s="201">
        <f t="shared" si="21"/>
        <v>0</v>
      </c>
      <c r="T78" s="201">
        <f t="shared" si="21"/>
        <v>0</v>
      </c>
      <c r="U78" s="201">
        <f t="shared" si="21"/>
        <v>0</v>
      </c>
      <c r="V78" s="201">
        <f t="shared" si="21"/>
        <v>0</v>
      </c>
      <c r="W78" s="201">
        <f t="shared" si="21"/>
        <v>0</v>
      </c>
      <c r="X78" s="201">
        <f t="shared" si="21"/>
        <v>0</v>
      </c>
      <c r="Y78" s="201">
        <f t="shared" si="21"/>
        <v>0</v>
      </c>
      <c r="Z78" s="201">
        <f t="shared" si="21"/>
        <v>0</v>
      </c>
      <c r="AA78" s="201">
        <f t="shared" si="21"/>
        <v>0</v>
      </c>
      <c r="AB78" s="201">
        <f t="shared" si="21"/>
        <v>0</v>
      </c>
      <c r="AC78" s="201">
        <f t="shared" si="21"/>
        <v>0</v>
      </c>
      <c r="AD78" s="201">
        <f t="shared" si="21"/>
        <v>0</v>
      </c>
      <c r="AE78" s="201">
        <f t="shared" si="21"/>
        <v>0</v>
      </c>
      <c r="AF78" s="201">
        <f t="shared" si="21"/>
        <v>0</v>
      </c>
      <c r="AG78" s="201">
        <f t="shared" si="21"/>
        <v>0</v>
      </c>
      <c r="AH78" s="201">
        <f t="shared" si="21"/>
        <v>0</v>
      </c>
      <c r="AI78" s="201">
        <f t="shared" si="21"/>
        <v>0</v>
      </c>
      <c r="AJ78" s="201">
        <f t="shared" si="21"/>
        <v>0</v>
      </c>
      <c r="AK78" s="201">
        <f t="shared" si="21"/>
        <v>0</v>
      </c>
      <c r="AL78" s="201">
        <f t="shared" si="21"/>
        <v>0</v>
      </c>
      <c r="AM78" s="201">
        <f t="shared" si="21"/>
        <v>0</v>
      </c>
      <c r="AN78" s="201">
        <f t="shared" si="21"/>
        <v>0</v>
      </c>
      <c r="AO78" s="201">
        <f t="shared" si="21"/>
        <v>0</v>
      </c>
      <c r="AP78" s="201">
        <f t="shared" si="21"/>
        <v>0</v>
      </c>
      <c r="AQ78" s="201">
        <f t="shared" si="21"/>
        <v>0</v>
      </c>
    </row>
    <row r="79" spans="1:46" s="213" customFormat="1" ht="18" customHeight="1" outlineLevel="2" x14ac:dyDescent="0.15">
      <c r="A79" s="216"/>
      <c r="B79" s="224" t="str">
        <f>$B$9</f>
        <v>销售数量</v>
      </c>
      <c r="C79" s="217">
        <f>SUM(D79:AQ79)</f>
        <v>0</v>
      </c>
      <c r="D79" s="201">
        <f>D82*规划指标!$G$14</f>
        <v>0</v>
      </c>
      <c r="E79" s="201">
        <f>E82*规划指标!$G$14</f>
        <v>0</v>
      </c>
      <c r="F79" s="201">
        <f>F82*规划指标!$G$14</f>
        <v>0</v>
      </c>
      <c r="G79" s="201">
        <f>G82*规划指标!$G$14</f>
        <v>0</v>
      </c>
      <c r="H79" s="201">
        <f>H82*规划指标!$G$14</f>
        <v>0</v>
      </c>
      <c r="I79" s="201">
        <f>I82*规划指标!$G$14</f>
        <v>0</v>
      </c>
      <c r="J79" s="201">
        <f>J82*规划指标!$G$14</f>
        <v>0</v>
      </c>
      <c r="K79" s="201">
        <f>K82*规划指标!$G$14</f>
        <v>0</v>
      </c>
      <c r="L79" s="201">
        <f>L82*规划指标!$G$14</f>
        <v>0</v>
      </c>
      <c r="M79" s="201">
        <f>M82*规划指标!$G$14</f>
        <v>0</v>
      </c>
      <c r="N79" s="201">
        <f>N82*规划指标!$G$14</f>
        <v>0</v>
      </c>
      <c r="O79" s="201">
        <f>O82*规划指标!$G$14</f>
        <v>0</v>
      </c>
      <c r="P79" s="201">
        <f>P82*规划指标!$G$14</f>
        <v>0</v>
      </c>
      <c r="Q79" s="201">
        <f>Q82*规划指标!$G$14</f>
        <v>0</v>
      </c>
      <c r="R79" s="201">
        <f>R82*规划指标!$G$14</f>
        <v>0</v>
      </c>
      <c r="S79" s="201">
        <f>S82*规划指标!$G$14</f>
        <v>0</v>
      </c>
      <c r="T79" s="201">
        <f>T82*规划指标!$G$14</f>
        <v>0</v>
      </c>
      <c r="U79" s="201">
        <f>U82*规划指标!$G$14</f>
        <v>0</v>
      </c>
      <c r="V79" s="201">
        <f>V82*规划指标!$G$14</f>
        <v>0</v>
      </c>
      <c r="W79" s="201">
        <f>W82*规划指标!$G$14</f>
        <v>0</v>
      </c>
      <c r="X79" s="201">
        <f>X82*规划指标!$G$14</f>
        <v>0</v>
      </c>
      <c r="Y79" s="201">
        <f>Y82*规划指标!$G$14</f>
        <v>0</v>
      </c>
      <c r="Z79" s="201">
        <f>Z82*规划指标!$G$14</f>
        <v>0</v>
      </c>
      <c r="AA79" s="201">
        <f>AA82*规划指标!$G$14</f>
        <v>0</v>
      </c>
      <c r="AB79" s="201">
        <f>AB82*规划指标!$G$14</f>
        <v>0</v>
      </c>
      <c r="AC79" s="201">
        <f>AC82*规划指标!$G$14</f>
        <v>0</v>
      </c>
      <c r="AD79" s="201">
        <f>AD82*规划指标!$G$14</f>
        <v>0</v>
      </c>
      <c r="AE79" s="201">
        <f>AE82*规划指标!$G$14</f>
        <v>0</v>
      </c>
      <c r="AF79" s="201">
        <f>AF82*规划指标!$G$14</f>
        <v>0</v>
      </c>
      <c r="AG79" s="201">
        <f>AG82*规划指标!$G$14</f>
        <v>0</v>
      </c>
      <c r="AH79" s="201">
        <f>AH82*规划指标!$G$14</f>
        <v>0</v>
      </c>
      <c r="AI79" s="201">
        <f>AI82*规划指标!$G$14</f>
        <v>0</v>
      </c>
      <c r="AJ79" s="201">
        <f>AJ82*规划指标!$G$14</f>
        <v>0</v>
      </c>
      <c r="AK79" s="201">
        <f>AK82*规划指标!$G$14</f>
        <v>0</v>
      </c>
      <c r="AL79" s="201">
        <f>AL82*规划指标!$G$14</f>
        <v>0</v>
      </c>
      <c r="AM79" s="201">
        <f>AM82*规划指标!$G$14</f>
        <v>0</v>
      </c>
      <c r="AN79" s="201">
        <f>AN82*规划指标!$G$14</f>
        <v>0</v>
      </c>
      <c r="AO79" s="201">
        <f>AO82*规划指标!$G$14</f>
        <v>0</v>
      </c>
      <c r="AP79" s="201">
        <f>AP82*规划指标!$G$14</f>
        <v>0</v>
      </c>
      <c r="AQ79" s="201">
        <f>AQ82*规划指标!$G$14</f>
        <v>0</v>
      </c>
    </row>
    <row r="80" spans="1:46" s="213" customFormat="1" ht="18" customHeight="1" outlineLevel="2" x14ac:dyDescent="0.15">
      <c r="A80" s="216"/>
      <c r="B80" s="224" t="str">
        <f>B73</f>
        <v>销售套数</v>
      </c>
      <c r="C80" s="217" t="e">
        <f>SUM(D80:AQ80)</f>
        <v>#DIV/0!</v>
      </c>
      <c r="D80" s="245" t="e">
        <f>D79/规划指标!$G$14*规划指标!$I$14</f>
        <v>#DIV/0!</v>
      </c>
      <c r="E80" s="245" t="e">
        <f>E79/规划指标!$G$14*规划指标!$I$14</f>
        <v>#DIV/0!</v>
      </c>
      <c r="F80" s="245" t="e">
        <f>F79/规划指标!$G$14*规划指标!$I$14</f>
        <v>#DIV/0!</v>
      </c>
      <c r="G80" s="245" t="e">
        <f>G79/规划指标!$G$14*规划指标!$I$14</f>
        <v>#DIV/0!</v>
      </c>
      <c r="H80" s="245" t="e">
        <f>H79/规划指标!$G$14*规划指标!$I$14</f>
        <v>#DIV/0!</v>
      </c>
      <c r="I80" s="245" t="e">
        <f>I79/规划指标!$G$14*规划指标!$I$14</f>
        <v>#DIV/0!</v>
      </c>
      <c r="J80" s="245" t="e">
        <f>J79/规划指标!$G$14*规划指标!$I$14</f>
        <v>#DIV/0!</v>
      </c>
      <c r="K80" s="245" t="e">
        <f>K79/规划指标!$G$14*规划指标!$I$14</f>
        <v>#DIV/0!</v>
      </c>
      <c r="L80" s="245" t="e">
        <f>L79/规划指标!$G$14*规划指标!$I$14</f>
        <v>#DIV/0!</v>
      </c>
      <c r="M80" s="245" t="e">
        <f>M79/规划指标!$G$14*规划指标!$I$14</f>
        <v>#DIV/0!</v>
      </c>
      <c r="N80" s="245" t="e">
        <f>N79/规划指标!$G$14*规划指标!$I$14</f>
        <v>#DIV/0!</v>
      </c>
      <c r="O80" s="245" t="e">
        <f>O79/规划指标!$G$14*规划指标!$I$14</f>
        <v>#DIV/0!</v>
      </c>
      <c r="P80" s="245" t="e">
        <f>P79/规划指标!$G$14*规划指标!$I$14</f>
        <v>#DIV/0!</v>
      </c>
      <c r="Q80" s="245" t="e">
        <f>Q79/规划指标!$G$14*规划指标!$I$14</f>
        <v>#DIV/0!</v>
      </c>
      <c r="R80" s="245" t="e">
        <f>R79/规划指标!$G$14*规划指标!$I$14</f>
        <v>#DIV/0!</v>
      </c>
      <c r="S80" s="245" t="e">
        <f>S79/规划指标!$G$14*规划指标!$I$14</f>
        <v>#DIV/0!</v>
      </c>
      <c r="T80" s="245" t="e">
        <f>T79/规划指标!$G$14*规划指标!$I$14</f>
        <v>#DIV/0!</v>
      </c>
      <c r="U80" s="245" t="e">
        <f>U79/规划指标!$G$14*规划指标!$I$14</f>
        <v>#DIV/0!</v>
      </c>
      <c r="V80" s="245" t="e">
        <f>V79/规划指标!$G$14*规划指标!$I$14</f>
        <v>#DIV/0!</v>
      </c>
      <c r="W80" s="245" t="e">
        <f>W79/规划指标!$G$14*规划指标!$I$14</f>
        <v>#DIV/0!</v>
      </c>
      <c r="X80" s="245" t="e">
        <f>X79/规划指标!$G$14*规划指标!$I$14</f>
        <v>#DIV/0!</v>
      </c>
      <c r="Y80" s="245" t="e">
        <f>Y79/规划指标!$G$14*规划指标!$I$14</f>
        <v>#DIV/0!</v>
      </c>
      <c r="Z80" s="245" t="e">
        <f>Z79/规划指标!$G$14*规划指标!$I$14</f>
        <v>#DIV/0!</v>
      </c>
      <c r="AA80" s="245" t="e">
        <f>AA79/规划指标!$G$14*规划指标!$I$14</f>
        <v>#DIV/0!</v>
      </c>
      <c r="AB80" s="245" t="e">
        <f>AB79/规划指标!$G$14*规划指标!$I$14</f>
        <v>#DIV/0!</v>
      </c>
      <c r="AC80" s="245" t="e">
        <f>AC79/规划指标!$G$14*规划指标!$I$14</f>
        <v>#DIV/0!</v>
      </c>
      <c r="AD80" s="245" t="e">
        <f>AD79/规划指标!$G$14*规划指标!$I$14</f>
        <v>#DIV/0!</v>
      </c>
      <c r="AE80" s="245" t="e">
        <f>AE79/规划指标!$G$14*规划指标!$I$14</f>
        <v>#DIV/0!</v>
      </c>
      <c r="AF80" s="245" t="e">
        <f>AF79/规划指标!$G$14*规划指标!$I$14</f>
        <v>#DIV/0!</v>
      </c>
      <c r="AG80" s="245" t="e">
        <f>AG79/规划指标!$G$14*规划指标!$I$14</f>
        <v>#DIV/0!</v>
      </c>
      <c r="AH80" s="245" t="e">
        <f>AH79/规划指标!$G$14*规划指标!$I$14</f>
        <v>#DIV/0!</v>
      </c>
      <c r="AI80" s="245" t="e">
        <f>AI79/规划指标!$G$14*规划指标!$I$14</f>
        <v>#DIV/0!</v>
      </c>
      <c r="AJ80" s="245" t="e">
        <f>AJ79/规划指标!$G$14*规划指标!$I$14</f>
        <v>#DIV/0!</v>
      </c>
      <c r="AK80" s="245" t="e">
        <f>AK79/规划指标!$G$14*规划指标!$I$14</f>
        <v>#DIV/0!</v>
      </c>
      <c r="AL80" s="245" t="e">
        <f>AL79/规划指标!$G$14*规划指标!$I$14</f>
        <v>#DIV/0!</v>
      </c>
      <c r="AM80" s="245" t="e">
        <f>AM79/规划指标!$G$14*规划指标!$I$14</f>
        <v>#DIV/0!</v>
      </c>
      <c r="AN80" s="245" t="e">
        <f>AN79/规划指标!$G$14*规划指标!$I$14</f>
        <v>#DIV/0!</v>
      </c>
      <c r="AO80" s="245" t="e">
        <f>AO79/规划指标!$G$14*规划指标!$I$14</f>
        <v>#DIV/0!</v>
      </c>
      <c r="AP80" s="245" t="e">
        <f>AP79/规划指标!$G$14*规划指标!$I$14</f>
        <v>#DIV/0!</v>
      </c>
      <c r="AQ80" s="245" t="e">
        <f>AQ79/规划指标!$G$14*规划指标!$I$14</f>
        <v>#DIV/0!</v>
      </c>
    </row>
    <row r="81" spans="1:46" s="213" customFormat="1" ht="18" customHeight="1" outlineLevel="2" x14ac:dyDescent="0.15">
      <c r="A81" s="216"/>
      <c r="B81" s="224" t="str">
        <f>$B$11</f>
        <v>销售均价</v>
      </c>
      <c r="C81" s="225" t="e">
        <f>ROUND(C78/C79*10000,0)</f>
        <v>#DIV/0!</v>
      </c>
      <c r="D81" s="226">
        <f>ROUND(C83*D163,0)</f>
        <v>0</v>
      </c>
      <c r="E81" s="226">
        <f>D81</f>
        <v>0</v>
      </c>
      <c r="F81" s="226">
        <f t="shared" ref="F81:AQ81" si="22">E81</f>
        <v>0</v>
      </c>
      <c r="G81" s="226">
        <f t="shared" si="22"/>
        <v>0</v>
      </c>
      <c r="H81" s="226">
        <f t="shared" si="22"/>
        <v>0</v>
      </c>
      <c r="I81" s="226">
        <f t="shared" si="22"/>
        <v>0</v>
      </c>
      <c r="J81" s="226">
        <f t="shared" si="22"/>
        <v>0</v>
      </c>
      <c r="K81" s="226">
        <f t="shared" si="22"/>
        <v>0</v>
      </c>
      <c r="L81" s="226">
        <f t="shared" si="22"/>
        <v>0</v>
      </c>
      <c r="M81" s="226">
        <f t="shared" si="22"/>
        <v>0</v>
      </c>
      <c r="N81" s="226">
        <f t="shared" si="22"/>
        <v>0</v>
      </c>
      <c r="O81" s="226">
        <f t="shared" si="22"/>
        <v>0</v>
      </c>
      <c r="P81" s="226">
        <f t="shared" si="22"/>
        <v>0</v>
      </c>
      <c r="Q81" s="226">
        <f t="shared" si="22"/>
        <v>0</v>
      </c>
      <c r="R81" s="226">
        <f t="shared" si="22"/>
        <v>0</v>
      </c>
      <c r="S81" s="226">
        <f t="shared" si="22"/>
        <v>0</v>
      </c>
      <c r="T81" s="226">
        <f t="shared" si="22"/>
        <v>0</v>
      </c>
      <c r="U81" s="226">
        <f t="shared" si="22"/>
        <v>0</v>
      </c>
      <c r="V81" s="226">
        <f t="shared" si="22"/>
        <v>0</v>
      </c>
      <c r="W81" s="226">
        <f t="shared" si="22"/>
        <v>0</v>
      </c>
      <c r="X81" s="226">
        <f t="shared" si="22"/>
        <v>0</v>
      </c>
      <c r="Y81" s="226">
        <f t="shared" si="22"/>
        <v>0</v>
      </c>
      <c r="Z81" s="226">
        <f t="shared" si="22"/>
        <v>0</v>
      </c>
      <c r="AA81" s="226">
        <f t="shared" si="22"/>
        <v>0</v>
      </c>
      <c r="AB81" s="226">
        <f t="shared" si="22"/>
        <v>0</v>
      </c>
      <c r="AC81" s="226">
        <f t="shared" si="22"/>
        <v>0</v>
      </c>
      <c r="AD81" s="226">
        <f t="shared" si="22"/>
        <v>0</v>
      </c>
      <c r="AE81" s="226">
        <f t="shared" si="22"/>
        <v>0</v>
      </c>
      <c r="AF81" s="226">
        <f t="shared" si="22"/>
        <v>0</v>
      </c>
      <c r="AG81" s="226">
        <f t="shared" si="22"/>
        <v>0</v>
      </c>
      <c r="AH81" s="226">
        <f t="shared" si="22"/>
        <v>0</v>
      </c>
      <c r="AI81" s="226">
        <f t="shared" si="22"/>
        <v>0</v>
      </c>
      <c r="AJ81" s="226">
        <f t="shared" si="22"/>
        <v>0</v>
      </c>
      <c r="AK81" s="226">
        <f t="shared" si="22"/>
        <v>0</v>
      </c>
      <c r="AL81" s="226">
        <f t="shared" si="22"/>
        <v>0</v>
      </c>
      <c r="AM81" s="226">
        <f t="shared" si="22"/>
        <v>0</v>
      </c>
      <c r="AN81" s="226">
        <f>W81</f>
        <v>0</v>
      </c>
      <c r="AO81" s="226">
        <f t="shared" si="22"/>
        <v>0</v>
      </c>
      <c r="AP81" s="226">
        <f t="shared" si="22"/>
        <v>0</v>
      </c>
      <c r="AQ81" s="226">
        <f t="shared" si="22"/>
        <v>0</v>
      </c>
    </row>
    <row r="82" spans="1:46" s="229" customFormat="1" ht="18" customHeight="1" outlineLevel="2" x14ac:dyDescent="0.15">
      <c r="A82" s="227"/>
      <c r="B82" s="224" t="str">
        <f>$B$12</f>
        <v>销售率</v>
      </c>
      <c r="C82" s="228">
        <f>SUM(D82:AQ82)</f>
        <v>0</v>
      </c>
      <c r="D82" s="234"/>
      <c r="E82" s="234"/>
      <c r="F82" s="234"/>
      <c r="G82" s="234"/>
      <c r="H82" s="234"/>
      <c r="I82" s="234"/>
      <c r="J82" s="234"/>
      <c r="K82" s="234"/>
      <c r="L82" s="234"/>
      <c r="M82" s="234"/>
      <c r="N82" s="234"/>
      <c r="O82" s="234"/>
      <c r="P82" s="234"/>
      <c r="Q82" s="234"/>
      <c r="R82" s="234"/>
      <c r="S82" s="234"/>
      <c r="T82" s="234"/>
      <c r="U82" s="234"/>
      <c r="V82" s="234"/>
      <c r="W82" s="234"/>
      <c r="X82" s="234"/>
      <c r="Y82" s="234"/>
      <c r="Z82" s="234"/>
      <c r="AA82" s="234"/>
      <c r="AB82" s="234"/>
      <c r="AC82" s="234"/>
      <c r="AD82" s="234"/>
      <c r="AE82" s="234"/>
      <c r="AF82" s="234"/>
      <c r="AG82" s="234"/>
      <c r="AH82" s="234"/>
      <c r="AI82" s="234"/>
      <c r="AJ82" s="234"/>
      <c r="AK82" s="234"/>
      <c r="AL82" s="234"/>
      <c r="AM82" s="234"/>
      <c r="AN82" s="234"/>
      <c r="AO82" s="234"/>
      <c r="AP82" s="234"/>
      <c r="AQ82" s="234"/>
    </row>
    <row r="83" spans="1:46" s="229" customFormat="1" ht="18" customHeight="1" outlineLevel="2" x14ac:dyDescent="0.15">
      <c r="A83" s="227"/>
      <c r="B83" s="224" t="s">
        <v>577</v>
      </c>
      <c r="C83" s="234"/>
      <c r="D83" s="228"/>
      <c r="E83" s="228"/>
      <c r="F83" s="228"/>
      <c r="G83" s="228"/>
      <c r="H83" s="228"/>
      <c r="I83" s="228"/>
      <c r="J83" s="228"/>
      <c r="K83" s="228"/>
      <c r="L83" s="228"/>
      <c r="M83" s="228"/>
      <c r="N83" s="228"/>
      <c r="O83" s="228"/>
      <c r="P83" s="228"/>
      <c r="Q83" s="228"/>
      <c r="R83" s="228"/>
      <c r="S83" s="228"/>
      <c r="T83" s="228"/>
      <c r="U83" s="228"/>
      <c r="V83" s="228"/>
      <c r="W83" s="228"/>
      <c r="X83" s="228"/>
      <c r="Y83" s="228"/>
      <c r="Z83" s="228"/>
      <c r="AA83" s="228"/>
      <c r="AB83" s="228"/>
      <c r="AC83" s="228"/>
      <c r="AD83" s="228"/>
      <c r="AE83" s="228"/>
      <c r="AF83" s="228"/>
      <c r="AG83" s="228"/>
      <c r="AH83" s="228"/>
      <c r="AI83" s="228"/>
      <c r="AJ83" s="228"/>
      <c r="AK83" s="228"/>
      <c r="AL83" s="228"/>
      <c r="AM83" s="228"/>
      <c r="AN83" s="228"/>
      <c r="AO83" s="228"/>
      <c r="AP83" s="228"/>
      <c r="AQ83" s="228"/>
    </row>
    <row r="84" spans="1:46" s="213" customFormat="1" ht="18" customHeight="1" outlineLevel="2" x14ac:dyDescent="0.15">
      <c r="A84" s="216"/>
      <c r="B84" s="634"/>
      <c r="C84" s="228"/>
      <c r="D84" s="231"/>
      <c r="E84" s="231"/>
      <c r="F84" s="231"/>
      <c r="G84" s="231"/>
      <c r="H84" s="231"/>
      <c r="I84" s="231"/>
      <c r="J84" s="231"/>
      <c r="K84" s="231"/>
      <c r="L84" s="231"/>
      <c r="M84" s="231"/>
      <c r="N84" s="231"/>
      <c r="O84" s="231"/>
      <c r="P84" s="231"/>
      <c r="Q84" s="231"/>
      <c r="R84" s="231"/>
      <c r="S84" s="231"/>
      <c r="T84" s="231"/>
      <c r="U84" s="231"/>
      <c r="V84" s="231"/>
      <c r="W84" s="231"/>
      <c r="X84" s="231"/>
      <c r="Y84" s="231"/>
      <c r="Z84" s="231"/>
      <c r="AA84" s="231"/>
      <c r="AB84" s="231"/>
      <c r="AC84" s="231"/>
      <c r="AD84" s="231"/>
      <c r="AE84" s="231"/>
      <c r="AF84" s="231"/>
      <c r="AG84" s="231"/>
      <c r="AH84" s="231"/>
      <c r="AI84" s="231"/>
      <c r="AJ84" s="231"/>
      <c r="AK84" s="231"/>
      <c r="AL84" s="231"/>
      <c r="AM84" s="231"/>
      <c r="AN84" s="231"/>
      <c r="AO84" s="231"/>
      <c r="AP84" s="231"/>
      <c r="AQ84" s="231"/>
    </row>
    <row r="85" spans="1:46" s="213" customFormat="1" ht="18" customHeight="1" outlineLevel="1" x14ac:dyDescent="0.15">
      <c r="A85" s="216" t="s">
        <v>578</v>
      </c>
      <c r="B85" s="633">
        <f>规划指标!F15</f>
        <v>0</v>
      </c>
      <c r="C85" s="217">
        <f>SUM(D85:AQ85)</f>
        <v>0</v>
      </c>
      <c r="D85" s="201">
        <f>D88*D86/10000</f>
        <v>0</v>
      </c>
      <c r="E85" s="201">
        <f t="shared" ref="E85:AQ85" si="23">E88*E86/10000</f>
        <v>0</v>
      </c>
      <c r="F85" s="201">
        <f t="shared" si="23"/>
        <v>0</v>
      </c>
      <c r="G85" s="201">
        <f t="shared" si="23"/>
        <v>0</v>
      </c>
      <c r="H85" s="201">
        <f t="shared" si="23"/>
        <v>0</v>
      </c>
      <c r="I85" s="201">
        <f t="shared" si="23"/>
        <v>0</v>
      </c>
      <c r="J85" s="201">
        <f t="shared" si="23"/>
        <v>0</v>
      </c>
      <c r="K85" s="201">
        <f t="shared" si="23"/>
        <v>0</v>
      </c>
      <c r="L85" s="201">
        <f t="shared" si="23"/>
        <v>0</v>
      </c>
      <c r="M85" s="201">
        <f t="shared" si="23"/>
        <v>0</v>
      </c>
      <c r="N85" s="201">
        <f t="shared" si="23"/>
        <v>0</v>
      </c>
      <c r="O85" s="201">
        <f t="shared" si="23"/>
        <v>0</v>
      </c>
      <c r="P85" s="201">
        <f t="shared" si="23"/>
        <v>0</v>
      </c>
      <c r="Q85" s="201">
        <f t="shared" si="23"/>
        <v>0</v>
      </c>
      <c r="R85" s="201">
        <f t="shared" si="23"/>
        <v>0</v>
      </c>
      <c r="S85" s="201">
        <f t="shared" si="23"/>
        <v>0</v>
      </c>
      <c r="T85" s="201">
        <f t="shared" si="23"/>
        <v>0</v>
      </c>
      <c r="U85" s="201">
        <f t="shared" si="23"/>
        <v>0</v>
      </c>
      <c r="V85" s="201">
        <f t="shared" si="23"/>
        <v>0</v>
      </c>
      <c r="W85" s="201">
        <f t="shared" si="23"/>
        <v>0</v>
      </c>
      <c r="X85" s="201">
        <f t="shared" si="23"/>
        <v>0</v>
      </c>
      <c r="Y85" s="201">
        <f t="shared" si="23"/>
        <v>0</v>
      </c>
      <c r="Z85" s="201">
        <f t="shared" si="23"/>
        <v>0</v>
      </c>
      <c r="AA85" s="201">
        <f t="shared" si="23"/>
        <v>0</v>
      </c>
      <c r="AB85" s="201">
        <f t="shared" si="23"/>
        <v>0</v>
      </c>
      <c r="AC85" s="201">
        <f t="shared" si="23"/>
        <v>0</v>
      </c>
      <c r="AD85" s="201">
        <f t="shared" si="23"/>
        <v>0</v>
      </c>
      <c r="AE85" s="201">
        <f t="shared" si="23"/>
        <v>0</v>
      </c>
      <c r="AF85" s="201">
        <f t="shared" si="23"/>
        <v>0</v>
      </c>
      <c r="AG85" s="201">
        <f t="shared" si="23"/>
        <v>0</v>
      </c>
      <c r="AH85" s="201">
        <f t="shared" si="23"/>
        <v>0</v>
      </c>
      <c r="AI85" s="201">
        <f t="shared" si="23"/>
        <v>0</v>
      </c>
      <c r="AJ85" s="201">
        <f t="shared" si="23"/>
        <v>0</v>
      </c>
      <c r="AK85" s="201">
        <f t="shared" si="23"/>
        <v>0</v>
      </c>
      <c r="AL85" s="201">
        <f t="shared" si="23"/>
        <v>0</v>
      </c>
      <c r="AM85" s="201">
        <f t="shared" si="23"/>
        <v>0</v>
      </c>
      <c r="AN85" s="201">
        <f t="shared" si="23"/>
        <v>0</v>
      </c>
      <c r="AO85" s="201">
        <f t="shared" si="23"/>
        <v>0</v>
      </c>
      <c r="AP85" s="201">
        <f t="shared" si="23"/>
        <v>0</v>
      </c>
      <c r="AQ85" s="201">
        <f t="shared" si="23"/>
        <v>0</v>
      </c>
    </row>
    <row r="86" spans="1:46" s="213" customFormat="1" ht="18" customHeight="1" outlineLevel="2" x14ac:dyDescent="0.15">
      <c r="A86" s="216"/>
      <c r="B86" s="224" t="str">
        <f>$B$9</f>
        <v>销售数量</v>
      </c>
      <c r="C86" s="217">
        <f>SUM(D86:AQ86)</f>
        <v>0</v>
      </c>
      <c r="D86" s="201">
        <f>D89*规划指标!$G$15</f>
        <v>0</v>
      </c>
      <c r="E86" s="201">
        <f>E89*规划指标!$G$15</f>
        <v>0</v>
      </c>
      <c r="F86" s="201">
        <f>F89*规划指标!$G$15</f>
        <v>0</v>
      </c>
      <c r="G86" s="201">
        <f>G89*规划指标!$G$15</f>
        <v>0</v>
      </c>
      <c r="H86" s="201">
        <f>H89*规划指标!$G$15</f>
        <v>0</v>
      </c>
      <c r="I86" s="201">
        <f>I89*规划指标!$G$15</f>
        <v>0</v>
      </c>
      <c r="J86" s="201">
        <f>J89*规划指标!$G$15</f>
        <v>0</v>
      </c>
      <c r="K86" s="201">
        <f>K89*规划指标!$G$15</f>
        <v>0</v>
      </c>
      <c r="L86" s="201">
        <f>L89*规划指标!$G$15</f>
        <v>0</v>
      </c>
      <c r="M86" s="201">
        <f>M89*规划指标!$G$15</f>
        <v>0</v>
      </c>
      <c r="N86" s="201">
        <f>N89*规划指标!$G$15</f>
        <v>0</v>
      </c>
      <c r="O86" s="201">
        <f>O89*规划指标!$G$15</f>
        <v>0</v>
      </c>
      <c r="P86" s="201">
        <f>P89*规划指标!$G$15</f>
        <v>0</v>
      </c>
      <c r="Q86" s="201">
        <f>Q89*规划指标!$G$15</f>
        <v>0</v>
      </c>
      <c r="R86" s="201">
        <f>R89*规划指标!$G$15</f>
        <v>0</v>
      </c>
      <c r="S86" s="201">
        <f>S89*规划指标!$G$15</f>
        <v>0</v>
      </c>
      <c r="T86" s="201">
        <f>T89*规划指标!$G$15</f>
        <v>0</v>
      </c>
      <c r="U86" s="201">
        <f>U89*规划指标!$G$15</f>
        <v>0</v>
      </c>
      <c r="V86" s="201">
        <f>V89*规划指标!$G$15</f>
        <v>0</v>
      </c>
      <c r="W86" s="201">
        <f>W89*规划指标!$G$15</f>
        <v>0</v>
      </c>
      <c r="X86" s="201">
        <f>X89*规划指标!$G$15</f>
        <v>0</v>
      </c>
      <c r="Y86" s="201">
        <f>Y89*规划指标!$G$15</f>
        <v>0</v>
      </c>
      <c r="Z86" s="201">
        <f>Z89*规划指标!$G$15</f>
        <v>0</v>
      </c>
      <c r="AA86" s="201">
        <f>AA89*规划指标!$G$15</f>
        <v>0</v>
      </c>
      <c r="AB86" s="201">
        <f>AB89*规划指标!$G$15</f>
        <v>0</v>
      </c>
      <c r="AC86" s="201">
        <f>AC89*规划指标!$G$15</f>
        <v>0</v>
      </c>
      <c r="AD86" s="201">
        <f>AD89*规划指标!$G$15</f>
        <v>0</v>
      </c>
      <c r="AE86" s="201">
        <f>AE89*规划指标!$G$15</f>
        <v>0</v>
      </c>
      <c r="AF86" s="201">
        <f>AF89*规划指标!$G$15</f>
        <v>0</v>
      </c>
      <c r="AG86" s="201">
        <f>AG89*规划指标!$G$15</f>
        <v>0</v>
      </c>
      <c r="AH86" s="201">
        <f>AH89*规划指标!$G$15</f>
        <v>0</v>
      </c>
      <c r="AI86" s="201">
        <f>AI89*规划指标!$G$15</f>
        <v>0</v>
      </c>
      <c r="AJ86" s="201">
        <f>AJ89*规划指标!$G$15</f>
        <v>0</v>
      </c>
      <c r="AK86" s="201">
        <f>AK89*规划指标!$G$15</f>
        <v>0</v>
      </c>
      <c r="AL86" s="201">
        <f>AL89*规划指标!$G$15</f>
        <v>0</v>
      </c>
      <c r="AM86" s="201">
        <f>AM89*规划指标!$G$15</f>
        <v>0</v>
      </c>
      <c r="AN86" s="201">
        <f>AN89*规划指标!$G$15</f>
        <v>0</v>
      </c>
      <c r="AO86" s="201">
        <f>AO89*规划指标!$G$15</f>
        <v>0</v>
      </c>
      <c r="AP86" s="201">
        <f>AP89*规划指标!$G$15</f>
        <v>0</v>
      </c>
      <c r="AQ86" s="201">
        <f>AQ89*规划指标!$G$15</f>
        <v>0</v>
      </c>
    </row>
    <row r="87" spans="1:46" s="213" customFormat="1" ht="18" customHeight="1" outlineLevel="2" x14ac:dyDescent="0.15">
      <c r="A87" s="216"/>
      <c r="B87" s="224" t="str">
        <f>B80</f>
        <v>销售套数</v>
      </c>
      <c r="C87" s="217" t="e">
        <f>SUM(D87:AQ87)</f>
        <v>#DIV/0!</v>
      </c>
      <c r="D87" s="245" t="e">
        <f>D86/规划指标!$G$15*规划指标!$I$15</f>
        <v>#DIV/0!</v>
      </c>
      <c r="E87" s="245" t="e">
        <f>E86/规划指标!$G$15*规划指标!$I$15</f>
        <v>#DIV/0!</v>
      </c>
      <c r="F87" s="245" t="e">
        <f>F86/规划指标!$G$15*规划指标!$I$15</f>
        <v>#DIV/0!</v>
      </c>
      <c r="G87" s="245" t="e">
        <f>G86/规划指标!$G$15*规划指标!$I$15</f>
        <v>#DIV/0!</v>
      </c>
      <c r="H87" s="245" t="e">
        <f>H86/规划指标!$G$15*规划指标!$I$15</f>
        <v>#DIV/0!</v>
      </c>
      <c r="I87" s="245" t="e">
        <f>I86/规划指标!$G$15*规划指标!$I$15</f>
        <v>#DIV/0!</v>
      </c>
      <c r="J87" s="245" t="e">
        <f>J86/规划指标!$G$15*规划指标!$I$15</f>
        <v>#DIV/0!</v>
      </c>
      <c r="K87" s="245" t="e">
        <f>K86/规划指标!$G$15*规划指标!$I$15</f>
        <v>#DIV/0!</v>
      </c>
      <c r="L87" s="245" t="e">
        <f>L86/规划指标!$G$15*规划指标!$I$15</f>
        <v>#DIV/0!</v>
      </c>
      <c r="M87" s="245" t="e">
        <f>M86/规划指标!$G$15*规划指标!$I$15</f>
        <v>#DIV/0!</v>
      </c>
      <c r="N87" s="245" t="e">
        <f>N86/规划指标!$G$15*规划指标!$I$15</f>
        <v>#DIV/0!</v>
      </c>
      <c r="O87" s="245" t="e">
        <f>O86/规划指标!$G$15*规划指标!$I$15</f>
        <v>#DIV/0!</v>
      </c>
      <c r="P87" s="245" t="e">
        <f>P86/规划指标!$G$15*规划指标!$I$15</f>
        <v>#DIV/0!</v>
      </c>
      <c r="Q87" s="245" t="e">
        <f>Q86/规划指标!$G$15*规划指标!$I$15</f>
        <v>#DIV/0!</v>
      </c>
      <c r="R87" s="245" t="e">
        <f>R86/规划指标!$G$15*规划指标!$I$15</f>
        <v>#DIV/0!</v>
      </c>
      <c r="S87" s="245" t="e">
        <f>S86/规划指标!$G$15*规划指标!$I$15</f>
        <v>#DIV/0!</v>
      </c>
      <c r="T87" s="245" t="e">
        <f>T86/规划指标!$G$15*规划指标!$I$15</f>
        <v>#DIV/0!</v>
      </c>
      <c r="U87" s="245" t="e">
        <f>U86/规划指标!$G$15*规划指标!$I$15</f>
        <v>#DIV/0!</v>
      </c>
      <c r="V87" s="245" t="e">
        <f>V86/规划指标!$G$15*规划指标!$I$15</f>
        <v>#DIV/0!</v>
      </c>
      <c r="W87" s="245" t="e">
        <f>W86/规划指标!$G$15*规划指标!$I$15</f>
        <v>#DIV/0!</v>
      </c>
      <c r="X87" s="245" t="e">
        <f>X86/规划指标!$G$15*规划指标!$I$15</f>
        <v>#DIV/0!</v>
      </c>
      <c r="Y87" s="245" t="e">
        <f>Y86/规划指标!$G$15*规划指标!$I$15</f>
        <v>#DIV/0!</v>
      </c>
      <c r="Z87" s="245" t="e">
        <f>Z86/规划指标!$G$15*规划指标!$I$15</f>
        <v>#DIV/0!</v>
      </c>
      <c r="AA87" s="245" t="e">
        <f>AA86/规划指标!$G$15*规划指标!$I$15</f>
        <v>#DIV/0!</v>
      </c>
      <c r="AB87" s="245" t="e">
        <f>AB86/规划指标!$G$15*规划指标!$I$15</f>
        <v>#DIV/0!</v>
      </c>
      <c r="AC87" s="245" t="e">
        <f>AC86/规划指标!$G$15*规划指标!$I$15</f>
        <v>#DIV/0!</v>
      </c>
      <c r="AD87" s="245" t="e">
        <f>AD86/规划指标!$G$15*规划指标!$I$15</f>
        <v>#DIV/0!</v>
      </c>
      <c r="AE87" s="245" t="e">
        <f>AE86/规划指标!$G$15*规划指标!$I$15</f>
        <v>#DIV/0!</v>
      </c>
      <c r="AF87" s="245" t="e">
        <f>AF86/规划指标!$G$15*规划指标!$I$15</f>
        <v>#DIV/0!</v>
      </c>
      <c r="AG87" s="245" t="e">
        <f>AG86/规划指标!$G$15*规划指标!$I$15</f>
        <v>#DIV/0!</v>
      </c>
      <c r="AH87" s="245" t="e">
        <f>AH86/规划指标!$G$15*规划指标!$I$15</f>
        <v>#DIV/0!</v>
      </c>
      <c r="AI87" s="245" t="e">
        <f>AI86/规划指标!$G$15*规划指标!$I$15</f>
        <v>#DIV/0!</v>
      </c>
      <c r="AJ87" s="245" t="e">
        <f>AJ86/规划指标!$G$15*规划指标!$I$15</f>
        <v>#DIV/0!</v>
      </c>
      <c r="AK87" s="245" t="e">
        <f>AK86/规划指标!$G$15*规划指标!$I$15</f>
        <v>#DIV/0!</v>
      </c>
      <c r="AL87" s="245" t="e">
        <f>AL86/规划指标!$G$15*规划指标!$I$15</f>
        <v>#DIV/0!</v>
      </c>
      <c r="AM87" s="245" t="e">
        <f>AM86/规划指标!$G$15*规划指标!$I$15</f>
        <v>#DIV/0!</v>
      </c>
      <c r="AN87" s="245" t="e">
        <f>AN86/规划指标!$G$15*规划指标!$I$15</f>
        <v>#DIV/0!</v>
      </c>
      <c r="AO87" s="245" t="e">
        <f>AO86/规划指标!$G$15*规划指标!$I$15</f>
        <v>#DIV/0!</v>
      </c>
      <c r="AP87" s="245" t="e">
        <f>AP86/规划指标!$G$15*规划指标!$I$15</f>
        <v>#DIV/0!</v>
      </c>
      <c r="AQ87" s="245" t="e">
        <f>AQ86/规划指标!$G$15*规划指标!$I$15</f>
        <v>#DIV/0!</v>
      </c>
    </row>
    <row r="88" spans="1:46" s="213" customFormat="1" ht="18" customHeight="1" outlineLevel="2" x14ac:dyDescent="0.15">
      <c r="A88" s="216"/>
      <c r="B88" s="224" t="str">
        <f>$B$11</f>
        <v>销售均价</v>
      </c>
      <c r="C88" s="225" t="e">
        <f>ROUND(C85/C86*10000,0)</f>
        <v>#DIV/0!</v>
      </c>
      <c r="D88" s="226">
        <f>ROUND(C90*D164,0)</f>
        <v>0</v>
      </c>
      <c r="E88" s="226">
        <f t="shared" ref="E88:AM88" si="24">D88</f>
        <v>0</v>
      </c>
      <c r="F88" s="226">
        <f t="shared" si="24"/>
        <v>0</v>
      </c>
      <c r="G88" s="226">
        <f t="shared" si="24"/>
        <v>0</v>
      </c>
      <c r="H88" s="226">
        <f t="shared" si="24"/>
        <v>0</v>
      </c>
      <c r="I88" s="226">
        <f t="shared" si="24"/>
        <v>0</v>
      </c>
      <c r="J88" s="226">
        <f t="shared" si="24"/>
        <v>0</v>
      </c>
      <c r="K88" s="226">
        <f t="shared" si="24"/>
        <v>0</v>
      </c>
      <c r="L88" s="226">
        <f t="shared" si="24"/>
        <v>0</v>
      </c>
      <c r="M88" s="226">
        <f t="shared" si="24"/>
        <v>0</v>
      </c>
      <c r="N88" s="226">
        <f t="shared" si="24"/>
        <v>0</v>
      </c>
      <c r="O88" s="226">
        <f t="shared" si="24"/>
        <v>0</v>
      </c>
      <c r="P88" s="226">
        <f t="shared" si="24"/>
        <v>0</v>
      </c>
      <c r="Q88" s="226">
        <f t="shared" si="24"/>
        <v>0</v>
      </c>
      <c r="R88" s="226">
        <f t="shared" si="24"/>
        <v>0</v>
      </c>
      <c r="S88" s="226">
        <f t="shared" si="24"/>
        <v>0</v>
      </c>
      <c r="T88" s="226">
        <f t="shared" si="24"/>
        <v>0</v>
      </c>
      <c r="U88" s="226">
        <f t="shared" si="24"/>
        <v>0</v>
      </c>
      <c r="V88" s="226">
        <f t="shared" si="24"/>
        <v>0</v>
      </c>
      <c r="W88" s="226">
        <f t="shared" si="24"/>
        <v>0</v>
      </c>
      <c r="X88" s="226">
        <f t="shared" si="24"/>
        <v>0</v>
      </c>
      <c r="Y88" s="226">
        <f t="shared" si="24"/>
        <v>0</v>
      </c>
      <c r="Z88" s="226">
        <f t="shared" si="24"/>
        <v>0</v>
      </c>
      <c r="AA88" s="226">
        <f t="shared" si="24"/>
        <v>0</v>
      </c>
      <c r="AB88" s="226">
        <f t="shared" si="24"/>
        <v>0</v>
      </c>
      <c r="AC88" s="226">
        <f t="shared" si="24"/>
        <v>0</v>
      </c>
      <c r="AD88" s="226">
        <f t="shared" si="24"/>
        <v>0</v>
      </c>
      <c r="AE88" s="226">
        <f t="shared" si="24"/>
        <v>0</v>
      </c>
      <c r="AF88" s="226">
        <f t="shared" si="24"/>
        <v>0</v>
      </c>
      <c r="AG88" s="226">
        <f t="shared" si="24"/>
        <v>0</v>
      </c>
      <c r="AH88" s="226">
        <f t="shared" si="24"/>
        <v>0</v>
      </c>
      <c r="AI88" s="226">
        <f t="shared" si="24"/>
        <v>0</v>
      </c>
      <c r="AJ88" s="226">
        <f t="shared" si="24"/>
        <v>0</v>
      </c>
      <c r="AK88" s="226">
        <f t="shared" si="24"/>
        <v>0</v>
      </c>
      <c r="AL88" s="226">
        <f t="shared" si="24"/>
        <v>0</v>
      </c>
      <c r="AM88" s="226">
        <f t="shared" si="24"/>
        <v>0</v>
      </c>
      <c r="AN88" s="226">
        <f>W88</f>
        <v>0</v>
      </c>
      <c r="AO88" s="226">
        <f>AN88</f>
        <v>0</v>
      </c>
      <c r="AP88" s="226">
        <f>AO88</f>
        <v>0</v>
      </c>
      <c r="AQ88" s="226">
        <f>AP88</f>
        <v>0</v>
      </c>
    </row>
    <row r="89" spans="1:46" s="229" customFormat="1" ht="18" customHeight="1" outlineLevel="2" x14ac:dyDescent="0.15">
      <c r="A89" s="227"/>
      <c r="B89" s="224" t="str">
        <f>$B$12</f>
        <v>销售率</v>
      </c>
      <c r="C89" s="228">
        <f>SUM(D89:AQ89)</f>
        <v>0</v>
      </c>
      <c r="D89" s="234"/>
      <c r="E89" s="234"/>
      <c r="F89" s="234"/>
      <c r="G89" s="234"/>
      <c r="H89" s="234"/>
      <c r="I89" s="234"/>
      <c r="J89" s="234"/>
      <c r="K89" s="234"/>
      <c r="L89" s="234"/>
      <c r="M89" s="234"/>
      <c r="N89" s="234"/>
      <c r="O89" s="234"/>
      <c r="P89" s="234"/>
      <c r="Q89" s="234"/>
      <c r="R89" s="234"/>
      <c r="S89" s="234"/>
      <c r="T89" s="234"/>
      <c r="U89" s="234"/>
      <c r="V89" s="234"/>
      <c r="W89" s="234"/>
      <c r="X89" s="234"/>
      <c r="Y89" s="234"/>
      <c r="Z89" s="234"/>
      <c r="AA89" s="234"/>
      <c r="AB89" s="234"/>
      <c r="AC89" s="234"/>
      <c r="AD89" s="234"/>
      <c r="AE89" s="234"/>
      <c r="AF89" s="234"/>
      <c r="AG89" s="234"/>
      <c r="AH89" s="234"/>
      <c r="AI89" s="234"/>
      <c r="AJ89" s="234"/>
      <c r="AK89" s="234"/>
      <c r="AL89" s="234"/>
      <c r="AM89" s="234"/>
      <c r="AN89" s="234"/>
      <c r="AO89" s="234"/>
      <c r="AP89" s="234"/>
      <c r="AQ89" s="234"/>
    </row>
    <row r="90" spans="1:46" s="229" customFormat="1" ht="18" customHeight="1" outlineLevel="2" x14ac:dyDescent="0.15">
      <c r="A90" s="227"/>
      <c r="B90" s="224" t="s">
        <v>577</v>
      </c>
      <c r="C90" s="234"/>
      <c r="D90" s="228"/>
      <c r="E90" s="228"/>
      <c r="F90" s="228"/>
      <c r="G90" s="228"/>
      <c r="H90" s="228"/>
      <c r="I90" s="228"/>
      <c r="J90" s="228"/>
      <c r="K90" s="228"/>
      <c r="L90" s="228"/>
      <c r="M90" s="228"/>
      <c r="N90" s="228"/>
      <c r="O90" s="228"/>
      <c r="P90" s="228"/>
      <c r="Q90" s="228"/>
      <c r="R90" s="228"/>
      <c r="S90" s="228"/>
      <c r="T90" s="228"/>
      <c r="U90" s="228"/>
      <c r="V90" s="228"/>
      <c r="W90" s="228"/>
      <c r="X90" s="228"/>
      <c r="Y90" s="228"/>
      <c r="Z90" s="228"/>
      <c r="AA90" s="228"/>
      <c r="AB90" s="228"/>
      <c r="AC90" s="228"/>
      <c r="AD90" s="228"/>
      <c r="AE90" s="228"/>
      <c r="AF90" s="228"/>
      <c r="AG90" s="228"/>
      <c r="AH90" s="228"/>
      <c r="AI90" s="228"/>
      <c r="AJ90" s="228"/>
      <c r="AK90" s="228"/>
      <c r="AL90" s="228"/>
      <c r="AM90" s="228"/>
      <c r="AN90" s="228"/>
      <c r="AO90" s="228"/>
      <c r="AP90" s="228"/>
      <c r="AQ90" s="228"/>
    </row>
    <row r="91" spans="1:46" s="213" customFormat="1" ht="18" customHeight="1" outlineLevel="2" x14ac:dyDescent="0.15">
      <c r="A91" s="216"/>
      <c r="B91" s="634"/>
      <c r="C91" s="228"/>
      <c r="D91" s="231"/>
      <c r="E91" s="231"/>
      <c r="F91" s="231"/>
      <c r="G91" s="231"/>
      <c r="H91" s="231"/>
      <c r="I91" s="231"/>
      <c r="J91" s="231"/>
      <c r="K91" s="231"/>
      <c r="L91" s="231"/>
      <c r="M91" s="231"/>
      <c r="N91" s="231"/>
      <c r="O91" s="231"/>
      <c r="P91" s="231"/>
      <c r="Q91" s="231"/>
      <c r="R91" s="231"/>
      <c r="S91" s="231"/>
      <c r="T91" s="231"/>
      <c r="U91" s="231"/>
      <c r="V91" s="231"/>
      <c r="W91" s="231"/>
      <c r="X91" s="231"/>
      <c r="Y91" s="231"/>
      <c r="Z91" s="231"/>
      <c r="AA91" s="231"/>
      <c r="AB91" s="231"/>
      <c r="AC91" s="231"/>
      <c r="AD91" s="231"/>
      <c r="AE91" s="231"/>
      <c r="AF91" s="231"/>
      <c r="AG91" s="231"/>
      <c r="AH91" s="231"/>
      <c r="AI91" s="231"/>
      <c r="AJ91" s="231"/>
      <c r="AK91" s="231"/>
      <c r="AL91" s="231"/>
      <c r="AM91" s="231"/>
      <c r="AN91" s="231"/>
      <c r="AO91" s="231"/>
      <c r="AP91" s="231"/>
      <c r="AQ91" s="231"/>
    </row>
    <row r="92" spans="1:46" s="213" customFormat="1" ht="18" customHeight="1" outlineLevel="1" x14ac:dyDescent="0.15">
      <c r="A92" s="216" t="s">
        <v>579</v>
      </c>
      <c r="B92" s="633">
        <f>规划指标!F16</f>
        <v>0</v>
      </c>
      <c r="C92" s="217">
        <f>SUM(D92:AQ92)</f>
        <v>0</v>
      </c>
      <c r="D92" s="201">
        <f>D95*D93/10000</f>
        <v>0</v>
      </c>
      <c r="E92" s="201">
        <f t="shared" ref="E92:AQ92" si="25">E95*E93/10000</f>
        <v>0</v>
      </c>
      <c r="F92" s="201">
        <f t="shared" si="25"/>
        <v>0</v>
      </c>
      <c r="G92" s="201">
        <f t="shared" si="25"/>
        <v>0</v>
      </c>
      <c r="H92" s="201">
        <f t="shared" si="25"/>
        <v>0</v>
      </c>
      <c r="I92" s="201">
        <f t="shared" si="25"/>
        <v>0</v>
      </c>
      <c r="J92" s="201">
        <f t="shared" si="25"/>
        <v>0</v>
      </c>
      <c r="K92" s="201">
        <f t="shared" si="25"/>
        <v>0</v>
      </c>
      <c r="L92" s="201">
        <f t="shared" si="25"/>
        <v>0</v>
      </c>
      <c r="M92" s="201">
        <f t="shared" si="25"/>
        <v>0</v>
      </c>
      <c r="N92" s="201">
        <f t="shared" si="25"/>
        <v>0</v>
      </c>
      <c r="O92" s="201">
        <f t="shared" si="25"/>
        <v>0</v>
      </c>
      <c r="P92" s="201">
        <f t="shared" si="25"/>
        <v>0</v>
      </c>
      <c r="Q92" s="201">
        <f t="shared" si="25"/>
        <v>0</v>
      </c>
      <c r="R92" s="201">
        <f t="shared" si="25"/>
        <v>0</v>
      </c>
      <c r="S92" s="201">
        <f t="shared" si="25"/>
        <v>0</v>
      </c>
      <c r="T92" s="201">
        <f t="shared" si="25"/>
        <v>0</v>
      </c>
      <c r="U92" s="201">
        <f t="shared" si="25"/>
        <v>0</v>
      </c>
      <c r="V92" s="201">
        <f t="shared" si="25"/>
        <v>0</v>
      </c>
      <c r="W92" s="201">
        <f t="shared" si="25"/>
        <v>0</v>
      </c>
      <c r="X92" s="201">
        <f t="shared" si="25"/>
        <v>0</v>
      </c>
      <c r="Y92" s="201">
        <f t="shared" si="25"/>
        <v>0</v>
      </c>
      <c r="Z92" s="201">
        <f t="shared" si="25"/>
        <v>0</v>
      </c>
      <c r="AA92" s="201">
        <f t="shared" si="25"/>
        <v>0</v>
      </c>
      <c r="AB92" s="201">
        <f t="shared" si="25"/>
        <v>0</v>
      </c>
      <c r="AC92" s="201">
        <f t="shared" si="25"/>
        <v>0</v>
      </c>
      <c r="AD92" s="201">
        <f t="shared" si="25"/>
        <v>0</v>
      </c>
      <c r="AE92" s="201">
        <f t="shared" si="25"/>
        <v>0</v>
      </c>
      <c r="AF92" s="201">
        <f t="shared" si="25"/>
        <v>0</v>
      </c>
      <c r="AG92" s="201">
        <f t="shared" si="25"/>
        <v>0</v>
      </c>
      <c r="AH92" s="201">
        <f t="shared" si="25"/>
        <v>0</v>
      </c>
      <c r="AI92" s="201">
        <f t="shared" si="25"/>
        <v>0</v>
      </c>
      <c r="AJ92" s="201">
        <f t="shared" si="25"/>
        <v>0</v>
      </c>
      <c r="AK92" s="201">
        <f t="shared" si="25"/>
        <v>0</v>
      </c>
      <c r="AL92" s="201">
        <f t="shared" si="25"/>
        <v>0</v>
      </c>
      <c r="AM92" s="201">
        <f t="shared" si="25"/>
        <v>0</v>
      </c>
      <c r="AN92" s="201">
        <f t="shared" si="25"/>
        <v>0</v>
      </c>
      <c r="AO92" s="201">
        <f t="shared" si="25"/>
        <v>0</v>
      </c>
      <c r="AP92" s="201">
        <f t="shared" si="25"/>
        <v>0</v>
      </c>
      <c r="AQ92" s="201">
        <f t="shared" si="25"/>
        <v>0</v>
      </c>
    </row>
    <row r="93" spans="1:46" s="213" customFormat="1" ht="18" customHeight="1" outlineLevel="2" x14ac:dyDescent="0.15">
      <c r="A93" s="216"/>
      <c r="B93" s="224" t="str">
        <f>$B$9</f>
        <v>销售数量</v>
      </c>
      <c r="C93" s="217">
        <f>SUM(D93:AQ93)</f>
        <v>0</v>
      </c>
      <c r="D93" s="201">
        <f>D96*规划指标!$G$16</f>
        <v>0</v>
      </c>
      <c r="E93" s="201">
        <f>E96*规划指标!$G$16</f>
        <v>0</v>
      </c>
      <c r="F93" s="201">
        <f>F96*规划指标!$G$16</f>
        <v>0</v>
      </c>
      <c r="G93" s="201">
        <f>G96*规划指标!$G$16</f>
        <v>0</v>
      </c>
      <c r="H93" s="201">
        <f>H96*规划指标!$G$16</f>
        <v>0</v>
      </c>
      <c r="I93" s="201">
        <f>I96*规划指标!$G$16</f>
        <v>0</v>
      </c>
      <c r="J93" s="201">
        <f>J96*规划指标!$G$16</f>
        <v>0</v>
      </c>
      <c r="K93" s="201">
        <f>K96*规划指标!$G$16</f>
        <v>0</v>
      </c>
      <c r="L93" s="201">
        <f>L96*规划指标!$G$16</f>
        <v>0</v>
      </c>
      <c r="M93" s="201">
        <f>M96*规划指标!$G$16</f>
        <v>0</v>
      </c>
      <c r="N93" s="201">
        <f>N96*规划指标!$G$16</f>
        <v>0</v>
      </c>
      <c r="O93" s="201">
        <f>O96*规划指标!$G$16</f>
        <v>0</v>
      </c>
      <c r="P93" s="201">
        <f>P96*规划指标!$G$16</f>
        <v>0</v>
      </c>
      <c r="Q93" s="201">
        <f>Q96*规划指标!$G$16</f>
        <v>0</v>
      </c>
      <c r="R93" s="201">
        <f>R96*规划指标!$G$16</f>
        <v>0</v>
      </c>
      <c r="S93" s="201">
        <f>S96*规划指标!$G$16</f>
        <v>0</v>
      </c>
      <c r="T93" s="201">
        <f>T96*规划指标!$G$16</f>
        <v>0</v>
      </c>
      <c r="U93" s="201">
        <f>U96*规划指标!$G$16</f>
        <v>0</v>
      </c>
      <c r="V93" s="201">
        <f>V96*规划指标!$G$16</f>
        <v>0</v>
      </c>
      <c r="W93" s="201">
        <f>W96*规划指标!$G$16</f>
        <v>0</v>
      </c>
      <c r="X93" s="201">
        <f>X96*规划指标!$G$16</f>
        <v>0</v>
      </c>
      <c r="Y93" s="201">
        <f>Y96*规划指标!$G$16</f>
        <v>0</v>
      </c>
      <c r="Z93" s="201">
        <f>Z96*规划指标!$G$16</f>
        <v>0</v>
      </c>
      <c r="AA93" s="201">
        <f>AA96*规划指标!$G$16</f>
        <v>0</v>
      </c>
      <c r="AB93" s="201">
        <f>AB96*规划指标!$G$16</f>
        <v>0</v>
      </c>
      <c r="AC93" s="201">
        <f>AC96*规划指标!$G$16</f>
        <v>0</v>
      </c>
      <c r="AD93" s="201">
        <f>AD96*规划指标!$G$16</f>
        <v>0</v>
      </c>
      <c r="AE93" s="201">
        <f>AE96*规划指标!$G$16</f>
        <v>0</v>
      </c>
      <c r="AF93" s="201">
        <f>AF96*规划指标!$G$16</f>
        <v>0</v>
      </c>
      <c r="AG93" s="201">
        <f>AG96*规划指标!$G$16</f>
        <v>0</v>
      </c>
      <c r="AH93" s="201">
        <f>AH96*规划指标!$G$16</f>
        <v>0</v>
      </c>
      <c r="AI93" s="201">
        <f>AI96*规划指标!$G$16</f>
        <v>0</v>
      </c>
      <c r="AJ93" s="201">
        <f>AJ96*规划指标!$G$16</f>
        <v>0</v>
      </c>
      <c r="AK93" s="201">
        <f>AK96*规划指标!$G$16</f>
        <v>0</v>
      </c>
      <c r="AL93" s="201">
        <f>AL96*规划指标!$G$16</f>
        <v>0</v>
      </c>
      <c r="AM93" s="201">
        <f>AM96*规划指标!$G$16</f>
        <v>0</v>
      </c>
      <c r="AN93" s="201">
        <f>AN96*规划指标!$G$16</f>
        <v>0</v>
      </c>
      <c r="AO93" s="201">
        <f>AO96*规划指标!$G$16</f>
        <v>0</v>
      </c>
      <c r="AP93" s="201">
        <f>AP96*规划指标!$G$16</f>
        <v>0</v>
      </c>
      <c r="AQ93" s="201">
        <f>AQ96*规划指标!$G$16</f>
        <v>0</v>
      </c>
    </row>
    <row r="94" spans="1:46" s="213" customFormat="1" ht="18" customHeight="1" outlineLevel="2" x14ac:dyDescent="0.15">
      <c r="A94" s="216"/>
      <c r="B94" s="224" t="str">
        <f>B87</f>
        <v>销售套数</v>
      </c>
      <c r="C94" s="217" t="e">
        <f>SUM(D94:AQ94)</f>
        <v>#DIV/0!</v>
      </c>
      <c r="D94" s="245" t="e">
        <f>D93/规划指标!$G$16*规划指标!$I$16</f>
        <v>#DIV/0!</v>
      </c>
      <c r="E94" s="245" t="e">
        <f>E93/规划指标!$G$16*规划指标!$I$16</f>
        <v>#DIV/0!</v>
      </c>
      <c r="F94" s="245" t="e">
        <f>F93/规划指标!$G$16*规划指标!$I$16</f>
        <v>#DIV/0!</v>
      </c>
      <c r="G94" s="245" t="e">
        <f>G93/规划指标!$G$16*规划指标!$I$16</f>
        <v>#DIV/0!</v>
      </c>
      <c r="H94" s="245" t="e">
        <f>H93/规划指标!$G$16*规划指标!$I$16</f>
        <v>#DIV/0!</v>
      </c>
      <c r="I94" s="245" t="e">
        <f>I93/规划指标!$G$16*规划指标!$I$16</f>
        <v>#DIV/0!</v>
      </c>
      <c r="J94" s="245" t="e">
        <f>J93/规划指标!$G$16*规划指标!$I$16</f>
        <v>#DIV/0!</v>
      </c>
      <c r="K94" s="245" t="e">
        <f>K93/规划指标!$G$16*规划指标!$I$16</f>
        <v>#DIV/0!</v>
      </c>
      <c r="L94" s="245" t="e">
        <f>L93/规划指标!$G$16*规划指标!$I$16</f>
        <v>#DIV/0!</v>
      </c>
      <c r="M94" s="245" t="e">
        <f>M93/规划指标!$G$16*规划指标!$I$16</f>
        <v>#DIV/0!</v>
      </c>
      <c r="N94" s="245" t="e">
        <f>N93/规划指标!$G$16*规划指标!$I$16</f>
        <v>#DIV/0!</v>
      </c>
      <c r="O94" s="245" t="e">
        <f>O93/规划指标!$G$16*规划指标!$I$16</f>
        <v>#DIV/0!</v>
      </c>
      <c r="P94" s="245" t="e">
        <f>P93/规划指标!$G$16*规划指标!$I$16</f>
        <v>#DIV/0!</v>
      </c>
      <c r="Q94" s="245" t="e">
        <f>Q93/规划指标!$G$16*规划指标!$I$16</f>
        <v>#DIV/0!</v>
      </c>
      <c r="R94" s="245" t="e">
        <f>R93/规划指标!$G$16*规划指标!$I$16</f>
        <v>#DIV/0!</v>
      </c>
      <c r="S94" s="245" t="e">
        <f>S93/规划指标!$G$16*规划指标!$I$16</f>
        <v>#DIV/0!</v>
      </c>
      <c r="T94" s="245" t="e">
        <f>T93/规划指标!$G$16*规划指标!$I$16</f>
        <v>#DIV/0!</v>
      </c>
      <c r="U94" s="245" t="e">
        <f>U93/规划指标!$G$16*规划指标!$I$16</f>
        <v>#DIV/0!</v>
      </c>
      <c r="V94" s="245" t="e">
        <f>V93/规划指标!$G$16*规划指标!$I$16</f>
        <v>#DIV/0!</v>
      </c>
      <c r="W94" s="245" t="e">
        <f>W93/规划指标!$G$16*规划指标!$I$16</f>
        <v>#DIV/0!</v>
      </c>
      <c r="X94" s="245" t="e">
        <f>X93/规划指标!$G$16*规划指标!$I$16</f>
        <v>#DIV/0!</v>
      </c>
      <c r="Y94" s="245" t="e">
        <f>Y93/规划指标!$G$16*规划指标!$I$16</f>
        <v>#DIV/0!</v>
      </c>
      <c r="Z94" s="245" t="e">
        <f>Z93/规划指标!$G$16*规划指标!$I$16</f>
        <v>#DIV/0!</v>
      </c>
      <c r="AA94" s="245" t="e">
        <f>AA93/规划指标!$G$16*规划指标!$I$16</f>
        <v>#DIV/0!</v>
      </c>
      <c r="AB94" s="245" t="e">
        <f>AB93/规划指标!$G$16*规划指标!$I$16</f>
        <v>#DIV/0!</v>
      </c>
      <c r="AC94" s="245" t="e">
        <f>AC93/规划指标!$G$16*规划指标!$I$16</f>
        <v>#DIV/0!</v>
      </c>
      <c r="AD94" s="245" t="e">
        <f>AD93/规划指标!$G$16*规划指标!$I$16</f>
        <v>#DIV/0!</v>
      </c>
      <c r="AE94" s="245" t="e">
        <f>AE93/规划指标!$G$16*规划指标!$I$16</f>
        <v>#DIV/0!</v>
      </c>
      <c r="AF94" s="245" t="e">
        <f>AF93/规划指标!$G$16*规划指标!$I$16</f>
        <v>#DIV/0!</v>
      </c>
      <c r="AG94" s="245" t="e">
        <f>AG93/规划指标!$G$16*规划指标!$I$16</f>
        <v>#DIV/0!</v>
      </c>
      <c r="AH94" s="245" t="e">
        <f>AH93/规划指标!$G$16*规划指标!$I$16</f>
        <v>#DIV/0!</v>
      </c>
      <c r="AI94" s="245" t="e">
        <f>AI93/规划指标!$G$16*规划指标!$I$16</f>
        <v>#DIV/0!</v>
      </c>
      <c r="AJ94" s="245" t="e">
        <f>AJ93/规划指标!$G$16*规划指标!$I$16</f>
        <v>#DIV/0!</v>
      </c>
      <c r="AK94" s="245" t="e">
        <f>AK93/规划指标!$G$16*规划指标!$I$16</f>
        <v>#DIV/0!</v>
      </c>
      <c r="AL94" s="245" t="e">
        <f>AL93/规划指标!$G$16*规划指标!$I$16</f>
        <v>#DIV/0!</v>
      </c>
      <c r="AM94" s="245" t="e">
        <f>AM93/规划指标!$G$16*规划指标!$I$16</f>
        <v>#DIV/0!</v>
      </c>
      <c r="AN94" s="245" t="e">
        <f>AN93/规划指标!$G$16*规划指标!$I$16</f>
        <v>#DIV/0!</v>
      </c>
      <c r="AO94" s="245" t="e">
        <f>AO93/规划指标!$G$16*规划指标!$I$16</f>
        <v>#DIV/0!</v>
      </c>
      <c r="AP94" s="245" t="e">
        <f>AP93/规划指标!$G$16*规划指标!$I$16</f>
        <v>#DIV/0!</v>
      </c>
      <c r="AQ94" s="245" t="e">
        <f>AQ93/规划指标!$G$16*规划指标!$I$16</f>
        <v>#DIV/0!</v>
      </c>
    </row>
    <row r="95" spans="1:46" s="213" customFormat="1" ht="18" customHeight="1" outlineLevel="2" x14ac:dyDescent="0.15">
      <c r="A95" s="216"/>
      <c r="B95" s="224" t="str">
        <f>$B$11</f>
        <v>销售均价</v>
      </c>
      <c r="C95" s="225" t="e">
        <f>ROUND(C92/C93*10000,0)</f>
        <v>#DIV/0!</v>
      </c>
      <c r="D95" s="226">
        <f>ROUND(C97*D165,0)</f>
        <v>0</v>
      </c>
      <c r="E95" s="226">
        <f t="shared" ref="E95:AM95" si="26">D95</f>
        <v>0</v>
      </c>
      <c r="F95" s="226">
        <f t="shared" si="26"/>
        <v>0</v>
      </c>
      <c r="G95" s="226">
        <f t="shared" si="26"/>
        <v>0</v>
      </c>
      <c r="H95" s="226">
        <f t="shared" si="26"/>
        <v>0</v>
      </c>
      <c r="I95" s="226">
        <f t="shared" si="26"/>
        <v>0</v>
      </c>
      <c r="J95" s="226">
        <f t="shared" si="26"/>
        <v>0</v>
      </c>
      <c r="K95" s="226">
        <f t="shared" si="26"/>
        <v>0</v>
      </c>
      <c r="L95" s="226">
        <f t="shared" si="26"/>
        <v>0</v>
      </c>
      <c r="M95" s="226">
        <f t="shared" si="26"/>
        <v>0</v>
      </c>
      <c r="N95" s="226">
        <f t="shared" si="26"/>
        <v>0</v>
      </c>
      <c r="O95" s="226">
        <f t="shared" si="26"/>
        <v>0</v>
      </c>
      <c r="P95" s="226">
        <f t="shared" si="26"/>
        <v>0</v>
      </c>
      <c r="Q95" s="226">
        <f t="shared" si="26"/>
        <v>0</v>
      </c>
      <c r="R95" s="226">
        <f t="shared" si="26"/>
        <v>0</v>
      </c>
      <c r="S95" s="226">
        <f t="shared" si="26"/>
        <v>0</v>
      </c>
      <c r="T95" s="226">
        <f t="shared" si="26"/>
        <v>0</v>
      </c>
      <c r="U95" s="226">
        <f t="shared" si="26"/>
        <v>0</v>
      </c>
      <c r="V95" s="226">
        <f t="shared" si="26"/>
        <v>0</v>
      </c>
      <c r="W95" s="226">
        <f t="shared" si="26"/>
        <v>0</v>
      </c>
      <c r="X95" s="226">
        <f t="shared" si="26"/>
        <v>0</v>
      </c>
      <c r="Y95" s="226">
        <f t="shared" si="26"/>
        <v>0</v>
      </c>
      <c r="Z95" s="226">
        <f t="shared" si="26"/>
        <v>0</v>
      </c>
      <c r="AA95" s="226">
        <f t="shared" si="26"/>
        <v>0</v>
      </c>
      <c r="AB95" s="226">
        <f t="shared" si="26"/>
        <v>0</v>
      </c>
      <c r="AC95" s="226">
        <f t="shared" si="26"/>
        <v>0</v>
      </c>
      <c r="AD95" s="226">
        <f t="shared" si="26"/>
        <v>0</v>
      </c>
      <c r="AE95" s="226">
        <f t="shared" si="26"/>
        <v>0</v>
      </c>
      <c r="AF95" s="226">
        <f t="shared" si="26"/>
        <v>0</v>
      </c>
      <c r="AG95" s="226">
        <f t="shared" si="26"/>
        <v>0</v>
      </c>
      <c r="AH95" s="226">
        <f t="shared" si="26"/>
        <v>0</v>
      </c>
      <c r="AI95" s="226">
        <f t="shared" si="26"/>
        <v>0</v>
      </c>
      <c r="AJ95" s="226">
        <f t="shared" si="26"/>
        <v>0</v>
      </c>
      <c r="AK95" s="226">
        <f t="shared" si="26"/>
        <v>0</v>
      </c>
      <c r="AL95" s="226">
        <f t="shared" si="26"/>
        <v>0</v>
      </c>
      <c r="AM95" s="226">
        <f t="shared" si="26"/>
        <v>0</v>
      </c>
      <c r="AN95" s="226">
        <f>W95</f>
        <v>0</v>
      </c>
      <c r="AO95" s="226">
        <f>AN95</f>
        <v>0</v>
      </c>
      <c r="AP95" s="226">
        <f>AO95</f>
        <v>0</v>
      </c>
      <c r="AQ95" s="226">
        <f>AP95</f>
        <v>0</v>
      </c>
      <c r="AS95" s="571"/>
      <c r="AT95" s="202"/>
    </row>
    <row r="96" spans="1:46" s="229" customFormat="1" ht="18" customHeight="1" outlineLevel="2" x14ac:dyDescent="0.15">
      <c r="A96" s="227"/>
      <c r="B96" s="224" t="str">
        <f>$B$12</f>
        <v>销售率</v>
      </c>
      <c r="C96" s="228">
        <f>SUM(D96:AQ96)</f>
        <v>0</v>
      </c>
      <c r="D96" s="234"/>
      <c r="E96" s="234"/>
      <c r="F96" s="234"/>
      <c r="G96" s="234"/>
      <c r="H96" s="234"/>
      <c r="I96" s="234"/>
      <c r="J96" s="234"/>
      <c r="K96" s="234"/>
      <c r="L96" s="234"/>
      <c r="M96" s="234"/>
      <c r="N96" s="234"/>
      <c r="O96" s="234"/>
      <c r="P96" s="234"/>
      <c r="Q96" s="234"/>
      <c r="R96" s="234"/>
      <c r="S96" s="234"/>
      <c r="T96" s="234"/>
      <c r="U96" s="234"/>
      <c r="V96" s="234"/>
      <c r="W96" s="234"/>
      <c r="X96" s="234"/>
      <c r="Y96" s="234"/>
      <c r="Z96" s="234"/>
      <c r="AA96" s="234"/>
      <c r="AB96" s="234"/>
      <c r="AC96" s="234"/>
      <c r="AD96" s="234"/>
      <c r="AE96" s="234"/>
      <c r="AF96" s="234"/>
      <c r="AG96" s="234"/>
      <c r="AH96" s="234"/>
      <c r="AI96" s="234"/>
      <c r="AJ96" s="234"/>
      <c r="AK96" s="234"/>
      <c r="AL96" s="234"/>
      <c r="AM96" s="234"/>
      <c r="AN96" s="234"/>
      <c r="AO96" s="234"/>
      <c r="AP96" s="234"/>
      <c r="AQ96" s="234"/>
    </row>
    <row r="97" spans="1:43" s="229" customFormat="1" ht="18" customHeight="1" outlineLevel="2" x14ac:dyDescent="0.15">
      <c r="A97" s="227"/>
      <c r="B97" s="224" t="s">
        <v>577</v>
      </c>
      <c r="C97" s="234"/>
      <c r="D97" s="228"/>
      <c r="E97" s="228"/>
      <c r="F97" s="228"/>
      <c r="G97" s="228"/>
      <c r="H97" s="228"/>
      <c r="I97" s="228"/>
      <c r="J97" s="228"/>
      <c r="K97" s="228"/>
      <c r="L97" s="228"/>
      <c r="M97" s="228"/>
      <c r="N97" s="228"/>
      <c r="O97" s="228"/>
      <c r="P97" s="228"/>
      <c r="Q97" s="228"/>
      <c r="R97" s="228"/>
      <c r="S97" s="228"/>
      <c r="T97" s="228"/>
      <c r="U97" s="228"/>
      <c r="V97" s="228"/>
      <c r="W97" s="228"/>
      <c r="X97" s="228"/>
      <c r="Y97" s="228"/>
      <c r="Z97" s="228"/>
      <c r="AA97" s="228"/>
      <c r="AB97" s="228"/>
      <c r="AC97" s="228"/>
      <c r="AD97" s="228"/>
      <c r="AE97" s="228"/>
      <c r="AF97" s="228"/>
      <c r="AG97" s="228"/>
      <c r="AH97" s="228"/>
      <c r="AI97" s="228"/>
      <c r="AJ97" s="228"/>
      <c r="AK97" s="228"/>
      <c r="AL97" s="228"/>
      <c r="AM97" s="228"/>
      <c r="AN97" s="228"/>
      <c r="AO97" s="228"/>
      <c r="AP97" s="228"/>
      <c r="AQ97" s="228"/>
    </row>
    <row r="98" spans="1:43" s="213" customFormat="1" ht="18" customHeight="1" outlineLevel="2" x14ac:dyDescent="0.15">
      <c r="A98" s="216"/>
      <c r="B98" s="634"/>
      <c r="C98" s="228"/>
      <c r="D98" s="231"/>
      <c r="E98" s="231"/>
      <c r="F98" s="231"/>
      <c r="G98" s="231"/>
      <c r="H98" s="231"/>
      <c r="I98" s="231"/>
      <c r="J98" s="231"/>
      <c r="K98" s="231"/>
      <c r="L98" s="231"/>
      <c r="M98" s="231"/>
      <c r="N98" s="231"/>
      <c r="O98" s="231"/>
      <c r="P98" s="231"/>
      <c r="Q98" s="231"/>
      <c r="R98" s="231"/>
      <c r="S98" s="231"/>
      <c r="T98" s="231"/>
      <c r="U98" s="231"/>
      <c r="V98" s="231"/>
      <c r="W98" s="231"/>
      <c r="X98" s="231"/>
      <c r="Y98" s="231"/>
      <c r="Z98" s="231"/>
      <c r="AA98" s="231"/>
      <c r="AB98" s="231"/>
      <c r="AC98" s="231"/>
      <c r="AD98" s="231"/>
      <c r="AE98" s="231"/>
      <c r="AF98" s="231"/>
      <c r="AG98" s="231"/>
      <c r="AH98" s="231"/>
      <c r="AI98" s="231"/>
      <c r="AJ98" s="231"/>
      <c r="AK98" s="231"/>
      <c r="AL98" s="231"/>
      <c r="AM98" s="231"/>
      <c r="AN98" s="231"/>
      <c r="AO98" s="231"/>
      <c r="AP98" s="231"/>
      <c r="AQ98" s="231"/>
    </row>
    <row r="99" spans="1:43" s="213" customFormat="1" ht="18" customHeight="1" outlineLevel="1" x14ac:dyDescent="0.15">
      <c r="A99" s="216" t="s">
        <v>580</v>
      </c>
      <c r="B99" s="633">
        <f>规划指标!F17</f>
        <v>0</v>
      </c>
      <c r="C99" s="217">
        <f>SUM(D99:AQ99)</f>
        <v>0</v>
      </c>
      <c r="D99" s="201">
        <f>D102*D100/10000</f>
        <v>0</v>
      </c>
      <c r="E99" s="201">
        <f t="shared" ref="E99:AQ99" si="27">E102*E100/10000</f>
        <v>0</v>
      </c>
      <c r="F99" s="201">
        <f t="shared" si="27"/>
        <v>0</v>
      </c>
      <c r="G99" s="201">
        <f t="shared" si="27"/>
        <v>0</v>
      </c>
      <c r="H99" s="201">
        <f t="shared" si="27"/>
        <v>0</v>
      </c>
      <c r="I99" s="201">
        <f t="shared" si="27"/>
        <v>0</v>
      </c>
      <c r="J99" s="201">
        <f t="shared" si="27"/>
        <v>0</v>
      </c>
      <c r="K99" s="201">
        <f t="shared" si="27"/>
        <v>0</v>
      </c>
      <c r="L99" s="201">
        <f t="shared" si="27"/>
        <v>0</v>
      </c>
      <c r="M99" s="201">
        <f t="shared" si="27"/>
        <v>0</v>
      </c>
      <c r="N99" s="201">
        <f t="shared" si="27"/>
        <v>0</v>
      </c>
      <c r="O99" s="201">
        <f t="shared" si="27"/>
        <v>0</v>
      </c>
      <c r="P99" s="201">
        <f t="shared" si="27"/>
        <v>0</v>
      </c>
      <c r="Q99" s="201">
        <f t="shared" si="27"/>
        <v>0</v>
      </c>
      <c r="R99" s="201">
        <f t="shared" si="27"/>
        <v>0</v>
      </c>
      <c r="S99" s="201">
        <f t="shared" si="27"/>
        <v>0</v>
      </c>
      <c r="T99" s="201">
        <f t="shared" si="27"/>
        <v>0</v>
      </c>
      <c r="U99" s="201">
        <f t="shared" si="27"/>
        <v>0</v>
      </c>
      <c r="V99" s="201">
        <f t="shared" si="27"/>
        <v>0</v>
      </c>
      <c r="W99" s="201">
        <f t="shared" si="27"/>
        <v>0</v>
      </c>
      <c r="X99" s="201">
        <f t="shared" si="27"/>
        <v>0</v>
      </c>
      <c r="Y99" s="201">
        <f t="shared" si="27"/>
        <v>0</v>
      </c>
      <c r="Z99" s="201">
        <f t="shared" si="27"/>
        <v>0</v>
      </c>
      <c r="AA99" s="201">
        <f t="shared" si="27"/>
        <v>0</v>
      </c>
      <c r="AB99" s="201">
        <f t="shared" si="27"/>
        <v>0</v>
      </c>
      <c r="AC99" s="201">
        <f t="shared" si="27"/>
        <v>0</v>
      </c>
      <c r="AD99" s="201">
        <f t="shared" si="27"/>
        <v>0</v>
      </c>
      <c r="AE99" s="201">
        <f t="shared" si="27"/>
        <v>0</v>
      </c>
      <c r="AF99" s="201">
        <f t="shared" si="27"/>
        <v>0</v>
      </c>
      <c r="AG99" s="201">
        <f t="shared" si="27"/>
        <v>0</v>
      </c>
      <c r="AH99" s="201">
        <f t="shared" si="27"/>
        <v>0</v>
      </c>
      <c r="AI99" s="201">
        <f t="shared" si="27"/>
        <v>0</v>
      </c>
      <c r="AJ99" s="201">
        <f t="shared" si="27"/>
        <v>0</v>
      </c>
      <c r="AK99" s="201">
        <f t="shared" si="27"/>
        <v>0</v>
      </c>
      <c r="AL99" s="201">
        <f t="shared" si="27"/>
        <v>0</v>
      </c>
      <c r="AM99" s="201">
        <f t="shared" si="27"/>
        <v>0</v>
      </c>
      <c r="AN99" s="201">
        <f t="shared" si="27"/>
        <v>0</v>
      </c>
      <c r="AO99" s="201">
        <f t="shared" si="27"/>
        <v>0</v>
      </c>
      <c r="AP99" s="201">
        <f t="shared" si="27"/>
        <v>0</v>
      </c>
      <c r="AQ99" s="201">
        <f t="shared" si="27"/>
        <v>0</v>
      </c>
    </row>
    <row r="100" spans="1:43" s="213" customFormat="1" ht="18" customHeight="1" outlineLevel="2" x14ac:dyDescent="0.15">
      <c r="A100" s="216"/>
      <c r="B100" s="224" t="str">
        <f>$B$9</f>
        <v>销售数量</v>
      </c>
      <c r="C100" s="217">
        <f>SUM(D100:AQ100)</f>
        <v>0</v>
      </c>
      <c r="D100" s="201">
        <f>D103*规划指标!$G$17</f>
        <v>0</v>
      </c>
      <c r="E100" s="201">
        <f>E103*规划指标!$G$17</f>
        <v>0</v>
      </c>
      <c r="F100" s="201">
        <f>F103*规划指标!$G$17</f>
        <v>0</v>
      </c>
      <c r="G100" s="201">
        <f>G103*规划指标!$G$17</f>
        <v>0</v>
      </c>
      <c r="H100" s="201">
        <f>H103*规划指标!$G$17</f>
        <v>0</v>
      </c>
      <c r="I100" s="201">
        <f>I103*规划指标!$G$17</f>
        <v>0</v>
      </c>
      <c r="J100" s="201">
        <f>J103*规划指标!$G$17</f>
        <v>0</v>
      </c>
      <c r="K100" s="201">
        <f>K103*规划指标!$G$17</f>
        <v>0</v>
      </c>
      <c r="L100" s="201">
        <f>L103*规划指标!$G$17</f>
        <v>0</v>
      </c>
      <c r="M100" s="201">
        <f>M103*规划指标!$G$17</f>
        <v>0</v>
      </c>
      <c r="N100" s="201">
        <f>N103*规划指标!$G$17</f>
        <v>0</v>
      </c>
      <c r="O100" s="201">
        <f>O103*规划指标!$G$17</f>
        <v>0</v>
      </c>
      <c r="P100" s="201">
        <f>P103*规划指标!$G$17</f>
        <v>0</v>
      </c>
      <c r="Q100" s="201">
        <f>Q103*规划指标!$G$17</f>
        <v>0</v>
      </c>
      <c r="R100" s="201">
        <f>R103*规划指标!$G$17</f>
        <v>0</v>
      </c>
      <c r="S100" s="201">
        <f>S103*规划指标!$G$17</f>
        <v>0</v>
      </c>
      <c r="T100" s="201">
        <f>T103*规划指标!$G$17</f>
        <v>0</v>
      </c>
      <c r="U100" s="201">
        <f>U103*规划指标!$G$17</f>
        <v>0</v>
      </c>
      <c r="V100" s="201">
        <f>V103*规划指标!$G$17</f>
        <v>0</v>
      </c>
      <c r="W100" s="201">
        <f>W103*规划指标!$G$17</f>
        <v>0</v>
      </c>
      <c r="X100" s="201">
        <f>X103*规划指标!$G$17</f>
        <v>0</v>
      </c>
      <c r="Y100" s="201">
        <f>Y103*规划指标!$G$17</f>
        <v>0</v>
      </c>
      <c r="Z100" s="201">
        <f>Z103*规划指标!$G$17</f>
        <v>0</v>
      </c>
      <c r="AA100" s="201">
        <f>AA103*规划指标!$G$17</f>
        <v>0</v>
      </c>
      <c r="AB100" s="201">
        <f>AB103*规划指标!$G$17</f>
        <v>0</v>
      </c>
      <c r="AC100" s="201">
        <f>AC103*规划指标!$G$17</f>
        <v>0</v>
      </c>
      <c r="AD100" s="201">
        <f>AD103*规划指标!$G$17</f>
        <v>0</v>
      </c>
      <c r="AE100" s="201">
        <f>AE103*规划指标!$G$17</f>
        <v>0</v>
      </c>
      <c r="AF100" s="201">
        <f>AF103*规划指标!$G$17</f>
        <v>0</v>
      </c>
      <c r="AG100" s="201">
        <f>AG103*规划指标!$G$17</f>
        <v>0</v>
      </c>
      <c r="AH100" s="201">
        <f>AH103*规划指标!$G$17</f>
        <v>0</v>
      </c>
      <c r="AI100" s="201">
        <f>AI103*规划指标!$G$17</f>
        <v>0</v>
      </c>
      <c r="AJ100" s="201">
        <f>AJ103*规划指标!$G$17</f>
        <v>0</v>
      </c>
      <c r="AK100" s="201">
        <f>AK103*规划指标!$G$17</f>
        <v>0</v>
      </c>
      <c r="AL100" s="201">
        <f>AL103*规划指标!$G$17</f>
        <v>0</v>
      </c>
      <c r="AM100" s="201">
        <f>AM103*规划指标!$G$17</f>
        <v>0</v>
      </c>
      <c r="AN100" s="201">
        <f>AN103*规划指标!$G$17</f>
        <v>0</v>
      </c>
      <c r="AO100" s="201">
        <f>AO103*规划指标!$G$17</f>
        <v>0</v>
      </c>
      <c r="AP100" s="201">
        <f>AP103*规划指标!$G$17</f>
        <v>0</v>
      </c>
      <c r="AQ100" s="201">
        <f>AQ103*规划指标!$G$17</f>
        <v>0</v>
      </c>
    </row>
    <row r="101" spans="1:43" s="213" customFormat="1" ht="18" customHeight="1" outlineLevel="2" x14ac:dyDescent="0.15">
      <c r="A101" s="216"/>
      <c r="B101" s="224" t="str">
        <f>B94</f>
        <v>销售套数</v>
      </c>
      <c r="C101" s="217" t="e">
        <f>SUM(D101:AQ101)</f>
        <v>#DIV/0!</v>
      </c>
      <c r="D101" s="245" t="e">
        <f>D100/规划指标!$G$17*规划指标!$I$17</f>
        <v>#DIV/0!</v>
      </c>
      <c r="E101" s="245" t="e">
        <f>E100/规划指标!$G$17*规划指标!$I$17</f>
        <v>#DIV/0!</v>
      </c>
      <c r="F101" s="245" t="e">
        <f>F100/规划指标!$G$17*规划指标!$I$17</f>
        <v>#DIV/0!</v>
      </c>
      <c r="G101" s="245" t="e">
        <f>G100/规划指标!$G$17*规划指标!$I$17</f>
        <v>#DIV/0!</v>
      </c>
      <c r="H101" s="245" t="e">
        <f>H100/规划指标!$G$17*规划指标!$I$17</f>
        <v>#DIV/0!</v>
      </c>
      <c r="I101" s="245" t="e">
        <f>I100/规划指标!$G$17*规划指标!$I$17</f>
        <v>#DIV/0!</v>
      </c>
      <c r="J101" s="245" t="e">
        <f>J100/规划指标!$G$17*规划指标!$I$17</f>
        <v>#DIV/0!</v>
      </c>
      <c r="K101" s="245" t="e">
        <f>K100/规划指标!$G$17*规划指标!$I$17</f>
        <v>#DIV/0!</v>
      </c>
      <c r="L101" s="245" t="e">
        <f>L100/规划指标!$G$17*规划指标!$I$17</f>
        <v>#DIV/0!</v>
      </c>
      <c r="M101" s="245" t="e">
        <f>M100/规划指标!$G$17*规划指标!$I$17</f>
        <v>#DIV/0!</v>
      </c>
      <c r="N101" s="245" t="e">
        <f>N100/规划指标!$G$17*规划指标!$I$17</f>
        <v>#DIV/0!</v>
      </c>
      <c r="O101" s="245" t="e">
        <f>O100/规划指标!$G$17*规划指标!$I$17</f>
        <v>#DIV/0!</v>
      </c>
      <c r="P101" s="245" t="e">
        <f>P100/规划指标!$G$17*规划指标!$I$17</f>
        <v>#DIV/0!</v>
      </c>
      <c r="Q101" s="245" t="e">
        <f>Q100/规划指标!$G$17*规划指标!$I$17</f>
        <v>#DIV/0!</v>
      </c>
      <c r="R101" s="245" t="e">
        <f>R100/规划指标!$G$17*规划指标!$I$17</f>
        <v>#DIV/0!</v>
      </c>
      <c r="S101" s="245" t="e">
        <f>S100/规划指标!$G$17*规划指标!$I$17</f>
        <v>#DIV/0!</v>
      </c>
      <c r="T101" s="245" t="e">
        <f>T100/规划指标!$G$17*规划指标!$I$17</f>
        <v>#DIV/0!</v>
      </c>
      <c r="U101" s="245" t="e">
        <f>U100/规划指标!$G$17*规划指标!$I$17</f>
        <v>#DIV/0!</v>
      </c>
      <c r="V101" s="245" t="e">
        <f>V100/规划指标!$G$17*规划指标!$I$17</f>
        <v>#DIV/0!</v>
      </c>
      <c r="W101" s="245" t="e">
        <f>W100/规划指标!$G$17*规划指标!$I$17</f>
        <v>#DIV/0!</v>
      </c>
      <c r="X101" s="245" t="e">
        <f>X100/规划指标!$G$17*规划指标!$I$17</f>
        <v>#DIV/0!</v>
      </c>
      <c r="Y101" s="245" t="e">
        <f>Y100/规划指标!$G$17*规划指标!$I$17</f>
        <v>#DIV/0!</v>
      </c>
      <c r="Z101" s="245" t="e">
        <f>Z100/规划指标!$G$17*规划指标!$I$17</f>
        <v>#DIV/0!</v>
      </c>
      <c r="AA101" s="245" t="e">
        <f>AA100/规划指标!$G$17*规划指标!$I$17</f>
        <v>#DIV/0!</v>
      </c>
      <c r="AB101" s="245" t="e">
        <f>AB100/规划指标!$G$17*规划指标!$I$17</f>
        <v>#DIV/0!</v>
      </c>
      <c r="AC101" s="245" t="e">
        <f>AC100/规划指标!$G$17*规划指标!$I$17</f>
        <v>#DIV/0!</v>
      </c>
      <c r="AD101" s="245" t="e">
        <f>AD100/规划指标!$G$17*规划指标!$I$17</f>
        <v>#DIV/0!</v>
      </c>
      <c r="AE101" s="245" t="e">
        <f>AE100/规划指标!$G$17*规划指标!$I$17</f>
        <v>#DIV/0!</v>
      </c>
      <c r="AF101" s="245" t="e">
        <f>AF100/规划指标!$G$17*规划指标!$I$17</f>
        <v>#DIV/0!</v>
      </c>
      <c r="AG101" s="245" t="e">
        <f>AG100/规划指标!$G$17*规划指标!$I$17</f>
        <v>#DIV/0!</v>
      </c>
      <c r="AH101" s="245" t="e">
        <f>AH100/规划指标!$G$17*规划指标!$I$17</f>
        <v>#DIV/0!</v>
      </c>
      <c r="AI101" s="245" t="e">
        <f>AI100/规划指标!$G$17*规划指标!$I$17</f>
        <v>#DIV/0!</v>
      </c>
      <c r="AJ101" s="245" t="e">
        <f>AJ100/规划指标!$G$17*规划指标!$I$17</f>
        <v>#DIV/0!</v>
      </c>
      <c r="AK101" s="245" t="e">
        <f>AK100/规划指标!$G$17*规划指标!$I$17</f>
        <v>#DIV/0!</v>
      </c>
      <c r="AL101" s="245" t="e">
        <f>AL100/规划指标!$G$17*规划指标!$I$17</f>
        <v>#DIV/0!</v>
      </c>
      <c r="AM101" s="245" t="e">
        <f>AM100/规划指标!$G$17*规划指标!$I$17</f>
        <v>#DIV/0!</v>
      </c>
      <c r="AN101" s="245" t="e">
        <f>AN100/规划指标!$G$17*规划指标!$I$17</f>
        <v>#DIV/0!</v>
      </c>
      <c r="AO101" s="245" t="e">
        <f>AO100/规划指标!$G$17*规划指标!$I$17</f>
        <v>#DIV/0!</v>
      </c>
      <c r="AP101" s="245" t="e">
        <f>AP100/规划指标!$G$17*规划指标!$I$17</f>
        <v>#DIV/0!</v>
      </c>
      <c r="AQ101" s="245" t="e">
        <f>AQ100/规划指标!$G$17*规划指标!$I$17</f>
        <v>#DIV/0!</v>
      </c>
    </row>
    <row r="102" spans="1:43" s="213" customFormat="1" ht="18" customHeight="1" outlineLevel="2" x14ac:dyDescent="0.15">
      <c r="A102" s="216"/>
      <c r="B102" s="224" t="str">
        <f>$B$11</f>
        <v>销售均价</v>
      </c>
      <c r="C102" s="225" t="e">
        <f>ROUND(C99/C100*10000,0)</f>
        <v>#DIV/0!</v>
      </c>
      <c r="D102" s="226">
        <f>ROUND(C104*D166,0)</f>
        <v>0</v>
      </c>
      <c r="E102" s="226">
        <f t="shared" ref="E102:AM102" si="28">D102</f>
        <v>0</v>
      </c>
      <c r="F102" s="226">
        <f t="shared" si="28"/>
        <v>0</v>
      </c>
      <c r="G102" s="226">
        <f t="shared" si="28"/>
        <v>0</v>
      </c>
      <c r="H102" s="226">
        <f t="shared" si="28"/>
        <v>0</v>
      </c>
      <c r="I102" s="226">
        <f t="shared" si="28"/>
        <v>0</v>
      </c>
      <c r="J102" s="226">
        <f t="shared" si="28"/>
        <v>0</v>
      </c>
      <c r="K102" s="226">
        <f t="shared" si="28"/>
        <v>0</v>
      </c>
      <c r="L102" s="226">
        <f t="shared" si="28"/>
        <v>0</v>
      </c>
      <c r="M102" s="226">
        <f t="shared" si="28"/>
        <v>0</v>
      </c>
      <c r="N102" s="226">
        <f t="shared" si="28"/>
        <v>0</v>
      </c>
      <c r="O102" s="226">
        <f t="shared" si="28"/>
        <v>0</v>
      </c>
      <c r="P102" s="226">
        <f t="shared" si="28"/>
        <v>0</v>
      </c>
      <c r="Q102" s="226">
        <f t="shared" si="28"/>
        <v>0</v>
      </c>
      <c r="R102" s="226">
        <f t="shared" si="28"/>
        <v>0</v>
      </c>
      <c r="S102" s="226">
        <f t="shared" si="28"/>
        <v>0</v>
      </c>
      <c r="T102" s="226">
        <f t="shared" si="28"/>
        <v>0</v>
      </c>
      <c r="U102" s="226">
        <f t="shared" si="28"/>
        <v>0</v>
      </c>
      <c r="V102" s="226">
        <f t="shared" si="28"/>
        <v>0</v>
      </c>
      <c r="W102" s="226">
        <f t="shared" si="28"/>
        <v>0</v>
      </c>
      <c r="X102" s="226">
        <f t="shared" si="28"/>
        <v>0</v>
      </c>
      <c r="Y102" s="226">
        <f t="shared" si="28"/>
        <v>0</v>
      </c>
      <c r="Z102" s="226">
        <f t="shared" si="28"/>
        <v>0</v>
      </c>
      <c r="AA102" s="226">
        <f t="shared" si="28"/>
        <v>0</v>
      </c>
      <c r="AB102" s="226">
        <f t="shared" si="28"/>
        <v>0</v>
      </c>
      <c r="AC102" s="226">
        <f t="shared" si="28"/>
        <v>0</v>
      </c>
      <c r="AD102" s="226">
        <f t="shared" si="28"/>
        <v>0</v>
      </c>
      <c r="AE102" s="226">
        <f t="shared" si="28"/>
        <v>0</v>
      </c>
      <c r="AF102" s="226">
        <f t="shared" si="28"/>
        <v>0</v>
      </c>
      <c r="AG102" s="226">
        <f t="shared" si="28"/>
        <v>0</v>
      </c>
      <c r="AH102" s="226">
        <f t="shared" si="28"/>
        <v>0</v>
      </c>
      <c r="AI102" s="226">
        <f t="shared" si="28"/>
        <v>0</v>
      </c>
      <c r="AJ102" s="226">
        <f t="shared" si="28"/>
        <v>0</v>
      </c>
      <c r="AK102" s="226">
        <f t="shared" si="28"/>
        <v>0</v>
      </c>
      <c r="AL102" s="226">
        <f t="shared" si="28"/>
        <v>0</v>
      </c>
      <c r="AM102" s="226">
        <f t="shared" si="28"/>
        <v>0</v>
      </c>
      <c r="AN102" s="226">
        <f>W102</f>
        <v>0</v>
      </c>
      <c r="AO102" s="226">
        <f>AN102</f>
        <v>0</v>
      </c>
      <c r="AP102" s="226">
        <f>AO102</f>
        <v>0</v>
      </c>
      <c r="AQ102" s="226">
        <f>AP102</f>
        <v>0</v>
      </c>
    </row>
    <row r="103" spans="1:43" s="229" customFormat="1" ht="18" customHeight="1" outlineLevel="2" x14ac:dyDescent="0.15">
      <c r="A103" s="227"/>
      <c r="B103" s="224" t="str">
        <f>$B$12</f>
        <v>销售率</v>
      </c>
      <c r="C103" s="228">
        <f>SUM(D103:AQ103)</f>
        <v>0</v>
      </c>
      <c r="D103" s="234"/>
      <c r="E103" s="234"/>
      <c r="F103" s="234"/>
      <c r="G103" s="234"/>
      <c r="H103" s="234"/>
      <c r="I103" s="234"/>
      <c r="J103" s="234"/>
      <c r="K103" s="234"/>
      <c r="L103" s="234"/>
      <c r="M103" s="234"/>
      <c r="N103" s="234"/>
      <c r="O103" s="234"/>
      <c r="P103" s="234"/>
      <c r="Q103" s="234"/>
      <c r="R103" s="234"/>
      <c r="S103" s="234"/>
      <c r="T103" s="234"/>
      <c r="U103" s="234"/>
      <c r="V103" s="234"/>
      <c r="W103" s="234"/>
      <c r="X103" s="234"/>
      <c r="Y103" s="234"/>
      <c r="Z103" s="234"/>
      <c r="AA103" s="234"/>
      <c r="AB103" s="234"/>
      <c r="AC103" s="234"/>
      <c r="AD103" s="234"/>
      <c r="AE103" s="234"/>
      <c r="AF103" s="234"/>
      <c r="AG103" s="234"/>
      <c r="AH103" s="234"/>
      <c r="AI103" s="234"/>
      <c r="AJ103" s="234"/>
      <c r="AK103" s="234"/>
      <c r="AL103" s="234"/>
      <c r="AM103" s="234"/>
      <c r="AN103" s="234"/>
      <c r="AO103" s="234"/>
      <c r="AP103" s="234"/>
      <c r="AQ103" s="234"/>
    </row>
    <row r="104" spans="1:43" s="229" customFormat="1" ht="18" customHeight="1" outlineLevel="2" x14ac:dyDescent="0.15">
      <c r="A104" s="227"/>
      <c r="B104" s="224" t="s">
        <v>577</v>
      </c>
      <c r="C104" s="234"/>
      <c r="D104" s="228"/>
      <c r="E104" s="228"/>
      <c r="F104" s="228"/>
      <c r="G104" s="228"/>
      <c r="H104" s="228"/>
      <c r="I104" s="228"/>
      <c r="J104" s="228"/>
      <c r="K104" s="228"/>
      <c r="L104" s="228"/>
      <c r="M104" s="228"/>
      <c r="N104" s="228"/>
      <c r="O104" s="228"/>
      <c r="P104" s="228"/>
      <c r="Q104" s="228"/>
      <c r="R104" s="228"/>
      <c r="S104" s="228"/>
      <c r="T104" s="228"/>
      <c r="U104" s="228"/>
      <c r="V104" s="228"/>
      <c r="W104" s="228"/>
      <c r="X104" s="228"/>
      <c r="Y104" s="228"/>
      <c r="Z104" s="228"/>
      <c r="AA104" s="228"/>
      <c r="AB104" s="228"/>
      <c r="AC104" s="228"/>
      <c r="AD104" s="228"/>
      <c r="AE104" s="228"/>
      <c r="AF104" s="228"/>
      <c r="AG104" s="228"/>
      <c r="AH104" s="228"/>
      <c r="AI104" s="228"/>
      <c r="AJ104" s="228"/>
      <c r="AK104" s="228"/>
      <c r="AL104" s="228"/>
      <c r="AM104" s="228"/>
      <c r="AN104" s="228"/>
      <c r="AO104" s="228"/>
      <c r="AP104" s="228"/>
      <c r="AQ104" s="228"/>
    </row>
    <row r="105" spans="1:43" s="213" customFormat="1" ht="18" customHeight="1" outlineLevel="2" x14ac:dyDescent="0.15">
      <c r="A105" s="216"/>
      <c r="B105" s="634"/>
      <c r="C105" s="228"/>
      <c r="D105" s="231"/>
      <c r="E105" s="231"/>
      <c r="F105" s="231"/>
      <c r="G105" s="231"/>
      <c r="H105" s="231"/>
      <c r="I105" s="231"/>
      <c r="J105" s="231"/>
      <c r="K105" s="231"/>
      <c r="L105" s="231"/>
      <c r="M105" s="231"/>
      <c r="N105" s="231"/>
      <c r="O105" s="231"/>
      <c r="P105" s="231"/>
      <c r="Q105" s="231"/>
      <c r="R105" s="231"/>
      <c r="S105" s="231"/>
      <c r="T105" s="231"/>
      <c r="U105" s="231"/>
      <c r="V105" s="231"/>
      <c r="W105" s="231"/>
      <c r="X105" s="231"/>
      <c r="Y105" s="231"/>
      <c r="Z105" s="231"/>
      <c r="AA105" s="231"/>
      <c r="AB105" s="231"/>
      <c r="AC105" s="231"/>
      <c r="AD105" s="231"/>
      <c r="AE105" s="231"/>
      <c r="AF105" s="231"/>
      <c r="AG105" s="231"/>
      <c r="AH105" s="231"/>
      <c r="AI105" s="231"/>
      <c r="AJ105" s="231"/>
      <c r="AK105" s="231"/>
      <c r="AL105" s="231"/>
      <c r="AM105" s="231"/>
      <c r="AN105" s="231"/>
      <c r="AO105" s="231"/>
      <c r="AP105" s="231"/>
      <c r="AQ105" s="231"/>
    </row>
    <row r="106" spans="1:43" s="213" customFormat="1" ht="18" customHeight="1" outlineLevel="1" x14ac:dyDescent="0.15">
      <c r="A106" s="216" t="s">
        <v>581</v>
      </c>
      <c r="B106" s="633">
        <f>规划指标!F18</f>
        <v>0</v>
      </c>
      <c r="C106" s="217">
        <f>SUM(D106:AQ106)</f>
        <v>0</v>
      </c>
      <c r="D106" s="201">
        <f>D109*D107/10000</f>
        <v>0</v>
      </c>
      <c r="E106" s="201">
        <f t="shared" ref="E106:AQ106" si="29">E109*E107/10000</f>
        <v>0</v>
      </c>
      <c r="F106" s="201">
        <f t="shared" si="29"/>
        <v>0</v>
      </c>
      <c r="G106" s="201">
        <f t="shared" si="29"/>
        <v>0</v>
      </c>
      <c r="H106" s="201">
        <f t="shared" si="29"/>
        <v>0</v>
      </c>
      <c r="I106" s="201">
        <f t="shared" si="29"/>
        <v>0</v>
      </c>
      <c r="J106" s="201">
        <f t="shared" si="29"/>
        <v>0</v>
      </c>
      <c r="K106" s="201">
        <f t="shared" si="29"/>
        <v>0</v>
      </c>
      <c r="L106" s="201">
        <f t="shared" si="29"/>
        <v>0</v>
      </c>
      <c r="M106" s="201">
        <f t="shared" si="29"/>
        <v>0</v>
      </c>
      <c r="N106" s="201">
        <f t="shared" si="29"/>
        <v>0</v>
      </c>
      <c r="O106" s="201">
        <f t="shared" si="29"/>
        <v>0</v>
      </c>
      <c r="P106" s="201">
        <f t="shared" si="29"/>
        <v>0</v>
      </c>
      <c r="Q106" s="201">
        <f t="shared" si="29"/>
        <v>0</v>
      </c>
      <c r="R106" s="201">
        <f t="shared" si="29"/>
        <v>0</v>
      </c>
      <c r="S106" s="201">
        <f t="shared" si="29"/>
        <v>0</v>
      </c>
      <c r="T106" s="201">
        <f t="shared" si="29"/>
        <v>0</v>
      </c>
      <c r="U106" s="201">
        <f t="shared" si="29"/>
        <v>0</v>
      </c>
      <c r="V106" s="201">
        <f t="shared" si="29"/>
        <v>0</v>
      </c>
      <c r="W106" s="201">
        <f t="shared" si="29"/>
        <v>0</v>
      </c>
      <c r="X106" s="201">
        <f t="shared" si="29"/>
        <v>0</v>
      </c>
      <c r="Y106" s="201">
        <f t="shared" si="29"/>
        <v>0</v>
      </c>
      <c r="Z106" s="201">
        <f t="shared" si="29"/>
        <v>0</v>
      </c>
      <c r="AA106" s="201">
        <f t="shared" si="29"/>
        <v>0</v>
      </c>
      <c r="AB106" s="201">
        <f t="shared" si="29"/>
        <v>0</v>
      </c>
      <c r="AC106" s="201">
        <f t="shared" si="29"/>
        <v>0</v>
      </c>
      <c r="AD106" s="201">
        <f t="shared" si="29"/>
        <v>0</v>
      </c>
      <c r="AE106" s="201">
        <f t="shared" si="29"/>
        <v>0</v>
      </c>
      <c r="AF106" s="201">
        <f t="shared" si="29"/>
        <v>0</v>
      </c>
      <c r="AG106" s="201">
        <f t="shared" si="29"/>
        <v>0</v>
      </c>
      <c r="AH106" s="201">
        <f t="shared" si="29"/>
        <v>0</v>
      </c>
      <c r="AI106" s="201">
        <f t="shared" si="29"/>
        <v>0</v>
      </c>
      <c r="AJ106" s="201">
        <f t="shared" si="29"/>
        <v>0</v>
      </c>
      <c r="AK106" s="201">
        <f t="shared" si="29"/>
        <v>0</v>
      </c>
      <c r="AL106" s="201">
        <f t="shared" si="29"/>
        <v>0</v>
      </c>
      <c r="AM106" s="201">
        <f t="shared" si="29"/>
        <v>0</v>
      </c>
      <c r="AN106" s="201">
        <f t="shared" si="29"/>
        <v>0</v>
      </c>
      <c r="AO106" s="201">
        <f t="shared" si="29"/>
        <v>0</v>
      </c>
      <c r="AP106" s="201">
        <f t="shared" si="29"/>
        <v>0</v>
      </c>
      <c r="AQ106" s="201">
        <f t="shared" si="29"/>
        <v>0</v>
      </c>
    </row>
    <row r="107" spans="1:43" s="213" customFormat="1" ht="18" customHeight="1" outlineLevel="2" x14ac:dyDescent="0.15">
      <c r="A107" s="216"/>
      <c r="B107" s="224" t="str">
        <f>$B$9</f>
        <v>销售数量</v>
      </c>
      <c r="C107" s="217">
        <f>SUM(D107:AQ107)</f>
        <v>0</v>
      </c>
      <c r="D107" s="201">
        <f>D110*规划指标!$G$18</f>
        <v>0</v>
      </c>
      <c r="E107" s="201">
        <f>E110*规划指标!$G$18</f>
        <v>0</v>
      </c>
      <c r="F107" s="201">
        <f>F110*规划指标!$G$18</f>
        <v>0</v>
      </c>
      <c r="G107" s="201">
        <f>G110*规划指标!$G$18</f>
        <v>0</v>
      </c>
      <c r="H107" s="201">
        <f>H110*规划指标!$G$18</f>
        <v>0</v>
      </c>
      <c r="I107" s="201">
        <f>I110*规划指标!$G$18</f>
        <v>0</v>
      </c>
      <c r="J107" s="201">
        <f>J110*规划指标!$G$18</f>
        <v>0</v>
      </c>
      <c r="K107" s="201">
        <f>K110*规划指标!$G$18</f>
        <v>0</v>
      </c>
      <c r="L107" s="201">
        <f>L110*规划指标!$G$18</f>
        <v>0</v>
      </c>
      <c r="M107" s="201">
        <f>M110*规划指标!$G$18</f>
        <v>0</v>
      </c>
      <c r="N107" s="201">
        <f>N110*规划指标!$G$18</f>
        <v>0</v>
      </c>
      <c r="O107" s="201">
        <f>O110*规划指标!$G$18</f>
        <v>0</v>
      </c>
      <c r="P107" s="201">
        <f>P110*规划指标!$G$18</f>
        <v>0</v>
      </c>
      <c r="Q107" s="201">
        <f>Q110*规划指标!$G$18</f>
        <v>0</v>
      </c>
      <c r="R107" s="201">
        <f>R110*规划指标!$G$18</f>
        <v>0</v>
      </c>
      <c r="S107" s="201">
        <f>S110*规划指标!$G$18</f>
        <v>0</v>
      </c>
      <c r="T107" s="201">
        <f>T110*规划指标!$G$18</f>
        <v>0</v>
      </c>
      <c r="U107" s="201">
        <f>U110*规划指标!$G$18</f>
        <v>0</v>
      </c>
      <c r="V107" s="201">
        <f>V110*规划指标!$G$18</f>
        <v>0</v>
      </c>
      <c r="W107" s="201">
        <f>W110*规划指标!$G$18</f>
        <v>0</v>
      </c>
      <c r="X107" s="201">
        <f>X110*规划指标!$G$18</f>
        <v>0</v>
      </c>
      <c r="Y107" s="201">
        <f>Y110*规划指标!$G$18</f>
        <v>0</v>
      </c>
      <c r="Z107" s="201">
        <f>Z110*规划指标!$G$18</f>
        <v>0</v>
      </c>
      <c r="AA107" s="201">
        <f>AA110*规划指标!$G$18</f>
        <v>0</v>
      </c>
      <c r="AB107" s="201">
        <f>AB110*规划指标!$G$18</f>
        <v>0</v>
      </c>
      <c r="AC107" s="201">
        <f>AC110*规划指标!$G$18</f>
        <v>0</v>
      </c>
      <c r="AD107" s="201">
        <f>AD110*规划指标!$G$18</f>
        <v>0</v>
      </c>
      <c r="AE107" s="201">
        <f>AE110*规划指标!$G$18</f>
        <v>0</v>
      </c>
      <c r="AF107" s="201">
        <f>AF110*规划指标!$G$18</f>
        <v>0</v>
      </c>
      <c r="AG107" s="201">
        <f>AG110*规划指标!$G$18</f>
        <v>0</v>
      </c>
      <c r="AH107" s="201">
        <f>AH110*规划指标!$G$18</f>
        <v>0</v>
      </c>
      <c r="AI107" s="201">
        <f>AI110*规划指标!$G$18</f>
        <v>0</v>
      </c>
      <c r="AJ107" s="201">
        <f>AJ110*规划指标!$G$18</f>
        <v>0</v>
      </c>
      <c r="AK107" s="201">
        <f>AK110*规划指标!$G$18</f>
        <v>0</v>
      </c>
      <c r="AL107" s="201">
        <f>AL110*规划指标!$G$18</f>
        <v>0</v>
      </c>
      <c r="AM107" s="201">
        <f>AM110*规划指标!$G$18</f>
        <v>0</v>
      </c>
      <c r="AN107" s="201">
        <f>AN110*规划指标!$G$18</f>
        <v>0</v>
      </c>
      <c r="AO107" s="201">
        <f>AO110*规划指标!$G$18</f>
        <v>0</v>
      </c>
      <c r="AP107" s="201">
        <f>AP110*规划指标!$G$18</f>
        <v>0</v>
      </c>
      <c r="AQ107" s="201">
        <f>AQ110*规划指标!$G$18</f>
        <v>0</v>
      </c>
    </row>
    <row r="108" spans="1:43" s="213" customFormat="1" ht="18" customHeight="1" outlineLevel="2" x14ac:dyDescent="0.15">
      <c r="A108" s="216"/>
      <c r="B108" s="224" t="str">
        <f>B101</f>
        <v>销售套数</v>
      </c>
      <c r="C108" s="217" t="e">
        <f>SUM(D108:AQ108)</f>
        <v>#DIV/0!</v>
      </c>
      <c r="D108" s="245" t="e">
        <f>D107/规划指标!$G$18*规划指标!$I$18</f>
        <v>#DIV/0!</v>
      </c>
      <c r="E108" s="245" t="e">
        <f>E107/规划指标!$G$18*规划指标!$I$18</f>
        <v>#DIV/0!</v>
      </c>
      <c r="F108" s="245" t="e">
        <f>F107/规划指标!$G$18*规划指标!$I$18</f>
        <v>#DIV/0!</v>
      </c>
      <c r="G108" s="245" t="e">
        <f>G107/规划指标!$G$18*规划指标!$I$18</f>
        <v>#DIV/0!</v>
      </c>
      <c r="H108" s="245" t="e">
        <f>H107/规划指标!$G$18*规划指标!$I$18</f>
        <v>#DIV/0!</v>
      </c>
      <c r="I108" s="245" t="e">
        <f>I107/规划指标!$G$18*规划指标!$I$18</f>
        <v>#DIV/0!</v>
      </c>
      <c r="J108" s="245" t="e">
        <f>J107/规划指标!$G$18*规划指标!$I$18</f>
        <v>#DIV/0!</v>
      </c>
      <c r="K108" s="245" t="e">
        <f>K107/规划指标!$G$18*规划指标!$I$18</f>
        <v>#DIV/0!</v>
      </c>
      <c r="L108" s="245" t="e">
        <f>L107/规划指标!$G$18*规划指标!$I$18</f>
        <v>#DIV/0!</v>
      </c>
      <c r="M108" s="245" t="e">
        <f>M107/规划指标!$G$18*规划指标!$I$18</f>
        <v>#DIV/0!</v>
      </c>
      <c r="N108" s="245" t="e">
        <f>N107/规划指标!$G$18*规划指标!$I$18</f>
        <v>#DIV/0!</v>
      </c>
      <c r="O108" s="245" t="e">
        <f>O107/规划指标!$G$18*规划指标!$I$18</f>
        <v>#DIV/0!</v>
      </c>
      <c r="P108" s="245" t="e">
        <f>P107/规划指标!$G$18*规划指标!$I$18</f>
        <v>#DIV/0!</v>
      </c>
      <c r="Q108" s="245" t="e">
        <f>Q107/规划指标!$G$18*规划指标!$I$18</f>
        <v>#DIV/0!</v>
      </c>
      <c r="R108" s="245" t="e">
        <f>R107/规划指标!$G$18*规划指标!$I$18</f>
        <v>#DIV/0!</v>
      </c>
      <c r="S108" s="245" t="e">
        <f>S107/规划指标!$G$18*规划指标!$I$18</f>
        <v>#DIV/0!</v>
      </c>
      <c r="T108" s="245" t="e">
        <f>T107/规划指标!$G$18*规划指标!$I$18</f>
        <v>#DIV/0!</v>
      </c>
      <c r="U108" s="245" t="e">
        <f>U107/规划指标!$G$18*规划指标!$I$18</f>
        <v>#DIV/0!</v>
      </c>
      <c r="V108" s="245" t="e">
        <f>V107/规划指标!$G$18*规划指标!$I$18</f>
        <v>#DIV/0!</v>
      </c>
      <c r="W108" s="245" t="e">
        <f>W107/规划指标!$G$18*规划指标!$I$18</f>
        <v>#DIV/0!</v>
      </c>
      <c r="X108" s="245" t="e">
        <f>X107/规划指标!$G$18*规划指标!$I$18</f>
        <v>#DIV/0!</v>
      </c>
      <c r="Y108" s="245" t="e">
        <f>Y107/规划指标!$G$18*规划指标!$I$18</f>
        <v>#DIV/0!</v>
      </c>
      <c r="Z108" s="245" t="e">
        <f>Z107/规划指标!$G$18*规划指标!$I$18</f>
        <v>#DIV/0!</v>
      </c>
      <c r="AA108" s="245" t="e">
        <f>AA107/规划指标!$G$18*规划指标!$I$18</f>
        <v>#DIV/0!</v>
      </c>
      <c r="AB108" s="245" t="e">
        <f>AB107/规划指标!$G$18*规划指标!$I$18</f>
        <v>#DIV/0!</v>
      </c>
      <c r="AC108" s="245" t="e">
        <f>AC107/规划指标!$G$18*规划指标!$I$18</f>
        <v>#DIV/0!</v>
      </c>
      <c r="AD108" s="245" t="e">
        <f>AD107/规划指标!$G$18*规划指标!$I$18</f>
        <v>#DIV/0!</v>
      </c>
      <c r="AE108" s="245" t="e">
        <f>AE107/规划指标!$G$18*规划指标!$I$18</f>
        <v>#DIV/0!</v>
      </c>
      <c r="AF108" s="245" t="e">
        <f>AF107/规划指标!$G$18*规划指标!$I$18</f>
        <v>#DIV/0!</v>
      </c>
      <c r="AG108" s="245" t="e">
        <f>AG107/规划指标!$G$18*规划指标!$I$18</f>
        <v>#DIV/0!</v>
      </c>
      <c r="AH108" s="245" t="e">
        <f>AH107/规划指标!$G$18*规划指标!$I$18</f>
        <v>#DIV/0!</v>
      </c>
      <c r="AI108" s="245" t="e">
        <f>AI107/规划指标!$G$18*规划指标!$I$18</f>
        <v>#DIV/0!</v>
      </c>
      <c r="AJ108" s="245" t="e">
        <f>AJ107/规划指标!$G$18*规划指标!$I$18</f>
        <v>#DIV/0!</v>
      </c>
      <c r="AK108" s="245" t="e">
        <f>AK107/规划指标!$G$18*规划指标!$I$18</f>
        <v>#DIV/0!</v>
      </c>
      <c r="AL108" s="245" t="e">
        <f>AL107/规划指标!$G$18*规划指标!$I$18</f>
        <v>#DIV/0!</v>
      </c>
      <c r="AM108" s="245" t="e">
        <f>AM107/规划指标!$G$18*规划指标!$I$18</f>
        <v>#DIV/0!</v>
      </c>
      <c r="AN108" s="245" t="e">
        <f>AN107/规划指标!$G$18*规划指标!$I$18</f>
        <v>#DIV/0!</v>
      </c>
      <c r="AO108" s="245" t="e">
        <f>AO107/规划指标!$G$18*规划指标!$I$18</f>
        <v>#DIV/0!</v>
      </c>
      <c r="AP108" s="245" t="e">
        <f>AP107/规划指标!$G$18*规划指标!$I$18</f>
        <v>#DIV/0!</v>
      </c>
      <c r="AQ108" s="245" t="e">
        <f>AQ107/规划指标!$G$18*规划指标!$I$18</f>
        <v>#DIV/0!</v>
      </c>
    </row>
    <row r="109" spans="1:43" s="213" customFormat="1" ht="18" customHeight="1" outlineLevel="2" x14ac:dyDescent="0.15">
      <c r="A109" s="216"/>
      <c r="B109" s="224" t="str">
        <f>$B$11</f>
        <v>销售均价</v>
      </c>
      <c r="C109" s="225" t="e">
        <f>ROUND(C106/C107*10000,0)</f>
        <v>#DIV/0!</v>
      </c>
      <c r="D109" s="226">
        <f>ROUND(C111*D167,0)</f>
        <v>0</v>
      </c>
      <c r="E109" s="226">
        <f t="shared" ref="E109:AM109" si="30">D109</f>
        <v>0</v>
      </c>
      <c r="F109" s="226">
        <f t="shared" si="30"/>
        <v>0</v>
      </c>
      <c r="G109" s="226">
        <f t="shared" si="30"/>
        <v>0</v>
      </c>
      <c r="H109" s="226">
        <f t="shared" si="30"/>
        <v>0</v>
      </c>
      <c r="I109" s="226">
        <f t="shared" si="30"/>
        <v>0</v>
      </c>
      <c r="J109" s="226">
        <f t="shared" si="30"/>
        <v>0</v>
      </c>
      <c r="K109" s="226">
        <f t="shared" si="30"/>
        <v>0</v>
      </c>
      <c r="L109" s="226">
        <f t="shared" si="30"/>
        <v>0</v>
      </c>
      <c r="M109" s="226">
        <f t="shared" si="30"/>
        <v>0</v>
      </c>
      <c r="N109" s="226">
        <f t="shared" si="30"/>
        <v>0</v>
      </c>
      <c r="O109" s="226">
        <f t="shared" si="30"/>
        <v>0</v>
      </c>
      <c r="P109" s="226">
        <f t="shared" si="30"/>
        <v>0</v>
      </c>
      <c r="Q109" s="226">
        <f t="shared" si="30"/>
        <v>0</v>
      </c>
      <c r="R109" s="226">
        <f t="shared" si="30"/>
        <v>0</v>
      </c>
      <c r="S109" s="226">
        <f t="shared" si="30"/>
        <v>0</v>
      </c>
      <c r="T109" s="226">
        <f t="shared" si="30"/>
        <v>0</v>
      </c>
      <c r="U109" s="226">
        <f t="shared" si="30"/>
        <v>0</v>
      </c>
      <c r="V109" s="226">
        <f t="shared" si="30"/>
        <v>0</v>
      </c>
      <c r="W109" s="226">
        <f t="shared" si="30"/>
        <v>0</v>
      </c>
      <c r="X109" s="226">
        <f t="shared" si="30"/>
        <v>0</v>
      </c>
      <c r="Y109" s="226">
        <f t="shared" si="30"/>
        <v>0</v>
      </c>
      <c r="Z109" s="226">
        <f t="shared" si="30"/>
        <v>0</v>
      </c>
      <c r="AA109" s="226">
        <f t="shared" si="30"/>
        <v>0</v>
      </c>
      <c r="AB109" s="226">
        <f t="shared" si="30"/>
        <v>0</v>
      </c>
      <c r="AC109" s="226">
        <f t="shared" si="30"/>
        <v>0</v>
      </c>
      <c r="AD109" s="226">
        <f t="shared" si="30"/>
        <v>0</v>
      </c>
      <c r="AE109" s="226">
        <f t="shared" si="30"/>
        <v>0</v>
      </c>
      <c r="AF109" s="226">
        <f t="shared" si="30"/>
        <v>0</v>
      </c>
      <c r="AG109" s="226">
        <f t="shared" si="30"/>
        <v>0</v>
      </c>
      <c r="AH109" s="226">
        <f t="shared" si="30"/>
        <v>0</v>
      </c>
      <c r="AI109" s="226">
        <f t="shared" si="30"/>
        <v>0</v>
      </c>
      <c r="AJ109" s="226">
        <f t="shared" si="30"/>
        <v>0</v>
      </c>
      <c r="AK109" s="226">
        <f t="shared" si="30"/>
        <v>0</v>
      </c>
      <c r="AL109" s="226">
        <f t="shared" si="30"/>
        <v>0</v>
      </c>
      <c r="AM109" s="226">
        <f t="shared" si="30"/>
        <v>0</v>
      </c>
      <c r="AN109" s="226">
        <f>W109</f>
        <v>0</v>
      </c>
      <c r="AO109" s="226">
        <f>AN109</f>
        <v>0</v>
      </c>
      <c r="AP109" s="226">
        <f>AO109</f>
        <v>0</v>
      </c>
      <c r="AQ109" s="226">
        <f>AP109</f>
        <v>0</v>
      </c>
    </row>
    <row r="110" spans="1:43" s="229" customFormat="1" ht="18" customHeight="1" outlineLevel="2" x14ac:dyDescent="0.15">
      <c r="A110" s="227"/>
      <c r="B110" s="224" t="str">
        <f>$B$12</f>
        <v>销售率</v>
      </c>
      <c r="C110" s="228">
        <f>SUM(D110:AQ110)</f>
        <v>0</v>
      </c>
      <c r="D110" s="234"/>
      <c r="E110" s="234"/>
      <c r="F110" s="234"/>
      <c r="G110" s="234"/>
      <c r="H110" s="234"/>
      <c r="I110" s="234"/>
      <c r="J110" s="234"/>
      <c r="K110" s="234"/>
      <c r="L110" s="234"/>
      <c r="M110" s="234"/>
      <c r="N110" s="234"/>
      <c r="O110" s="234"/>
      <c r="P110" s="234"/>
      <c r="Q110" s="234"/>
      <c r="R110" s="234"/>
      <c r="S110" s="234"/>
      <c r="T110" s="234"/>
      <c r="U110" s="234"/>
      <c r="V110" s="234"/>
      <c r="W110" s="234"/>
      <c r="X110" s="234"/>
      <c r="Y110" s="234"/>
      <c r="Z110" s="234"/>
      <c r="AA110" s="234"/>
      <c r="AB110" s="234"/>
      <c r="AC110" s="234"/>
      <c r="AD110" s="234"/>
      <c r="AE110" s="234"/>
      <c r="AF110" s="234"/>
      <c r="AG110" s="234"/>
      <c r="AH110" s="234"/>
      <c r="AI110" s="234"/>
      <c r="AJ110" s="234"/>
      <c r="AK110" s="234"/>
      <c r="AL110" s="234"/>
      <c r="AM110" s="234"/>
      <c r="AN110" s="234"/>
      <c r="AO110" s="234"/>
      <c r="AP110" s="234"/>
      <c r="AQ110" s="234"/>
    </row>
    <row r="111" spans="1:43" s="229" customFormat="1" ht="18" customHeight="1" outlineLevel="2" x14ac:dyDescent="0.15">
      <c r="A111" s="227"/>
      <c r="B111" s="224" t="s">
        <v>577</v>
      </c>
      <c r="C111" s="234"/>
      <c r="D111" s="228"/>
      <c r="E111" s="228"/>
      <c r="F111" s="228"/>
      <c r="G111" s="228"/>
      <c r="H111" s="228"/>
      <c r="I111" s="228"/>
      <c r="J111" s="228"/>
      <c r="K111" s="228"/>
      <c r="L111" s="228"/>
      <c r="M111" s="228"/>
      <c r="N111" s="228"/>
      <c r="O111" s="228"/>
      <c r="P111" s="228"/>
      <c r="Q111" s="228"/>
      <c r="R111" s="228"/>
      <c r="S111" s="228"/>
      <c r="T111" s="228"/>
      <c r="U111" s="228"/>
      <c r="V111" s="228"/>
      <c r="W111" s="228"/>
      <c r="X111" s="228"/>
      <c r="Y111" s="228"/>
      <c r="Z111" s="228"/>
      <c r="AA111" s="228"/>
      <c r="AB111" s="228"/>
      <c r="AC111" s="228"/>
      <c r="AD111" s="228"/>
      <c r="AE111" s="228"/>
      <c r="AF111" s="228"/>
      <c r="AG111" s="228"/>
      <c r="AH111" s="228"/>
      <c r="AI111" s="228"/>
      <c r="AJ111" s="228"/>
      <c r="AK111" s="228"/>
      <c r="AL111" s="228"/>
      <c r="AM111" s="228"/>
      <c r="AN111" s="228"/>
      <c r="AO111" s="228"/>
      <c r="AP111" s="228"/>
      <c r="AQ111" s="228"/>
    </row>
    <row r="112" spans="1:43" s="213" customFormat="1" ht="18" customHeight="1" outlineLevel="2" x14ac:dyDescent="0.15">
      <c r="A112" s="216"/>
      <c r="B112" s="634"/>
      <c r="C112" s="228"/>
      <c r="D112" s="231"/>
      <c r="E112" s="231"/>
      <c r="F112" s="231"/>
      <c r="G112" s="231"/>
      <c r="H112" s="231"/>
      <c r="I112" s="231"/>
      <c r="J112" s="231"/>
      <c r="K112" s="231"/>
      <c r="L112" s="231"/>
      <c r="M112" s="231"/>
      <c r="N112" s="231"/>
      <c r="O112" s="231"/>
      <c r="P112" s="231"/>
      <c r="Q112" s="231"/>
      <c r="R112" s="231"/>
      <c r="S112" s="231"/>
      <c r="T112" s="231"/>
      <c r="U112" s="231"/>
      <c r="V112" s="231"/>
      <c r="W112" s="231"/>
      <c r="X112" s="231"/>
      <c r="Y112" s="231"/>
      <c r="Z112" s="231"/>
      <c r="AA112" s="231"/>
      <c r="AB112" s="231"/>
      <c r="AC112" s="231"/>
      <c r="AD112" s="231"/>
      <c r="AE112" s="231"/>
      <c r="AF112" s="231"/>
      <c r="AG112" s="231"/>
      <c r="AH112" s="231"/>
      <c r="AI112" s="231"/>
      <c r="AJ112" s="231"/>
      <c r="AK112" s="231"/>
      <c r="AL112" s="231"/>
      <c r="AM112" s="231"/>
      <c r="AN112" s="231"/>
      <c r="AO112" s="231"/>
      <c r="AP112" s="231"/>
      <c r="AQ112" s="231"/>
    </row>
    <row r="113" spans="1:43" s="158" customFormat="1" ht="18" customHeight="1" collapsed="1" x14ac:dyDescent="0.15">
      <c r="A113" s="241">
        <v>2</v>
      </c>
      <c r="B113" s="235" t="s">
        <v>350</v>
      </c>
      <c r="C113" s="242">
        <f>SUM(D113:AQ113)</f>
        <v>0</v>
      </c>
      <c r="D113" s="238">
        <f>SUM(D114:D128)</f>
        <v>0</v>
      </c>
      <c r="E113" s="238">
        <f t="shared" ref="E113:AQ113" si="31">SUM(E114:E128)</f>
        <v>0</v>
      </c>
      <c r="F113" s="238">
        <f t="shared" si="31"/>
        <v>0</v>
      </c>
      <c r="G113" s="238">
        <f t="shared" si="31"/>
        <v>0</v>
      </c>
      <c r="H113" s="238">
        <f t="shared" si="31"/>
        <v>0</v>
      </c>
      <c r="I113" s="238">
        <f t="shared" si="31"/>
        <v>0</v>
      </c>
      <c r="J113" s="238">
        <f t="shared" si="31"/>
        <v>0</v>
      </c>
      <c r="K113" s="238">
        <f t="shared" si="31"/>
        <v>0</v>
      </c>
      <c r="L113" s="238">
        <f t="shared" si="31"/>
        <v>0</v>
      </c>
      <c r="M113" s="238">
        <f t="shared" si="31"/>
        <v>0</v>
      </c>
      <c r="N113" s="238">
        <f t="shared" si="31"/>
        <v>0</v>
      </c>
      <c r="O113" s="238">
        <f t="shared" si="31"/>
        <v>0</v>
      </c>
      <c r="P113" s="238">
        <f t="shared" si="31"/>
        <v>0</v>
      </c>
      <c r="Q113" s="238">
        <f t="shared" si="31"/>
        <v>0</v>
      </c>
      <c r="R113" s="238">
        <f t="shared" si="31"/>
        <v>0</v>
      </c>
      <c r="S113" s="238">
        <f t="shared" si="31"/>
        <v>0</v>
      </c>
      <c r="T113" s="238">
        <f t="shared" si="31"/>
        <v>0</v>
      </c>
      <c r="U113" s="238">
        <f t="shared" si="31"/>
        <v>0</v>
      </c>
      <c r="V113" s="238">
        <f t="shared" si="31"/>
        <v>0</v>
      </c>
      <c r="W113" s="238">
        <f t="shared" si="31"/>
        <v>0</v>
      </c>
      <c r="X113" s="238">
        <f t="shared" si="31"/>
        <v>0</v>
      </c>
      <c r="Y113" s="238">
        <f t="shared" si="31"/>
        <v>0</v>
      </c>
      <c r="Z113" s="238">
        <f t="shared" si="31"/>
        <v>0</v>
      </c>
      <c r="AA113" s="238">
        <f t="shared" si="31"/>
        <v>0</v>
      </c>
      <c r="AB113" s="238">
        <f t="shared" si="31"/>
        <v>0</v>
      </c>
      <c r="AC113" s="238">
        <f t="shared" si="31"/>
        <v>0</v>
      </c>
      <c r="AD113" s="238">
        <f t="shared" si="31"/>
        <v>0</v>
      </c>
      <c r="AE113" s="238">
        <f t="shared" si="31"/>
        <v>0</v>
      </c>
      <c r="AF113" s="238">
        <f t="shared" si="31"/>
        <v>0</v>
      </c>
      <c r="AG113" s="238">
        <f t="shared" si="31"/>
        <v>0</v>
      </c>
      <c r="AH113" s="238">
        <f t="shared" si="31"/>
        <v>0</v>
      </c>
      <c r="AI113" s="238">
        <f t="shared" si="31"/>
        <v>0</v>
      </c>
      <c r="AJ113" s="238">
        <f t="shared" si="31"/>
        <v>0</v>
      </c>
      <c r="AK113" s="238">
        <f t="shared" si="31"/>
        <v>0</v>
      </c>
      <c r="AL113" s="238">
        <f t="shared" si="31"/>
        <v>0</v>
      </c>
      <c r="AM113" s="238">
        <f t="shared" si="31"/>
        <v>0</v>
      </c>
      <c r="AN113" s="238">
        <f t="shared" si="31"/>
        <v>0</v>
      </c>
      <c r="AO113" s="238">
        <f t="shared" si="31"/>
        <v>0</v>
      </c>
      <c r="AP113" s="238">
        <f t="shared" si="31"/>
        <v>0</v>
      </c>
      <c r="AQ113" s="238">
        <f t="shared" si="31"/>
        <v>0</v>
      </c>
    </row>
    <row r="114" spans="1:43" s="213" customFormat="1" ht="18" hidden="1" customHeight="1" outlineLevel="1" x14ac:dyDescent="0.15">
      <c r="A114" s="216" t="s">
        <v>304</v>
      </c>
      <c r="B114" s="633" t="str">
        <f>B8</f>
        <v>小高层</v>
      </c>
      <c r="C114" s="217">
        <f t="shared" ref="C114:C133" si="32">SUM(D114:AQ114)</f>
        <v>0</v>
      </c>
      <c r="D114" s="201">
        <f>ROUND(D8*D137,0)</f>
        <v>0</v>
      </c>
      <c r="E114" s="201">
        <f t="shared" ref="E114:AQ114" si="33">ROUND(E8*E137,0)</f>
        <v>0</v>
      </c>
      <c r="F114" s="201">
        <f t="shared" si="33"/>
        <v>0</v>
      </c>
      <c r="G114" s="201">
        <f t="shared" si="33"/>
        <v>0</v>
      </c>
      <c r="H114" s="201">
        <f t="shared" si="33"/>
        <v>0</v>
      </c>
      <c r="I114" s="201">
        <f t="shared" si="33"/>
        <v>0</v>
      </c>
      <c r="J114" s="201">
        <f t="shared" si="33"/>
        <v>0</v>
      </c>
      <c r="K114" s="201">
        <f t="shared" si="33"/>
        <v>0</v>
      </c>
      <c r="L114" s="201">
        <f t="shared" si="33"/>
        <v>0</v>
      </c>
      <c r="M114" s="201">
        <f t="shared" si="33"/>
        <v>0</v>
      </c>
      <c r="N114" s="201">
        <f t="shared" si="33"/>
        <v>0</v>
      </c>
      <c r="O114" s="201">
        <f t="shared" si="33"/>
        <v>0</v>
      </c>
      <c r="P114" s="201">
        <f t="shared" si="33"/>
        <v>0</v>
      </c>
      <c r="Q114" s="201">
        <f t="shared" si="33"/>
        <v>0</v>
      </c>
      <c r="R114" s="201">
        <f t="shared" si="33"/>
        <v>0</v>
      </c>
      <c r="S114" s="201">
        <f t="shared" si="33"/>
        <v>0</v>
      </c>
      <c r="T114" s="201">
        <f t="shared" si="33"/>
        <v>0</v>
      </c>
      <c r="U114" s="201">
        <f t="shared" si="33"/>
        <v>0</v>
      </c>
      <c r="V114" s="201">
        <f t="shared" si="33"/>
        <v>0</v>
      </c>
      <c r="W114" s="201">
        <f t="shared" si="33"/>
        <v>0</v>
      </c>
      <c r="X114" s="201">
        <f t="shared" si="33"/>
        <v>0</v>
      </c>
      <c r="Y114" s="201">
        <f t="shared" si="33"/>
        <v>0</v>
      </c>
      <c r="Z114" s="201">
        <f t="shared" si="33"/>
        <v>0</v>
      </c>
      <c r="AA114" s="201">
        <f t="shared" si="33"/>
        <v>0</v>
      </c>
      <c r="AB114" s="201">
        <f t="shared" si="33"/>
        <v>0</v>
      </c>
      <c r="AC114" s="201">
        <f t="shared" si="33"/>
        <v>0</v>
      </c>
      <c r="AD114" s="201">
        <f t="shared" si="33"/>
        <v>0</v>
      </c>
      <c r="AE114" s="201">
        <f t="shared" si="33"/>
        <v>0</v>
      </c>
      <c r="AF114" s="201">
        <f t="shared" si="33"/>
        <v>0</v>
      </c>
      <c r="AG114" s="201">
        <f t="shared" si="33"/>
        <v>0</v>
      </c>
      <c r="AH114" s="201">
        <f t="shared" si="33"/>
        <v>0</v>
      </c>
      <c r="AI114" s="201">
        <f t="shared" si="33"/>
        <v>0</v>
      </c>
      <c r="AJ114" s="201">
        <f t="shared" si="33"/>
        <v>0</v>
      </c>
      <c r="AK114" s="201">
        <f t="shared" si="33"/>
        <v>0</v>
      </c>
      <c r="AL114" s="201">
        <f t="shared" si="33"/>
        <v>0</v>
      </c>
      <c r="AM114" s="201">
        <f t="shared" si="33"/>
        <v>0</v>
      </c>
      <c r="AN114" s="201">
        <f t="shared" si="33"/>
        <v>0</v>
      </c>
      <c r="AO114" s="201">
        <f t="shared" si="33"/>
        <v>0</v>
      </c>
      <c r="AP114" s="201">
        <f t="shared" si="33"/>
        <v>0</v>
      </c>
      <c r="AQ114" s="201">
        <f t="shared" si="33"/>
        <v>0</v>
      </c>
    </row>
    <row r="115" spans="1:43" s="213" customFormat="1" ht="18" hidden="1" customHeight="1" outlineLevel="1" x14ac:dyDescent="0.15">
      <c r="A115" s="216" t="s">
        <v>305</v>
      </c>
      <c r="B115" s="633" t="str">
        <f>B15</f>
        <v>洋房</v>
      </c>
      <c r="C115" s="217">
        <f t="shared" si="32"/>
        <v>0</v>
      </c>
      <c r="D115" s="201">
        <f>ROUND(D15*D138,0)</f>
        <v>0</v>
      </c>
      <c r="E115" s="201">
        <f t="shared" ref="E115:AQ115" si="34">ROUND(E15*E138,0)</f>
        <v>0</v>
      </c>
      <c r="F115" s="201">
        <f t="shared" si="34"/>
        <v>0</v>
      </c>
      <c r="G115" s="201">
        <f t="shared" si="34"/>
        <v>0</v>
      </c>
      <c r="H115" s="201">
        <f t="shared" si="34"/>
        <v>0</v>
      </c>
      <c r="I115" s="201">
        <f t="shared" si="34"/>
        <v>0</v>
      </c>
      <c r="J115" s="201">
        <f t="shared" si="34"/>
        <v>0</v>
      </c>
      <c r="K115" s="201">
        <f t="shared" si="34"/>
        <v>0</v>
      </c>
      <c r="L115" s="201">
        <f t="shared" si="34"/>
        <v>0</v>
      </c>
      <c r="M115" s="201">
        <f t="shared" si="34"/>
        <v>0</v>
      </c>
      <c r="N115" s="201">
        <f t="shared" si="34"/>
        <v>0</v>
      </c>
      <c r="O115" s="201">
        <f t="shared" si="34"/>
        <v>0</v>
      </c>
      <c r="P115" s="201">
        <f t="shared" si="34"/>
        <v>0</v>
      </c>
      <c r="Q115" s="201">
        <f t="shared" si="34"/>
        <v>0</v>
      </c>
      <c r="R115" s="201">
        <f t="shared" si="34"/>
        <v>0</v>
      </c>
      <c r="S115" s="201">
        <f t="shared" si="34"/>
        <v>0</v>
      </c>
      <c r="T115" s="201">
        <f t="shared" si="34"/>
        <v>0</v>
      </c>
      <c r="U115" s="201">
        <f t="shared" si="34"/>
        <v>0</v>
      </c>
      <c r="V115" s="201">
        <f t="shared" si="34"/>
        <v>0</v>
      </c>
      <c r="W115" s="201">
        <f t="shared" si="34"/>
        <v>0</v>
      </c>
      <c r="X115" s="201">
        <f t="shared" si="34"/>
        <v>0</v>
      </c>
      <c r="Y115" s="201">
        <f t="shared" si="34"/>
        <v>0</v>
      </c>
      <c r="Z115" s="201">
        <f t="shared" si="34"/>
        <v>0</v>
      </c>
      <c r="AA115" s="201">
        <f t="shared" si="34"/>
        <v>0</v>
      </c>
      <c r="AB115" s="201">
        <f t="shared" si="34"/>
        <v>0</v>
      </c>
      <c r="AC115" s="201">
        <f t="shared" si="34"/>
        <v>0</v>
      </c>
      <c r="AD115" s="201">
        <f t="shared" si="34"/>
        <v>0</v>
      </c>
      <c r="AE115" s="201">
        <f t="shared" si="34"/>
        <v>0</v>
      </c>
      <c r="AF115" s="201">
        <f t="shared" si="34"/>
        <v>0</v>
      </c>
      <c r="AG115" s="201">
        <f t="shared" si="34"/>
        <v>0</v>
      </c>
      <c r="AH115" s="201">
        <f t="shared" si="34"/>
        <v>0</v>
      </c>
      <c r="AI115" s="201">
        <f t="shared" si="34"/>
        <v>0</v>
      </c>
      <c r="AJ115" s="201">
        <f t="shared" si="34"/>
        <v>0</v>
      </c>
      <c r="AK115" s="201">
        <f t="shared" si="34"/>
        <v>0</v>
      </c>
      <c r="AL115" s="201">
        <f t="shared" si="34"/>
        <v>0</v>
      </c>
      <c r="AM115" s="201">
        <f t="shared" si="34"/>
        <v>0</v>
      </c>
      <c r="AN115" s="201">
        <f t="shared" si="34"/>
        <v>0</v>
      </c>
      <c r="AO115" s="201">
        <f t="shared" si="34"/>
        <v>0</v>
      </c>
      <c r="AP115" s="201">
        <f t="shared" si="34"/>
        <v>0</v>
      </c>
      <c r="AQ115" s="201">
        <f t="shared" si="34"/>
        <v>0</v>
      </c>
    </row>
    <row r="116" spans="1:43" s="213" customFormat="1" ht="18" hidden="1" customHeight="1" outlineLevel="1" x14ac:dyDescent="0.15">
      <c r="A116" s="216" t="s">
        <v>306</v>
      </c>
      <c r="B116" s="633" t="str">
        <f>B22</f>
        <v>商业</v>
      </c>
      <c r="C116" s="217">
        <f t="shared" si="32"/>
        <v>0</v>
      </c>
      <c r="D116" s="201">
        <f>ROUND(D22*D139,0)</f>
        <v>0</v>
      </c>
      <c r="E116" s="201">
        <f t="shared" ref="E116:AQ116" si="35">ROUND(E22*E139,0)</f>
        <v>0</v>
      </c>
      <c r="F116" s="201">
        <f t="shared" si="35"/>
        <v>0</v>
      </c>
      <c r="G116" s="201">
        <f t="shared" si="35"/>
        <v>0</v>
      </c>
      <c r="H116" s="201">
        <f t="shared" si="35"/>
        <v>0</v>
      </c>
      <c r="I116" s="201">
        <f t="shared" si="35"/>
        <v>0</v>
      </c>
      <c r="J116" s="201">
        <f t="shared" si="35"/>
        <v>0</v>
      </c>
      <c r="K116" s="201">
        <f t="shared" si="35"/>
        <v>0</v>
      </c>
      <c r="L116" s="201">
        <f t="shared" si="35"/>
        <v>0</v>
      </c>
      <c r="M116" s="201">
        <f t="shared" si="35"/>
        <v>0</v>
      </c>
      <c r="N116" s="201">
        <f t="shared" si="35"/>
        <v>0</v>
      </c>
      <c r="O116" s="201">
        <f t="shared" si="35"/>
        <v>0</v>
      </c>
      <c r="P116" s="201">
        <f t="shared" si="35"/>
        <v>0</v>
      </c>
      <c r="Q116" s="201">
        <f t="shared" si="35"/>
        <v>0</v>
      </c>
      <c r="R116" s="201">
        <f t="shared" si="35"/>
        <v>0</v>
      </c>
      <c r="S116" s="201">
        <f t="shared" si="35"/>
        <v>0</v>
      </c>
      <c r="T116" s="201">
        <f t="shared" si="35"/>
        <v>0</v>
      </c>
      <c r="U116" s="201">
        <f t="shared" si="35"/>
        <v>0</v>
      </c>
      <c r="V116" s="201">
        <f t="shared" si="35"/>
        <v>0</v>
      </c>
      <c r="W116" s="201">
        <f t="shared" si="35"/>
        <v>0</v>
      </c>
      <c r="X116" s="201">
        <f t="shared" si="35"/>
        <v>0</v>
      </c>
      <c r="Y116" s="201">
        <f t="shared" si="35"/>
        <v>0</v>
      </c>
      <c r="Z116" s="201">
        <f t="shared" si="35"/>
        <v>0</v>
      </c>
      <c r="AA116" s="201">
        <f t="shared" si="35"/>
        <v>0</v>
      </c>
      <c r="AB116" s="201">
        <f t="shared" si="35"/>
        <v>0</v>
      </c>
      <c r="AC116" s="201">
        <f t="shared" si="35"/>
        <v>0</v>
      </c>
      <c r="AD116" s="201">
        <f t="shared" si="35"/>
        <v>0</v>
      </c>
      <c r="AE116" s="201">
        <f t="shared" si="35"/>
        <v>0</v>
      </c>
      <c r="AF116" s="201">
        <f t="shared" si="35"/>
        <v>0</v>
      </c>
      <c r="AG116" s="201">
        <f t="shared" si="35"/>
        <v>0</v>
      </c>
      <c r="AH116" s="201">
        <f t="shared" si="35"/>
        <v>0</v>
      </c>
      <c r="AI116" s="201">
        <f t="shared" si="35"/>
        <v>0</v>
      </c>
      <c r="AJ116" s="201">
        <f t="shared" si="35"/>
        <v>0</v>
      </c>
      <c r="AK116" s="201">
        <f t="shared" si="35"/>
        <v>0</v>
      </c>
      <c r="AL116" s="201">
        <f t="shared" si="35"/>
        <v>0</v>
      </c>
      <c r="AM116" s="201">
        <f t="shared" si="35"/>
        <v>0</v>
      </c>
      <c r="AN116" s="201">
        <f t="shared" si="35"/>
        <v>0</v>
      </c>
      <c r="AO116" s="201">
        <f t="shared" si="35"/>
        <v>0</v>
      </c>
      <c r="AP116" s="201">
        <f t="shared" si="35"/>
        <v>0</v>
      </c>
      <c r="AQ116" s="201">
        <f t="shared" si="35"/>
        <v>0</v>
      </c>
    </row>
    <row r="117" spans="1:43" s="213" customFormat="1" ht="18" hidden="1" customHeight="1" outlineLevel="1" x14ac:dyDescent="0.15">
      <c r="A117" s="216" t="s">
        <v>307</v>
      </c>
      <c r="B117" s="633" t="str">
        <f>B29</f>
        <v>居服配套</v>
      </c>
      <c r="C117" s="217">
        <f t="shared" si="32"/>
        <v>0</v>
      </c>
      <c r="D117" s="201">
        <f>ROUND(D29*D140,0)</f>
        <v>0</v>
      </c>
      <c r="E117" s="201">
        <f t="shared" ref="E117:AQ117" si="36">ROUND(E29*E140,0)</f>
        <v>0</v>
      </c>
      <c r="F117" s="201">
        <f t="shared" si="36"/>
        <v>0</v>
      </c>
      <c r="G117" s="201">
        <f t="shared" si="36"/>
        <v>0</v>
      </c>
      <c r="H117" s="201">
        <f t="shared" si="36"/>
        <v>0</v>
      </c>
      <c r="I117" s="201">
        <f t="shared" si="36"/>
        <v>0</v>
      </c>
      <c r="J117" s="201">
        <f t="shared" si="36"/>
        <v>0</v>
      </c>
      <c r="K117" s="201">
        <f t="shared" si="36"/>
        <v>0</v>
      </c>
      <c r="L117" s="201">
        <f t="shared" si="36"/>
        <v>0</v>
      </c>
      <c r="M117" s="201">
        <f t="shared" si="36"/>
        <v>0</v>
      </c>
      <c r="N117" s="201">
        <f t="shared" si="36"/>
        <v>0</v>
      </c>
      <c r="O117" s="201">
        <f t="shared" si="36"/>
        <v>0</v>
      </c>
      <c r="P117" s="201">
        <f t="shared" si="36"/>
        <v>0</v>
      </c>
      <c r="Q117" s="201">
        <f t="shared" si="36"/>
        <v>0</v>
      </c>
      <c r="R117" s="201">
        <f t="shared" si="36"/>
        <v>0</v>
      </c>
      <c r="S117" s="201">
        <f t="shared" si="36"/>
        <v>0</v>
      </c>
      <c r="T117" s="201">
        <f t="shared" si="36"/>
        <v>0</v>
      </c>
      <c r="U117" s="201">
        <f t="shared" si="36"/>
        <v>0</v>
      </c>
      <c r="V117" s="201">
        <f t="shared" si="36"/>
        <v>0</v>
      </c>
      <c r="W117" s="201">
        <f t="shared" si="36"/>
        <v>0</v>
      </c>
      <c r="X117" s="201">
        <f t="shared" si="36"/>
        <v>0</v>
      </c>
      <c r="Y117" s="201">
        <f t="shared" si="36"/>
        <v>0</v>
      </c>
      <c r="Z117" s="201">
        <f t="shared" si="36"/>
        <v>0</v>
      </c>
      <c r="AA117" s="201">
        <f t="shared" si="36"/>
        <v>0</v>
      </c>
      <c r="AB117" s="201">
        <f t="shared" si="36"/>
        <v>0</v>
      </c>
      <c r="AC117" s="201">
        <f t="shared" si="36"/>
        <v>0</v>
      </c>
      <c r="AD117" s="201">
        <f t="shared" si="36"/>
        <v>0</v>
      </c>
      <c r="AE117" s="201">
        <f t="shared" si="36"/>
        <v>0</v>
      </c>
      <c r="AF117" s="201">
        <f t="shared" si="36"/>
        <v>0</v>
      </c>
      <c r="AG117" s="201">
        <f t="shared" si="36"/>
        <v>0</v>
      </c>
      <c r="AH117" s="201">
        <f t="shared" si="36"/>
        <v>0</v>
      </c>
      <c r="AI117" s="201">
        <f t="shared" si="36"/>
        <v>0</v>
      </c>
      <c r="AJ117" s="201">
        <f t="shared" si="36"/>
        <v>0</v>
      </c>
      <c r="AK117" s="201">
        <f t="shared" si="36"/>
        <v>0</v>
      </c>
      <c r="AL117" s="201">
        <f t="shared" si="36"/>
        <v>0</v>
      </c>
      <c r="AM117" s="201">
        <f t="shared" si="36"/>
        <v>0</v>
      </c>
      <c r="AN117" s="201">
        <f t="shared" si="36"/>
        <v>0</v>
      </c>
      <c r="AO117" s="201">
        <f t="shared" si="36"/>
        <v>0</v>
      </c>
      <c r="AP117" s="201">
        <f t="shared" si="36"/>
        <v>0</v>
      </c>
      <c r="AQ117" s="201">
        <f t="shared" si="36"/>
        <v>0</v>
      </c>
    </row>
    <row r="118" spans="1:43" s="213" customFormat="1" ht="18" hidden="1" customHeight="1" outlineLevel="1" x14ac:dyDescent="0.15">
      <c r="A118" s="216" t="s">
        <v>308</v>
      </c>
      <c r="B118" s="633">
        <f>B36</f>
        <v>0</v>
      </c>
      <c r="C118" s="217">
        <f t="shared" si="32"/>
        <v>0</v>
      </c>
      <c r="D118" s="201">
        <f>ROUND(D36*D141,0)</f>
        <v>0</v>
      </c>
      <c r="E118" s="201">
        <f t="shared" ref="E118:AQ118" si="37">ROUND(E36*E141,0)</f>
        <v>0</v>
      </c>
      <c r="F118" s="201">
        <f t="shared" si="37"/>
        <v>0</v>
      </c>
      <c r="G118" s="201">
        <f t="shared" si="37"/>
        <v>0</v>
      </c>
      <c r="H118" s="201">
        <f t="shared" si="37"/>
        <v>0</v>
      </c>
      <c r="I118" s="201">
        <f t="shared" si="37"/>
        <v>0</v>
      </c>
      <c r="J118" s="201">
        <f t="shared" si="37"/>
        <v>0</v>
      </c>
      <c r="K118" s="201">
        <f t="shared" si="37"/>
        <v>0</v>
      </c>
      <c r="L118" s="201">
        <f t="shared" si="37"/>
        <v>0</v>
      </c>
      <c r="M118" s="201">
        <f t="shared" si="37"/>
        <v>0</v>
      </c>
      <c r="N118" s="201">
        <f t="shared" si="37"/>
        <v>0</v>
      </c>
      <c r="O118" s="201">
        <f t="shared" si="37"/>
        <v>0</v>
      </c>
      <c r="P118" s="201">
        <f t="shared" si="37"/>
        <v>0</v>
      </c>
      <c r="Q118" s="201">
        <f t="shared" si="37"/>
        <v>0</v>
      </c>
      <c r="R118" s="201">
        <f t="shared" si="37"/>
        <v>0</v>
      </c>
      <c r="S118" s="201">
        <f t="shared" si="37"/>
        <v>0</v>
      </c>
      <c r="T118" s="201">
        <f t="shared" si="37"/>
        <v>0</v>
      </c>
      <c r="U118" s="201">
        <f t="shared" si="37"/>
        <v>0</v>
      </c>
      <c r="V118" s="201">
        <f t="shared" si="37"/>
        <v>0</v>
      </c>
      <c r="W118" s="201">
        <f t="shared" si="37"/>
        <v>0</v>
      </c>
      <c r="X118" s="201">
        <f t="shared" si="37"/>
        <v>0</v>
      </c>
      <c r="Y118" s="201">
        <f t="shared" si="37"/>
        <v>0</v>
      </c>
      <c r="Z118" s="201">
        <f t="shared" si="37"/>
        <v>0</v>
      </c>
      <c r="AA118" s="201">
        <f t="shared" si="37"/>
        <v>0</v>
      </c>
      <c r="AB118" s="201">
        <f t="shared" si="37"/>
        <v>0</v>
      </c>
      <c r="AC118" s="201">
        <f t="shared" si="37"/>
        <v>0</v>
      </c>
      <c r="AD118" s="201">
        <f t="shared" si="37"/>
        <v>0</v>
      </c>
      <c r="AE118" s="201">
        <f t="shared" si="37"/>
        <v>0</v>
      </c>
      <c r="AF118" s="201">
        <f t="shared" si="37"/>
        <v>0</v>
      </c>
      <c r="AG118" s="201">
        <f t="shared" si="37"/>
        <v>0</v>
      </c>
      <c r="AH118" s="201">
        <f t="shared" si="37"/>
        <v>0</v>
      </c>
      <c r="AI118" s="201">
        <f t="shared" si="37"/>
        <v>0</v>
      </c>
      <c r="AJ118" s="201">
        <f t="shared" si="37"/>
        <v>0</v>
      </c>
      <c r="AK118" s="201">
        <f t="shared" si="37"/>
        <v>0</v>
      </c>
      <c r="AL118" s="201">
        <f t="shared" si="37"/>
        <v>0</v>
      </c>
      <c r="AM118" s="201">
        <f t="shared" si="37"/>
        <v>0</v>
      </c>
      <c r="AN118" s="201">
        <f t="shared" si="37"/>
        <v>0</v>
      </c>
      <c r="AO118" s="201">
        <f t="shared" si="37"/>
        <v>0</v>
      </c>
      <c r="AP118" s="201">
        <f t="shared" si="37"/>
        <v>0</v>
      </c>
      <c r="AQ118" s="201">
        <f t="shared" si="37"/>
        <v>0</v>
      </c>
    </row>
    <row r="119" spans="1:43" s="213" customFormat="1" ht="18" hidden="1" customHeight="1" outlineLevel="1" x14ac:dyDescent="0.15">
      <c r="A119" s="216" t="s">
        <v>309</v>
      </c>
      <c r="B119" s="633">
        <f>B43</f>
        <v>0</v>
      </c>
      <c r="C119" s="217">
        <f t="shared" si="32"/>
        <v>0</v>
      </c>
      <c r="D119" s="201">
        <f>ROUND(D43*D142,0)</f>
        <v>0</v>
      </c>
      <c r="E119" s="201">
        <f t="shared" ref="E119:AQ119" si="38">ROUND(E43*E142,0)</f>
        <v>0</v>
      </c>
      <c r="F119" s="201">
        <f t="shared" si="38"/>
        <v>0</v>
      </c>
      <c r="G119" s="201">
        <f t="shared" si="38"/>
        <v>0</v>
      </c>
      <c r="H119" s="201">
        <f t="shared" si="38"/>
        <v>0</v>
      </c>
      <c r="I119" s="201">
        <f t="shared" si="38"/>
        <v>0</v>
      </c>
      <c r="J119" s="201">
        <f t="shared" si="38"/>
        <v>0</v>
      </c>
      <c r="K119" s="201">
        <f t="shared" si="38"/>
        <v>0</v>
      </c>
      <c r="L119" s="201">
        <f t="shared" si="38"/>
        <v>0</v>
      </c>
      <c r="M119" s="201">
        <f t="shared" si="38"/>
        <v>0</v>
      </c>
      <c r="N119" s="201">
        <f t="shared" si="38"/>
        <v>0</v>
      </c>
      <c r="O119" s="201">
        <f t="shared" si="38"/>
        <v>0</v>
      </c>
      <c r="P119" s="201">
        <f t="shared" si="38"/>
        <v>0</v>
      </c>
      <c r="Q119" s="201">
        <f t="shared" si="38"/>
        <v>0</v>
      </c>
      <c r="R119" s="201">
        <f t="shared" si="38"/>
        <v>0</v>
      </c>
      <c r="S119" s="201">
        <f t="shared" si="38"/>
        <v>0</v>
      </c>
      <c r="T119" s="201">
        <f t="shared" si="38"/>
        <v>0</v>
      </c>
      <c r="U119" s="201">
        <f t="shared" si="38"/>
        <v>0</v>
      </c>
      <c r="V119" s="201">
        <f t="shared" si="38"/>
        <v>0</v>
      </c>
      <c r="W119" s="201">
        <f t="shared" si="38"/>
        <v>0</v>
      </c>
      <c r="X119" s="201">
        <f t="shared" si="38"/>
        <v>0</v>
      </c>
      <c r="Y119" s="201">
        <f t="shared" si="38"/>
        <v>0</v>
      </c>
      <c r="Z119" s="201">
        <f t="shared" si="38"/>
        <v>0</v>
      </c>
      <c r="AA119" s="201">
        <f t="shared" si="38"/>
        <v>0</v>
      </c>
      <c r="AB119" s="201">
        <f t="shared" si="38"/>
        <v>0</v>
      </c>
      <c r="AC119" s="201">
        <f t="shared" si="38"/>
        <v>0</v>
      </c>
      <c r="AD119" s="201">
        <f t="shared" si="38"/>
        <v>0</v>
      </c>
      <c r="AE119" s="201">
        <f t="shared" si="38"/>
        <v>0</v>
      </c>
      <c r="AF119" s="201">
        <f t="shared" si="38"/>
        <v>0</v>
      </c>
      <c r="AG119" s="201">
        <f t="shared" si="38"/>
        <v>0</v>
      </c>
      <c r="AH119" s="201">
        <f t="shared" si="38"/>
        <v>0</v>
      </c>
      <c r="AI119" s="201">
        <f t="shared" si="38"/>
        <v>0</v>
      </c>
      <c r="AJ119" s="201">
        <f t="shared" si="38"/>
        <v>0</v>
      </c>
      <c r="AK119" s="201">
        <f t="shared" si="38"/>
        <v>0</v>
      </c>
      <c r="AL119" s="201">
        <f t="shared" si="38"/>
        <v>0</v>
      </c>
      <c r="AM119" s="201">
        <f t="shared" si="38"/>
        <v>0</v>
      </c>
      <c r="AN119" s="201">
        <f t="shared" si="38"/>
        <v>0</v>
      </c>
      <c r="AO119" s="201">
        <f t="shared" si="38"/>
        <v>0</v>
      </c>
      <c r="AP119" s="201">
        <f t="shared" si="38"/>
        <v>0</v>
      </c>
      <c r="AQ119" s="201">
        <f t="shared" si="38"/>
        <v>0</v>
      </c>
    </row>
    <row r="120" spans="1:43" s="213" customFormat="1" ht="18" hidden="1" customHeight="1" outlineLevel="1" x14ac:dyDescent="0.15">
      <c r="A120" s="216" t="s">
        <v>310</v>
      </c>
      <c r="B120" s="633">
        <f>B50</f>
        <v>0</v>
      </c>
      <c r="C120" s="217">
        <f t="shared" si="32"/>
        <v>0</v>
      </c>
      <c r="D120" s="201">
        <f>ROUND(D50*D143,0)</f>
        <v>0</v>
      </c>
      <c r="E120" s="201">
        <f t="shared" ref="E120:AQ120" si="39">ROUND(E50*E143,0)</f>
        <v>0</v>
      </c>
      <c r="F120" s="201">
        <f t="shared" si="39"/>
        <v>0</v>
      </c>
      <c r="G120" s="201">
        <f t="shared" si="39"/>
        <v>0</v>
      </c>
      <c r="H120" s="201">
        <f t="shared" si="39"/>
        <v>0</v>
      </c>
      <c r="I120" s="201">
        <f t="shared" si="39"/>
        <v>0</v>
      </c>
      <c r="J120" s="201">
        <f t="shared" si="39"/>
        <v>0</v>
      </c>
      <c r="K120" s="201">
        <f t="shared" si="39"/>
        <v>0</v>
      </c>
      <c r="L120" s="201">
        <f t="shared" si="39"/>
        <v>0</v>
      </c>
      <c r="M120" s="201">
        <f t="shared" si="39"/>
        <v>0</v>
      </c>
      <c r="N120" s="201">
        <f t="shared" si="39"/>
        <v>0</v>
      </c>
      <c r="O120" s="201">
        <f t="shared" si="39"/>
        <v>0</v>
      </c>
      <c r="P120" s="201">
        <f t="shared" si="39"/>
        <v>0</v>
      </c>
      <c r="Q120" s="201">
        <f t="shared" si="39"/>
        <v>0</v>
      </c>
      <c r="R120" s="201">
        <f t="shared" si="39"/>
        <v>0</v>
      </c>
      <c r="S120" s="201">
        <f t="shared" si="39"/>
        <v>0</v>
      </c>
      <c r="T120" s="201">
        <f t="shared" si="39"/>
        <v>0</v>
      </c>
      <c r="U120" s="201">
        <f t="shared" si="39"/>
        <v>0</v>
      </c>
      <c r="V120" s="201">
        <f t="shared" si="39"/>
        <v>0</v>
      </c>
      <c r="W120" s="201">
        <f t="shared" si="39"/>
        <v>0</v>
      </c>
      <c r="X120" s="201">
        <f t="shared" si="39"/>
        <v>0</v>
      </c>
      <c r="Y120" s="201">
        <f t="shared" si="39"/>
        <v>0</v>
      </c>
      <c r="Z120" s="201">
        <f t="shared" si="39"/>
        <v>0</v>
      </c>
      <c r="AA120" s="201">
        <f t="shared" si="39"/>
        <v>0</v>
      </c>
      <c r="AB120" s="201">
        <f t="shared" si="39"/>
        <v>0</v>
      </c>
      <c r="AC120" s="201">
        <f t="shared" si="39"/>
        <v>0</v>
      </c>
      <c r="AD120" s="201">
        <f t="shared" si="39"/>
        <v>0</v>
      </c>
      <c r="AE120" s="201">
        <f t="shared" si="39"/>
        <v>0</v>
      </c>
      <c r="AF120" s="201">
        <f t="shared" si="39"/>
        <v>0</v>
      </c>
      <c r="AG120" s="201">
        <f t="shared" si="39"/>
        <v>0</v>
      </c>
      <c r="AH120" s="201">
        <f t="shared" si="39"/>
        <v>0</v>
      </c>
      <c r="AI120" s="201">
        <f t="shared" si="39"/>
        <v>0</v>
      </c>
      <c r="AJ120" s="201">
        <f t="shared" si="39"/>
        <v>0</v>
      </c>
      <c r="AK120" s="201">
        <f t="shared" si="39"/>
        <v>0</v>
      </c>
      <c r="AL120" s="201">
        <f t="shared" si="39"/>
        <v>0</v>
      </c>
      <c r="AM120" s="201">
        <f t="shared" si="39"/>
        <v>0</v>
      </c>
      <c r="AN120" s="201">
        <f t="shared" si="39"/>
        <v>0</v>
      </c>
      <c r="AO120" s="201">
        <f t="shared" si="39"/>
        <v>0</v>
      </c>
      <c r="AP120" s="201">
        <f t="shared" si="39"/>
        <v>0</v>
      </c>
      <c r="AQ120" s="201">
        <f t="shared" si="39"/>
        <v>0</v>
      </c>
    </row>
    <row r="121" spans="1:43" s="213" customFormat="1" ht="18" hidden="1" customHeight="1" outlineLevel="1" x14ac:dyDescent="0.15">
      <c r="A121" s="216" t="s">
        <v>311</v>
      </c>
      <c r="B121" s="633">
        <f>B57</f>
        <v>0</v>
      </c>
      <c r="C121" s="217">
        <f t="shared" si="32"/>
        <v>0</v>
      </c>
      <c r="D121" s="201">
        <f>ROUND(D57*D144,0)</f>
        <v>0</v>
      </c>
      <c r="E121" s="201">
        <f t="shared" ref="E121:AQ121" si="40">ROUND(E57*E144,0)</f>
        <v>0</v>
      </c>
      <c r="F121" s="201">
        <f t="shared" si="40"/>
        <v>0</v>
      </c>
      <c r="G121" s="201">
        <f t="shared" si="40"/>
        <v>0</v>
      </c>
      <c r="H121" s="201">
        <f t="shared" si="40"/>
        <v>0</v>
      </c>
      <c r="I121" s="201">
        <f t="shared" si="40"/>
        <v>0</v>
      </c>
      <c r="J121" s="201">
        <f t="shared" si="40"/>
        <v>0</v>
      </c>
      <c r="K121" s="201">
        <f t="shared" si="40"/>
        <v>0</v>
      </c>
      <c r="L121" s="201">
        <f t="shared" si="40"/>
        <v>0</v>
      </c>
      <c r="M121" s="201">
        <f t="shared" si="40"/>
        <v>0</v>
      </c>
      <c r="N121" s="201">
        <f t="shared" si="40"/>
        <v>0</v>
      </c>
      <c r="O121" s="201">
        <f t="shared" si="40"/>
        <v>0</v>
      </c>
      <c r="P121" s="201">
        <f t="shared" si="40"/>
        <v>0</v>
      </c>
      <c r="Q121" s="201">
        <f t="shared" si="40"/>
        <v>0</v>
      </c>
      <c r="R121" s="201">
        <f t="shared" si="40"/>
        <v>0</v>
      </c>
      <c r="S121" s="201">
        <f t="shared" si="40"/>
        <v>0</v>
      </c>
      <c r="T121" s="201">
        <f t="shared" si="40"/>
        <v>0</v>
      </c>
      <c r="U121" s="201">
        <f t="shared" si="40"/>
        <v>0</v>
      </c>
      <c r="V121" s="201">
        <f t="shared" si="40"/>
        <v>0</v>
      </c>
      <c r="W121" s="201">
        <f t="shared" si="40"/>
        <v>0</v>
      </c>
      <c r="X121" s="201">
        <f t="shared" si="40"/>
        <v>0</v>
      </c>
      <c r="Y121" s="201">
        <f t="shared" si="40"/>
        <v>0</v>
      </c>
      <c r="Z121" s="201">
        <f t="shared" si="40"/>
        <v>0</v>
      </c>
      <c r="AA121" s="201">
        <f t="shared" si="40"/>
        <v>0</v>
      </c>
      <c r="AB121" s="201">
        <f t="shared" si="40"/>
        <v>0</v>
      </c>
      <c r="AC121" s="201">
        <f t="shared" si="40"/>
        <v>0</v>
      </c>
      <c r="AD121" s="201">
        <f t="shared" si="40"/>
        <v>0</v>
      </c>
      <c r="AE121" s="201">
        <f t="shared" si="40"/>
        <v>0</v>
      </c>
      <c r="AF121" s="201">
        <f t="shared" si="40"/>
        <v>0</v>
      </c>
      <c r="AG121" s="201">
        <f t="shared" si="40"/>
        <v>0</v>
      </c>
      <c r="AH121" s="201">
        <f t="shared" si="40"/>
        <v>0</v>
      </c>
      <c r="AI121" s="201">
        <f t="shared" si="40"/>
        <v>0</v>
      </c>
      <c r="AJ121" s="201">
        <f t="shared" si="40"/>
        <v>0</v>
      </c>
      <c r="AK121" s="201">
        <f t="shared" si="40"/>
        <v>0</v>
      </c>
      <c r="AL121" s="201">
        <f t="shared" si="40"/>
        <v>0</v>
      </c>
      <c r="AM121" s="201">
        <f t="shared" si="40"/>
        <v>0</v>
      </c>
      <c r="AN121" s="201">
        <f t="shared" si="40"/>
        <v>0</v>
      </c>
      <c r="AO121" s="201">
        <f t="shared" si="40"/>
        <v>0</v>
      </c>
      <c r="AP121" s="201">
        <f t="shared" si="40"/>
        <v>0</v>
      </c>
      <c r="AQ121" s="201">
        <f t="shared" si="40"/>
        <v>0</v>
      </c>
    </row>
    <row r="122" spans="1:43" s="213" customFormat="1" ht="18" hidden="1" customHeight="1" outlineLevel="1" x14ac:dyDescent="0.15">
      <c r="A122" s="216" t="s">
        <v>312</v>
      </c>
      <c r="B122" s="633">
        <f>B64</f>
        <v>0</v>
      </c>
      <c r="C122" s="217">
        <f t="shared" si="32"/>
        <v>0</v>
      </c>
      <c r="D122" s="201">
        <f>ROUND(D64*D145,0)</f>
        <v>0</v>
      </c>
      <c r="E122" s="201">
        <f t="shared" ref="E122:AQ122" si="41">ROUND(E64*E145,0)</f>
        <v>0</v>
      </c>
      <c r="F122" s="201">
        <f t="shared" si="41"/>
        <v>0</v>
      </c>
      <c r="G122" s="201">
        <f t="shared" si="41"/>
        <v>0</v>
      </c>
      <c r="H122" s="201">
        <f t="shared" si="41"/>
        <v>0</v>
      </c>
      <c r="I122" s="201">
        <f t="shared" si="41"/>
        <v>0</v>
      </c>
      <c r="J122" s="201">
        <f t="shared" si="41"/>
        <v>0</v>
      </c>
      <c r="K122" s="201">
        <f t="shared" si="41"/>
        <v>0</v>
      </c>
      <c r="L122" s="201">
        <f t="shared" si="41"/>
        <v>0</v>
      </c>
      <c r="M122" s="201">
        <f t="shared" si="41"/>
        <v>0</v>
      </c>
      <c r="N122" s="201">
        <f t="shared" si="41"/>
        <v>0</v>
      </c>
      <c r="O122" s="201">
        <f t="shared" si="41"/>
        <v>0</v>
      </c>
      <c r="P122" s="201">
        <f t="shared" si="41"/>
        <v>0</v>
      </c>
      <c r="Q122" s="201">
        <f t="shared" si="41"/>
        <v>0</v>
      </c>
      <c r="R122" s="201">
        <f t="shared" si="41"/>
        <v>0</v>
      </c>
      <c r="S122" s="201">
        <f t="shared" si="41"/>
        <v>0</v>
      </c>
      <c r="T122" s="201">
        <f t="shared" si="41"/>
        <v>0</v>
      </c>
      <c r="U122" s="201">
        <f t="shared" si="41"/>
        <v>0</v>
      </c>
      <c r="V122" s="201">
        <f t="shared" si="41"/>
        <v>0</v>
      </c>
      <c r="W122" s="201">
        <f t="shared" si="41"/>
        <v>0</v>
      </c>
      <c r="X122" s="201">
        <f t="shared" si="41"/>
        <v>0</v>
      </c>
      <c r="Y122" s="201">
        <f t="shared" si="41"/>
        <v>0</v>
      </c>
      <c r="Z122" s="201">
        <f t="shared" si="41"/>
        <v>0</v>
      </c>
      <c r="AA122" s="201">
        <f t="shared" si="41"/>
        <v>0</v>
      </c>
      <c r="AB122" s="201">
        <f t="shared" si="41"/>
        <v>0</v>
      </c>
      <c r="AC122" s="201">
        <f t="shared" si="41"/>
        <v>0</v>
      </c>
      <c r="AD122" s="201">
        <f t="shared" si="41"/>
        <v>0</v>
      </c>
      <c r="AE122" s="201">
        <f t="shared" si="41"/>
        <v>0</v>
      </c>
      <c r="AF122" s="201">
        <f t="shared" si="41"/>
        <v>0</v>
      </c>
      <c r="AG122" s="201">
        <f t="shared" si="41"/>
        <v>0</v>
      </c>
      <c r="AH122" s="201">
        <f t="shared" si="41"/>
        <v>0</v>
      </c>
      <c r="AI122" s="201">
        <f t="shared" si="41"/>
        <v>0</v>
      </c>
      <c r="AJ122" s="201">
        <f t="shared" si="41"/>
        <v>0</v>
      </c>
      <c r="AK122" s="201">
        <f t="shared" si="41"/>
        <v>0</v>
      </c>
      <c r="AL122" s="201">
        <f t="shared" si="41"/>
        <v>0</v>
      </c>
      <c r="AM122" s="201">
        <f t="shared" si="41"/>
        <v>0</v>
      </c>
      <c r="AN122" s="201">
        <f t="shared" si="41"/>
        <v>0</v>
      </c>
      <c r="AO122" s="201">
        <f t="shared" si="41"/>
        <v>0</v>
      </c>
      <c r="AP122" s="201">
        <f t="shared" si="41"/>
        <v>0</v>
      </c>
      <c r="AQ122" s="201">
        <f t="shared" si="41"/>
        <v>0</v>
      </c>
    </row>
    <row r="123" spans="1:43" s="213" customFormat="1" ht="18" hidden="1" customHeight="1" outlineLevel="1" x14ac:dyDescent="0.15">
      <c r="A123" s="216" t="s">
        <v>292</v>
      </c>
      <c r="B123" s="633">
        <f>B71</f>
        <v>0</v>
      </c>
      <c r="C123" s="217">
        <f t="shared" si="32"/>
        <v>0</v>
      </c>
      <c r="D123" s="201">
        <f>ROUND(D71*D146,0)</f>
        <v>0</v>
      </c>
      <c r="E123" s="201">
        <f t="shared" ref="E123:AQ123" si="42">ROUND(E71*E146,0)</f>
        <v>0</v>
      </c>
      <c r="F123" s="201">
        <f t="shared" si="42"/>
        <v>0</v>
      </c>
      <c r="G123" s="201">
        <f t="shared" si="42"/>
        <v>0</v>
      </c>
      <c r="H123" s="201">
        <f t="shared" si="42"/>
        <v>0</v>
      </c>
      <c r="I123" s="201">
        <f t="shared" si="42"/>
        <v>0</v>
      </c>
      <c r="J123" s="201">
        <f t="shared" si="42"/>
        <v>0</v>
      </c>
      <c r="K123" s="201">
        <f t="shared" si="42"/>
        <v>0</v>
      </c>
      <c r="L123" s="201">
        <f t="shared" si="42"/>
        <v>0</v>
      </c>
      <c r="M123" s="201">
        <f t="shared" si="42"/>
        <v>0</v>
      </c>
      <c r="N123" s="201">
        <f t="shared" si="42"/>
        <v>0</v>
      </c>
      <c r="O123" s="201">
        <f t="shared" si="42"/>
        <v>0</v>
      </c>
      <c r="P123" s="201">
        <f t="shared" si="42"/>
        <v>0</v>
      </c>
      <c r="Q123" s="201">
        <f t="shared" si="42"/>
        <v>0</v>
      </c>
      <c r="R123" s="201">
        <f t="shared" si="42"/>
        <v>0</v>
      </c>
      <c r="S123" s="201">
        <f t="shared" si="42"/>
        <v>0</v>
      </c>
      <c r="T123" s="201">
        <f t="shared" si="42"/>
        <v>0</v>
      </c>
      <c r="U123" s="201">
        <f t="shared" si="42"/>
        <v>0</v>
      </c>
      <c r="V123" s="201">
        <f t="shared" si="42"/>
        <v>0</v>
      </c>
      <c r="W123" s="201">
        <f t="shared" si="42"/>
        <v>0</v>
      </c>
      <c r="X123" s="201">
        <f t="shared" si="42"/>
        <v>0</v>
      </c>
      <c r="Y123" s="201">
        <f t="shared" si="42"/>
        <v>0</v>
      </c>
      <c r="Z123" s="201">
        <f t="shared" si="42"/>
        <v>0</v>
      </c>
      <c r="AA123" s="201">
        <f t="shared" si="42"/>
        <v>0</v>
      </c>
      <c r="AB123" s="201">
        <f t="shared" si="42"/>
        <v>0</v>
      </c>
      <c r="AC123" s="201">
        <f t="shared" si="42"/>
        <v>0</v>
      </c>
      <c r="AD123" s="201">
        <f t="shared" si="42"/>
        <v>0</v>
      </c>
      <c r="AE123" s="201">
        <f t="shared" si="42"/>
        <v>0</v>
      </c>
      <c r="AF123" s="201">
        <f t="shared" si="42"/>
        <v>0</v>
      </c>
      <c r="AG123" s="201">
        <f t="shared" si="42"/>
        <v>0</v>
      </c>
      <c r="AH123" s="201">
        <f t="shared" si="42"/>
        <v>0</v>
      </c>
      <c r="AI123" s="201">
        <f t="shared" si="42"/>
        <v>0</v>
      </c>
      <c r="AJ123" s="201">
        <f t="shared" si="42"/>
        <v>0</v>
      </c>
      <c r="AK123" s="201">
        <f t="shared" si="42"/>
        <v>0</v>
      </c>
      <c r="AL123" s="201">
        <f t="shared" si="42"/>
        <v>0</v>
      </c>
      <c r="AM123" s="201">
        <f t="shared" si="42"/>
        <v>0</v>
      </c>
      <c r="AN123" s="201">
        <f t="shared" si="42"/>
        <v>0</v>
      </c>
      <c r="AO123" s="201">
        <f t="shared" si="42"/>
        <v>0</v>
      </c>
      <c r="AP123" s="201">
        <f t="shared" si="42"/>
        <v>0</v>
      </c>
      <c r="AQ123" s="201">
        <f t="shared" si="42"/>
        <v>0</v>
      </c>
    </row>
    <row r="124" spans="1:43" s="213" customFormat="1" ht="18" hidden="1" customHeight="1" outlineLevel="1" x14ac:dyDescent="0.15">
      <c r="A124" s="216" t="s">
        <v>293</v>
      </c>
      <c r="B124" s="633">
        <f>B78</f>
        <v>0</v>
      </c>
      <c r="C124" s="217">
        <f t="shared" si="32"/>
        <v>0</v>
      </c>
      <c r="D124" s="201">
        <f>ROUND(D78*D147,0)</f>
        <v>0</v>
      </c>
      <c r="E124" s="201">
        <f t="shared" ref="E124:AQ124" si="43">ROUND(E78*E147,0)</f>
        <v>0</v>
      </c>
      <c r="F124" s="201">
        <f t="shared" si="43"/>
        <v>0</v>
      </c>
      <c r="G124" s="201">
        <f t="shared" si="43"/>
        <v>0</v>
      </c>
      <c r="H124" s="201">
        <f t="shared" si="43"/>
        <v>0</v>
      </c>
      <c r="I124" s="201">
        <f t="shared" si="43"/>
        <v>0</v>
      </c>
      <c r="J124" s="201">
        <f t="shared" si="43"/>
        <v>0</v>
      </c>
      <c r="K124" s="201">
        <f t="shared" si="43"/>
        <v>0</v>
      </c>
      <c r="L124" s="201">
        <f t="shared" si="43"/>
        <v>0</v>
      </c>
      <c r="M124" s="201">
        <f t="shared" si="43"/>
        <v>0</v>
      </c>
      <c r="N124" s="201">
        <f t="shared" si="43"/>
        <v>0</v>
      </c>
      <c r="O124" s="201">
        <f t="shared" si="43"/>
        <v>0</v>
      </c>
      <c r="P124" s="201">
        <f t="shared" si="43"/>
        <v>0</v>
      </c>
      <c r="Q124" s="201">
        <f t="shared" si="43"/>
        <v>0</v>
      </c>
      <c r="R124" s="201">
        <f t="shared" si="43"/>
        <v>0</v>
      </c>
      <c r="S124" s="201">
        <f t="shared" si="43"/>
        <v>0</v>
      </c>
      <c r="T124" s="201">
        <f t="shared" si="43"/>
        <v>0</v>
      </c>
      <c r="U124" s="201">
        <f t="shared" si="43"/>
        <v>0</v>
      </c>
      <c r="V124" s="201">
        <f t="shared" si="43"/>
        <v>0</v>
      </c>
      <c r="W124" s="201">
        <f t="shared" si="43"/>
        <v>0</v>
      </c>
      <c r="X124" s="201">
        <f t="shared" si="43"/>
        <v>0</v>
      </c>
      <c r="Y124" s="201">
        <f t="shared" si="43"/>
        <v>0</v>
      </c>
      <c r="Z124" s="201">
        <f t="shared" si="43"/>
        <v>0</v>
      </c>
      <c r="AA124" s="201">
        <f t="shared" si="43"/>
        <v>0</v>
      </c>
      <c r="AB124" s="201">
        <f t="shared" si="43"/>
        <v>0</v>
      </c>
      <c r="AC124" s="201">
        <f t="shared" si="43"/>
        <v>0</v>
      </c>
      <c r="AD124" s="201">
        <f t="shared" si="43"/>
        <v>0</v>
      </c>
      <c r="AE124" s="201">
        <f t="shared" si="43"/>
        <v>0</v>
      </c>
      <c r="AF124" s="201">
        <f t="shared" si="43"/>
        <v>0</v>
      </c>
      <c r="AG124" s="201">
        <f t="shared" si="43"/>
        <v>0</v>
      </c>
      <c r="AH124" s="201">
        <f t="shared" si="43"/>
        <v>0</v>
      </c>
      <c r="AI124" s="201">
        <f t="shared" si="43"/>
        <v>0</v>
      </c>
      <c r="AJ124" s="201">
        <f t="shared" si="43"/>
        <v>0</v>
      </c>
      <c r="AK124" s="201">
        <f t="shared" si="43"/>
        <v>0</v>
      </c>
      <c r="AL124" s="201">
        <f t="shared" si="43"/>
        <v>0</v>
      </c>
      <c r="AM124" s="201">
        <f t="shared" si="43"/>
        <v>0</v>
      </c>
      <c r="AN124" s="201">
        <f t="shared" si="43"/>
        <v>0</v>
      </c>
      <c r="AO124" s="201">
        <f t="shared" si="43"/>
        <v>0</v>
      </c>
      <c r="AP124" s="201">
        <f t="shared" si="43"/>
        <v>0</v>
      </c>
      <c r="AQ124" s="201">
        <f t="shared" si="43"/>
        <v>0</v>
      </c>
    </row>
    <row r="125" spans="1:43" s="213" customFormat="1" ht="18" hidden="1" customHeight="1" outlineLevel="1" x14ac:dyDescent="0.15">
      <c r="A125" s="216" t="s">
        <v>582</v>
      </c>
      <c r="B125" s="633">
        <f>B85</f>
        <v>0</v>
      </c>
      <c r="C125" s="217">
        <f>SUM(D125:AQ125)</f>
        <v>0</v>
      </c>
      <c r="D125" s="201">
        <f>ROUND(D85*D148,0)</f>
        <v>0</v>
      </c>
      <c r="E125" s="201">
        <f t="shared" ref="E125:AQ125" si="44">ROUND(E85*E148,0)</f>
        <v>0</v>
      </c>
      <c r="F125" s="201">
        <f t="shared" si="44"/>
        <v>0</v>
      </c>
      <c r="G125" s="201">
        <f t="shared" si="44"/>
        <v>0</v>
      </c>
      <c r="H125" s="201">
        <f t="shared" si="44"/>
        <v>0</v>
      </c>
      <c r="I125" s="201">
        <f t="shared" si="44"/>
        <v>0</v>
      </c>
      <c r="J125" s="201">
        <f t="shared" si="44"/>
        <v>0</v>
      </c>
      <c r="K125" s="201">
        <f t="shared" si="44"/>
        <v>0</v>
      </c>
      <c r="L125" s="201">
        <f t="shared" si="44"/>
        <v>0</v>
      </c>
      <c r="M125" s="201">
        <f t="shared" si="44"/>
        <v>0</v>
      </c>
      <c r="N125" s="201">
        <f t="shared" si="44"/>
        <v>0</v>
      </c>
      <c r="O125" s="201">
        <f t="shared" si="44"/>
        <v>0</v>
      </c>
      <c r="P125" s="201">
        <f t="shared" si="44"/>
        <v>0</v>
      </c>
      <c r="Q125" s="201">
        <f t="shared" si="44"/>
        <v>0</v>
      </c>
      <c r="R125" s="201">
        <f t="shared" si="44"/>
        <v>0</v>
      </c>
      <c r="S125" s="201">
        <f t="shared" si="44"/>
        <v>0</v>
      </c>
      <c r="T125" s="201">
        <f t="shared" si="44"/>
        <v>0</v>
      </c>
      <c r="U125" s="201">
        <f t="shared" si="44"/>
        <v>0</v>
      </c>
      <c r="V125" s="201">
        <f t="shared" si="44"/>
        <v>0</v>
      </c>
      <c r="W125" s="201">
        <f t="shared" si="44"/>
        <v>0</v>
      </c>
      <c r="X125" s="201">
        <f t="shared" si="44"/>
        <v>0</v>
      </c>
      <c r="Y125" s="201">
        <f t="shared" si="44"/>
        <v>0</v>
      </c>
      <c r="Z125" s="201">
        <f t="shared" si="44"/>
        <v>0</v>
      </c>
      <c r="AA125" s="201">
        <f t="shared" si="44"/>
        <v>0</v>
      </c>
      <c r="AB125" s="201">
        <f t="shared" si="44"/>
        <v>0</v>
      </c>
      <c r="AC125" s="201">
        <f t="shared" si="44"/>
        <v>0</v>
      </c>
      <c r="AD125" s="201">
        <f t="shared" si="44"/>
        <v>0</v>
      </c>
      <c r="AE125" s="201">
        <f t="shared" si="44"/>
        <v>0</v>
      </c>
      <c r="AF125" s="201">
        <f t="shared" si="44"/>
        <v>0</v>
      </c>
      <c r="AG125" s="201">
        <f t="shared" si="44"/>
        <v>0</v>
      </c>
      <c r="AH125" s="201">
        <f t="shared" si="44"/>
        <v>0</v>
      </c>
      <c r="AI125" s="201">
        <f t="shared" si="44"/>
        <v>0</v>
      </c>
      <c r="AJ125" s="201">
        <f t="shared" si="44"/>
        <v>0</v>
      </c>
      <c r="AK125" s="201">
        <f t="shared" si="44"/>
        <v>0</v>
      </c>
      <c r="AL125" s="201">
        <f t="shared" si="44"/>
        <v>0</v>
      </c>
      <c r="AM125" s="201">
        <f t="shared" si="44"/>
        <v>0</v>
      </c>
      <c r="AN125" s="201">
        <f t="shared" si="44"/>
        <v>0</v>
      </c>
      <c r="AO125" s="201">
        <f t="shared" si="44"/>
        <v>0</v>
      </c>
      <c r="AP125" s="201">
        <f t="shared" si="44"/>
        <v>0</v>
      </c>
      <c r="AQ125" s="201">
        <f t="shared" si="44"/>
        <v>0</v>
      </c>
    </row>
    <row r="126" spans="1:43" s="213" customFormat="1" ht="18" hidden="1" customHeight="1" outlineLevel="1" x14ac:dyDescent="0.15">
      <c r="A126" s="216" t="s">
        <v>583</v>
      </c>
      <c r="B126" s="633">
        <f>B92</f>
        <v>0</v>
      </c>
      <c r="C126" s="217">
        <f>SUM(D126:AQ126)</f>
        <v>0</v>
      </c>
      <c r="D126" s="201">
        <f>ROUND(D92*D149,0)</f>
        <v>0</v>
      </c>
      <c r="E126" s="201">
        <f t="shared" ref="E126:AQ126" si="45">ROUND(E92*E149,0)</f>
        <v>0</v>
      </c>
      <c r="F126" s="201">
        <f t="shared" si="45"/>
        <v>0</v>
      </c>
      <c r="G126" s="201">
        <f t="shared" si="45"/>
        <v>0</v>
      </c>
      <c r="H126" s="201">
        <f t="shared" si="45"/>
        <v>0</v>
      </c>
      <c r="I126" s="201">
        <f t="shared" si="45"/>
        <v>0</v>
      </c>
      <c r="J126" s="201">
        <f t="shared" si="45"/>
        <v>0</v>
      </c>
      <c r="K126" s="201">
        <f t="shared" si="45"/>
        <v>0</v>
      </c>
      <c r="L126" s="201">
        <f t="shared" si="45"/>
        <v>0</v>
      </c>
      <c r="M126" s="201">
        <f t="shared" si="45"/>
        <v>0</v>
      </c>
      <c r="N126" s="201">
        <f t="shared" si="45"/>
        <v>0</v>
      </c>
      <c r="O126" s="201">
        <f t="shared" si="45"/>
        <v>0</v>
      </c>
      <c r="P126" s="201">
        <f t="shared" si="45"/>
        <v>0</v>
      </c>
      <c r="Q126" s="201">
        <f t="shared" si="45"/>
        <v>0</v>
      </c>
      <c r="R126" s="201">
        <f t="shared" si="45"/>
        <v>0</v>
      </c>
      <c r="S126" s="201">
        <f t="shared" si="45"/>
        <v>0</v>
      </c>
      <c r="T126" s="201">
        <f t="shared" si="45"/>
        <v>0</v>
      </c>
      <c r="U126" s="201">
        <f t="shared" si="45"/>
        <v>0</v>
      </c>
      <c r="V126" s="201">
        <f t="shared" si="45"/>
        <v>0</v>
      </c>
      <c r="W126" s="201">
        <f t="shared" si="45"/>
        <v>0</v>
      </c>
      <c r="X126" s="201">
        <f t="shared" si="45"/>
        <v>0</v>
      </c>
      <c r="Y126" s="201">
        <f t="shared" si="45"/>
        <v>0</v>
      </c>
      <c r="Z126" s="201">
        <f t="shared" si="45"/>
        <v>0</v>
      </c>
      <c r="AA126" s="201">
        <f t="shared" si="45"/>
        <v>0</v>
      </c>
      <c r="AB126" s="201">
        <f t="shared" si="45"/>
        <v>0</v>
      </c>
      <c r="AC126" s="201">
        <f t="shared" si="45"/>
        <v>0</v>
      </c>
      <c r="AD126" s="201">
        <f t="shared" si="45"/>
        <v>0</v>
      </c>
      <c r="AE126" s="201">
        <f t="shared" si="45"/>
        <v>0</v>
      </c>
      <c r="AF126" s="201">
        <f t="shared" si="45"/>
        <v>0</v>
      </c>
      <c r="AG126" s="201">
        <f t="shared" si="45"/>
        <v>0</v>
      </c>
      <c r="AH126" s="201">
        <f t="shared" si="45"/>
        <v>0</v>
      </c>
      <c r="AI126" s="201">
        <f t="shared" si="45"/>
        <v>0</v>
      </c>
      <c r="AJ126" s="201">
        <f t="shared" si="45"/>
        <v>0</v>
      </c>
      <c r="AK126" s="201">
        <f t="shared" si="45"/>
        <v>0</v>
      </c>
      <c r="AL126" s="201">
        <f t="shared" si="45"/>
        <v>0</v>
      </c>
      <c r="AM126" s="201">
        <f t="shared" si="45"/>
        <v>0</v>
      </c>
      <c r="AN126" s="201">
        <f t="shared" si="45"/>
        <v>0</v>
      </c>
      <c r="AO126" s="201">
        <f t="shared" si="45"/>
        <v>0</v>
      </c>
      <c r="AP126" s="201">
        <f t="shared" si="45"/>
        <v>0</v>
      </c>
      <c r="AQ126" s="201">
        <f t="shared" si="45"/>
        <v>0</v>
      </c>
    </row>
    <row r="127" spans="1:43" s="213" customFormat="1" ht="18" hidden="1" customHeight="1" outlineLevel="1" x14ac:dyDescent="0.15">
      <c r="A127" s="216" t="s">
        <v>584</v>
      </c>
      <c r="B127" s="633">
        <f>B99</f>
        <v>0</v>
      </c>
      <c r="C127" s="217">
        <f>SUM(D127:AQ127)</f>
        <v>0</v>
      </c>
      <c r="D127" s="201">
        <f>ROUND(D99*D150,0)</f>
        <v>0</v>
      </c>
      <c r="E127" s="201">
        <f t="shared" ref="E127:AQ127" si="46">ROUND(E99*E150,0)</f>
        <v>0</v>
      </c>
      <c r="F127" s="201">
        <f t="shared" si="46"/>
        <v>0</v>
      </c>
      <c r="G127" s="201">
        <f t="shared" si="46"/>
        <v>0</v>
      </c>
      <c r="H127" s="201">
        <f t="shared" si="46"/>
        <v>0</v>
      </c>
      <c r="I127" s="201">
        <f t="shared" si="46"/>
        <v>0</v>
      </c>
      <c r="J127" s="201">
        <f t="shared" si="46"/>
        <v>0</v>
      </c>
      <c r="K127" s="201">
        <f t="shared" si="46"/>
        <v>0</v>
      </c>
      <c r="L127" s="201">
        <f t="shared" si="46"/>
        <v>0</v>
      </c>
      <c r="M127" s="201">
        <f t="shared" si="46"/>
        <v>0</v>
      </c>
      <c r="N127" s="201">
        <f t="shared" si="46"/>
        <v>0</v>
      </c>
      <c r="O127" s="201">
        <f t="shared" si="46"/>
        <v>0</v>
      </c>
      <c r="P127" s="201">
        <f t="shared" si="46"/>
        <v>0</v>
      </c>
      <c r="Q127" s="201">
        <f t="shared" si="46"/>
        <v>0</v>
      </c>
      <c r="R127" s="201">
        <f t="shared" si="46"/>
        <v>0</v>
      </c>
      <c r="S127" s="201">
        <f t="shared" si="46"/>
        <v>0</v>
      </c>
      <c r="T127" s="201">
        <f t="shared" si="46"/>
        <v>0</v>
      </c>
      <c r="U127" s="201">
        <f t="shared" si="46"/>
        <v>0</v>
      </c>
      <c r="V127" s="201">
        <f t="shared" si="46"/>
        <v>0</v>
      </c>
      <c r="W127" s="201">
        <f t="shared" si="46"/>
        <v>0</v>
      </c>
      <c r="X127" s="201">
        <f t="shared" si="46"/>
        <v>0</v>
      </c>
      <c r="Y127" s="201">
        <f t="shared" si="46"/>
        <v>0</v>
      </c>
      <c r="Z127" s="201">
        <f t="shared" si="46"/>
        <v>0</v>
      </c>
      <c r="AA127" s="201">
        <f t="shared" si="46"/>
        <v>0</v>
      </c>
      <c r="AB127" s="201">
        <f t="shared" si="46"/>
        <v>0</v>
      </c>
      <c r="AC127" s="201">
        <f t="shared" si="46"/>
        <v>0</v>
      </c>
      <c r="AD127" s="201">
        <f t="shared" si="46"/>
        <v>0</v>
      </c>
      <c r="AE127" s="201">
        <f t="shared" si="46"/>
        <v>0</v>
      </c>
      <c r="AF127" s="201">
        <f t="shared" si="46"/>
        <v>0</v>
      </c>
      <c r="AG127" s="201">
        <f t="shared" si="46"/>
        <v>0</v>
      </c>
      <c r="AH127" s="201">
        <f t="shared" si="46"/>
        <v>0</v>
      </c>
      <c r="AI127" s="201">
        <f t="shared" si="46"/>
        <v>0</v>
      </c>
      <c r="AJ127" s="201">
        <f t="shared" si="46"/>
        <v>0</v>
      </c>
      <c r="AK127" s="201">
        <f t="shared" si="46"/>
        <v>0</v>
      </c>
      <c r="AL127" s="201">
        <f t="shared" si="46"/>
        <v>0</v>
      </c>
      <c r="AM127" s="201">
        <f t="shared" si="46"/>
        <v>0</v>
      </c>
      <c r="AN127" s="201">
        <f t="shared" si="46"/>
        <v>0</v>
      </c>
      <c r="AO127" s="201">
        <f t="shared" si="46"/>
        <v>0</v>
      </c>
      <c r="AP127" s="201">
        <f t="shared" si="46"/>
        <v>0</v>
      </c>
      <c r="AQ127" s="201">
        <f t="shared" si="46"/>
        <v>0</v>
      </c>
    </row>
    <row r="128" spans="1:43" s="213" customFormat="1" ht="18" hidden="1" customHeight="1" outlineLevel="1" x14ac:dyDescent="0.15">
      <c r="A128" s="216" t="s">
        <v>585</v>
      </c>
      <c r="B128" s="633">
        <f>B106</f>
        <v>0</v>
      </c>
      <c r="C128" s="217">
        <f>SUM(D128:AQ128)</f>
        <v>0</v>
      </c>
      <c r="D128" s="201">
        <f>ROUND(D106*D151,0)</f>
        <v>0</v>
      </c>
      <c r="E128" s="201">
        <f t="shared" ref="E128:AQ128" si="47">ROUND(E106*E151,0)</f>
        <v>0</v>
      </c>
      <c r="F128" s="201">
        <f t="shared" si="47"/>
        <v>0</v>
      </c>
      <c r="G128" s="201">
        <f t="shared" si="47"/>
        <v>0</v>
      </c>
      <c r="H128" s="201">
        <f t="shared" si="47"/>
        <v>0</v>
      </c>
      <c r="I128" s="201">
        <f t="shared" si="47"/>
        <v>0</v>
      </c>
      <c r="J128" s="201">
        <f t="shared" si="47"/>
        <v>0</v>
      </c>
      <c r="K128" s="201">
        <f t="shared" si="47"/>
        <v>0</v>
      </c>
      <c r="L128" s="201">
        <f t="shared" si="47"/>
        <v>0</v>
      </c>
      <c r="M128" s="201">
        <f t="shared" si="47"/>
        <v>0</v>
      </c>
      <c r="N128" s="201">
        <f t="shared" si="47"/>
        <v>0</v>
      </c>
      <c r="O128" s="201">
        <f t="shared" si="47"/>
        <v>0</v>
      </c>
      <c r="P128" s="201">
        <f t="shared" si="47"/>
        <v>0</v>
      </c>
      <c r="Q128" s="201">
        <f t="shared" si="47"/>
        <v>0</v>
      </c>
      <c r="R128" s="201">
        <f t="shared" si="47"/>
        <v>0</v>
      </c>
      <c r="S128" s="201">
        <f t="shared" si="47"/>
        <v>0</v>
      </c>
      <c r="T128" s="201">
        <f t="shared" si="47"/>
        <v>0</v>
      </c>
      <c r="U128" s="201">
        <f t="shared" si="47"/>
        <v>0</v>
      </c>
      <c r="V128" s="201">
        <f t="shared" si="47"/>
        <v>0</v>
      </c>
      <c r="W128" s="201">
        <f t="shared" si="47"/>
        <v>0</v>
      </c>
      <c r="X128" s="201">
        <f t="shared" si="47"/>
        <v>0</v>
      </c>
      <c r="Y128" s="201">
        <f t="shared" si="47"/>
        <v>0</v>
      </c>
      <c r="Z128" s="201">
        <f t="shared" si="47"/>
        <v>0</v>
      </c>
      <c r="AA128" s="201">
        <f t="shared" si="47"/>
        <v>0</v>
      </c>
      <c r="AB128" s="201">
        <f t="shared" si="47"/>
        <v>0</v>
      </c>
      <c r="AC128" s="201">
        <f t="shared" si="47"/>
        <v>0</v>
      </c>
      <c r="AD128" s="201">
        <f t="shared" si="47"/>
        <v>0</v>
      </c>
      <c r="AE128" s="201">
        <f t="shared" si="47"/>
        <v>0</v>
      </c>
      <c r="AF128" s="201">
        <f t="shared" si="47"/>
        <v>0</v>
      </c>
      <c r="AG128" s="201">
        <f t="shared" si="47"/>
        <v>0</v>
      </c>
      <c r="AH128" s="201">
        <f t="shared" si="47"/>
        <v>0</v>
      </c>
      <c r="AI128" s="201">
        <f t="shared" si="47"/>
        <v>0</v>
      </c>
      <c r="AJ128" s="201">
        <f t="shared" si="47"/>
        <v>0</v>
      </c>
      <c r="AK128" s="201">
        <f t="shared" si="47"/>
        <v>0</v>
      </c>
      <c r="AL128" s="201">
        <f t="shared" si="47"/>
        <v>0</v>
      </c>
      <c r="AM128" s="201">
        <f t="shared" si="47"/>
        <v>0</v>
      </c>
      <c r="AN128" s="201">
        <f t="shared" si="47"/>
        <v>0</v>
      </c>
      <c r="AO128" s="201">
        <f t="shared" si="47"/>
        <v>0</v>
      </c>
      <c r="AP128" s="201">
        <f t="shared" si="47"/>
        <v>0</v>
      </c>
      <c r="AQ128" s="201">
        <f t="shared" si="47"/>
        <v>0</v>
      </c>
    </row>
    <row r="129" spans="1:43" s="158" customFormat="1" ht="18" customHeight="1" x14ac:dyDescent="0.15">
      <c r="A129" s="241">
        <v>3</v>
      </c>
      <c r="B129" s="241" t="s">
        <v>137</v>
      </c>
      <c r="C129" s="242">
        <f>SUM(D129:AQ129)</f>
        <v>0</v>
      </c>
      <c r="D129" s="238">
        <f>SUM(D130:D133)</f>
        <v>0</v>
      </c>
      <c r="E129" s="238">
        <f>SUM(E130:E133)</f>
        <v>0</v>
      </c>
      <c r="F129" s="238">
        <f>SUM(F130:F133)</f>
        <v>0</v>
      </c>
      <c r="G129" s="238">
        <f t="shared" ref="G129:AQ129" si="48">SUM(G130:G133)</f>
        <v>0</v>
      </c>
      <c r="H129" s="238">
        <f t="shared" si="48"/>
        <v>0</v>
      </c>
      <c r="I129" s="238">
        <f t="shared" si="48"/>
        <v>0</v>
      </c>
      <c r="J129" s="238">
        <f t="shared" si="48"/>
        <v>0</v>
      </c>
      <c r="K129" s="238">
        <f t="shared" si="48"/>
        <v>0</v>
      </c>
      <c r="L129" s="238">
        <f t="shared" si="48"/>
        <v>0</v>
      </c>
      <c r="M129" s="238">
        <f t="shared" si="48"/>
        <v>0</v>
      </c>
      <c r="N129" s="238">
        <f t="shared" si="48"/>
        <v>0</v>
      </c>
      <c r="O129" s="238">
        <f t="shared" si="48"/>
        <v>0</v>
      </c>
      <c r="P129" s="238">
        <f t="shared" si="48"/>
        <v>0</v>
      </c>
      <c r="Q129" s="238">
        <f t="shared" si="48"/>
        <v>0</v>
      </c>
      <c r="R129" s="238">
        <f t="shared" si="48"/>
        <v>0</v>
      </c>
      <c r="S129" s="238">
        <f t="shared" si="48"/>
        <v>0</v>
      </c>
      <c r="T129" s="238">
        <f t="shared" si="48"/>
        <v>0</v>
      </c>
      <c r="U129" s="238">
        <f t="shared" si="48"/>
        <v>0</v>
      </c>
      <c r="V129" s="238">
        <f t="shared" si="48"/>
        <v>0</v>
      </c>
      <c r="W129" s="238">
        <f t="shared" si="48"/>
        <v>0</v>
      </c>
      <c r="X129" s="238">
        <f t="shared" si="48"/>
        <v>0</v>
      </c>
      <c r="Y129" s="238">
        <f t="shared" si="48"/>
        <v>0</v>
      </c>
      <c r="Z129" s="238">
        <f t="shared" si="48"/>
        <v>0</v>
      </c>
      <c r="AA129" s="238">
        <f t="shared" si="48"/>
        <v>0</v>
      </c>
      <c r="AB129" s="238">
        <f t="shared" si="48"/>
        <v>0</v>
      </c>
      <c r="AC129" s="238">
        <f t="shared" si="48"/>
        <v>0</v>
      </c>
      <c r="AD129" s="238">
        <f t="shared" si="48"/>
        <v>0</v>
      </c>
      <c r="AE129" s="238">
        <f t="shared" si="48"/>
        <v>0</v>
      </c>
      <c r="AF129" s="238">
        <f t="shared" si="48"/>
        <v>0</v>
      </c>
      <c r="AG129" s="238">
        <f t="shared" si="48"/>
        <v>0</v>
      </c>
      <c r="AH129" s="238">
        <f t="shared" si="48"/>
        <v>0</v>
      </c>
      <c r="AI129" s="238">
        <f t="shared" si="48"/>
        <v>0</v>
      </c>
      <c r="AJ129" s="238">
        <f t="shared" si="48"/>
        <v>0</v>
      </c>
      <c r="AK129" s="238">
        <f t="shared" si="48"/>
        <v>0</v>
      </c>
      <c r="AL129" s="238">
        <f t="shared" si="48"/>
        <v>0</v>
      </c>
      <c r="AM129" s="238">
        <f t="shared" si="48"/>
        <v>0</v>
      </c>
      <c r="AN129" s="238">
        <f t="shared" si="48"/>
        <v>0</v>
      </c>
      <c r="AO129" s="238">
        <f t="shared" si="48"/>
        <v>0</v>
      </c>
      <c r="AP129" s="238">
        <f t="shared" si="48"/>
        <v>0</v>
      </c>
      <c r="AQ129" s="238">
        <f t="shared" si="48"/>
        <v>0</v>
      </c>
    </row>
    <row r="130" spans="1:43" ht="18" customHeight="1" outlineLevel="1" x14ac:dyDescent="0.15">
      <c r="A130" s="216" t="s">
        <v>313</v>
      </c>
      <c r="B130" s="216" t="s">
        <v>162</v>
      </c>
      <c r="C130" s="217">
        <f t="shared" si="32"/>
        <v>0</v>
      </c>
      <c r="D130" s="201">
        <f>ROUND(D113/(1+基础数据!$C$22)*基础数据!$D$22,0)</f>
        <v>0</v>
      </c>
      <c r="E130" s="201">
        <f>ROUND(E113/(1+基础数据!$C$22)*基础数据!$D$22,0)</f>
        <v>0</v>
      </c>
      <c r="F130" s="201">
        <f>ROUND(F113/(1+基础数据!$C$22)*基础数据!$D$22,0)</f>
        <v>0</v>
      </c>
      <c r="G130" s="201">
        <f>ROUND(G113/(1+基础数据!$C$22)*基础数据!$D$22,0)</f>
        <v>0</v>
      </c>
      <c r="H130" s="201">
        <f>ROUND(H113/(1+基础数据!$C$22)*基础数据!$D$22,0)</f>
        <v>0</v>
      </c>
      <c r="I130" s="201">
        <f>ROUND(I113/(1+基础数据!$C$22)*基础数据!$D$22,0)</f>
        <v>0</v>
      </c>
      <c r="J130" s="201">
        <f>ROUND(J113/(1+基础数据!$C$22)*基础数据!$D$22,0)</f>
        <v>0</v>
      </c>
      <c r="K130" s="201">
        <f>ROUND(K113/(1+基础数据!$C$22)*基础数据!$D$22,0)</f>
        <v>0</v>
      </c>
      <c r="L130" s="201">
        <f>ROUND(L113/(1+基础数据!$C$22)*基础数据!$D$22,0)</f>
        <v>0</v>
      </c>
      <c r="M130" s="201">
        <f>ROUND(M113/(1+基础数据!$C$22)*基础数据!$D$22,0)</f>
        <v>0</v>
      </c>
      <c r="N130" s="201">
        <f>ROUND(N113/(1+基础数据!$C$22)*基础数据!$D$22,0)</f>
        <v>0</v>
      </c>
      <c r="O130" s="201">
        <f>ROUND(O113/(1+基础数据!$C$22)*基础数据!$D$22,0)</f>
        <v>0</v>
      </c>
      <c r="P130" s="201">
        <f>ROUND(P113/(1+基础数据!$C$22)*基础数据!$D$22,0)</f>
        <v>0</v>
      </c>
      <c r="Q130" s="201">
        <f>ROUND(Q113/(1+基础数据!$C$22)*基础数据!$D$22,0)</f>
        <v>0</v>
      </c>
      <c r="R130" s="201">
        <f>ROUND(R113/(1+基础数据!$C$22)*基础数据!$D$22,0)</f>
        <v>0</v>
      </c>
      <c r="S130" s="201">
        <f>ROUND(S113/(1+基础数据!$C$22)*基础数据!$D$22,0)</f>
        <v>0</v>
      </c>
      <c r="T130" s="201">
        <f>ROUND(T113/(1+基础数据!$C$22)*基础数据!$D$22,0)</f>
        <v>0</v>
      </c>
      <c r="U130" s="201">
        <f>ROUND(U113/(1+基础数据!$C$22)*基础数据!$D$22,0)</f>
        <v>0</v>
      </c>
      <c r="V130" s="201">
        <f>ROUND(V113/(1+基础数据!$C$22)*基础数据!$D$22,0)</f>
        <v>0</v>
      </c>
      <c r="W130" s="201">
        <f>ROUND(W113/(1+基础数据!$C$22)*基础数据!$D$22,0)</f>
        <v>0</v>
      </c>
      <c r="X130" s="201">
        <f>ROUND(X113/(1+基础数据!$C$22)*基础数据!$D$22,0)</f>
        <v>0</v>
      </c>
      <c r="Y130" s="201">
        <f>ROUND(Y113/(1+基础数据!$C$22)*基础数据!$D$22,0)</f>
        <v>0</v>
      </c>
      <c r="Z130" s="201">
        <f>ROUND(Z113/(1+基础数据!$C$22)*基础数据!$D$22,0)</f>
        <v>0</v>
      </c>
      <c r="AA130" s="201">
        <f>ROUND(AA113/(1+基础数据!$C$22)*基础数据!$D$22,0)</f>
        <v>0</v>
      </c>
      <c r="AB130" s="201">
        <f>ROUND(AB113/(1+基础数据!$C$22)*基础数据!$D$22,0)</f>
        <v>0</v>
      </c>
      <c r="AC130" s="201">
        <f>ROUND(AC113/(1+基础数据!$C$22)*基础数据!$D$22,0)</f>
        <v>0</v>
      </c>
      <c r="AD130" s="201">
        <f>ROUND(AD113/(1+基础数据!$C$22)*基础数据!$D$22,0)</f>
        <v>0</v>
      </c>
      <c r="AE130" s="201">
        <f>ROUND(AE113/(1+基础数据!$C$22)*基础数据!$D$22,0)</f>
        <v>0</v>
      </c>
      <c r="AF130" s="201">
        <f>ROUND(AF113/(1+基础数据!$C$22)*基础数据!$D$22,0)</f>
        <v>0</v>
      </c>
      <c r="AG130" s="201">
        <f>ROUND(AG113/(1+基础数据!$C$22)*基础数据!$D$22,0)</f>
        <v>0</v>
      </c>
      <c r="AH130" s="201">
        <f>ROUND(AH113/(1+基础数据!$C$22)*基础数据!$D$22,0)</f>
        <v>0</v>
      </c>
      <c r="AI130" s="201">
        <f>ROUND(AI113/(1+基础数据!$C$22)*基础数据!$D$22,0)</f>
        <v>0</v>
      </c>
      <c r="AJ130" s="201">
        <f>ROUND(AJ113/(1+基础数据!$C$22)*基础数据!$D$22,0)</f>
        <v>0</v>
      </c>
      <c r="AK130" s="201">
        <f>ROUND(AK113/(1+基础数据!$C$22)*基础数据!$D$22,0)</f>
        <v>0</v>
      </c>
      <c r="AL130" s="201">
        <f>ROUND(AL113/(1+基础数据!$C$22)*基础数据!$D$22,0)</f>
        <v>0</v>
      </c>
      <c r="AM130" s="201">
        <f>ROUND(AM113/(1+基础数据!$C$22)*基础数据!$D$22,0)</f>
        <v>0</v>
      </c>
      <c r="AN130" s="201">
        <f>ROUND(AN113/(1+基础数据!$C$22)*基础数据!$D$22,0)</f>
        <v>0</v>
      </c>
      <c r="AO130" s="201">
        <f>ROUND(AO113/(1+基础数据!$C$22)*基础数据!$D$22,0)</f>
        <v>0</v>
      </c>
      <c r="AP130" s="201">
        <f>ROUND(AP113/(1+基础数据!$C$22)*基础数据!$D$22,0)</f>
        <v>0</v>
      </c>
      <c r="AQ130" s="201">
        <f>ROUND(AQ113/(1+基础数据!$C$22)*基础数据!$D$22,0)</f>
        <v>0</v>
      </c>
    </row>
    <row r="131" spans="1:43" ht="18" customHeight="1" outlineLevel="1" x14ac:dyDescent="0.15">
      <c r="A131" s="216" t="s">
        <v>314</v>
      </c>
      <c r="B131" s="633" t="s">
        <v>426</v>
      </c>
      <c r="C131" s="217">
        <f t="shared" si="32"/>
        <v>0</v>
      </c>
      <c r="D131" s="201">
        <f>ROUND(D130*基础数据!$C$23,0)</f>
        <v>0</v>
      </c>
      <c r="E131" s="201">
        <f>ROUND(E130*基础数据!$C$23,0)</f>
        <v>0</v>
      </c>
      <c r="F131" s="201">
        <f>ROUND(F130*基础数据!$C$23,0)</f>
        <v>0</v>
      </c>
      <c r="G131" s="201">
        <f>ROUND(G130*基础数据!$C$23,0)</f>
        <v>0</v>
      </c>
      <c r="H131" s="201">
        <f>ROUND(H130*基础数据!$C$23,0)</f>
        <v>0</v>
      </c>
      <c r="I131" s="201">
        <f>ROUND(I130*基础数据!$C$23,0)</f>
        <v>0</v>
      </c>
      <c r="J131" s="201">
        <f>ROUND(J130*基础数据!$C$23,0)</f>
        <v>0</v>
      </c>
      <c r="K131" s="201">
        <f>ROUND(K130*基础数据!$C$23,0)</f>
        <v>0</v>
      </c>
      <c r="L131" s="201">
        <f>ROUND(L130*基础数据!$C$23,0)</f>
        <v>0</v>
      </c>
      <c r="M131" s="201">
        <f>ROUND(M130*基础数据!$C$23,0)</f>
        <v>0</v>
      </c>
      <c r="N131" s="201">
        <f>ROUND(N130*基础数据!$C$23,0)</f>
        <v>0</v>
      </c>
      <c r="O131" s="201">
        <f>ROUND(O130*基础数据!$C$23,0)</f>
        <v>0</v>
      </c>
      <c r="P131" s="201">
        <f>ROUND(P130*基础数据!$C$23,0)</f>
        <v>0</v>
      </c>
      <c r="Q131" s="201">
        <f>ROUND(Q130*基础数据!$C$23,0)</f>
        <v>0</v>
      </c>
      <c r="R131" s="201">
        <f>ROUND(R130*基础数据!$C$23,0)</f>
        <v>0</v>
      </c>
      <c r="S131" s="201">
        <f>ROUND(S130*基础数据!$C$23,0)</f>
        <v>0</v>
      </c>
      <c r="T131" s="201">
        <f>ROUND(T130*基础数据!$C$23,0)</f>
        <v>0</v>
      </c>
      <c r="U131" s="201">
        <f>ROUND(U130*基础数据!$C$23,0)</f>
        <v>0</v>
      </c>
      <c r="V131" s="201">
        <f>ROUND(V130*基础数据!$C$23,0)</f>
        <v>0</v>
      </c>
      <c r="W131" s="201">
        <f>ROUND(W130*基础数据!$C$23,0)</f>
        <v>0</v>
      </c>
      <c r="X131" s="201">
        <f>ROUND(X130*基础数据!$C$23,0)</f>
        <v>0</v>
      </c>
      <c r="Y131" s="201">
        <f>ROUND(Y130*基础数据!$C$23,0)</f>
        <v>0</v>
      </c>
      <c r="Z131" s="201">
        <f>ROUND(Z130*基础数据!$C$23,0)</f>
        <v>0</v>
      </c>
      <c r="AA131" s="201">
        <f>ROUND(AA130*基础数据!$C$23,0)</f>
        <v>0</v>
      </c>
      <c r="AB131" s="201">
        <f>ROUND(AB130*基础数据!$C$23,0)</f>
        <v>0</v>
      </c>
      <c r="AC131" s="201">
        <f>ROUND(AC130*基础数据!$C$23,0)</f>
        <v>0</v>
      </c>
      <c r="AD131" s="201">
        <f>ROUND(AD130*基础数据!$C$23,0)</f>
        <v>0</v>
      </c>
      <c r="AE131" s="201">
        <f>ROUND(AE130*基础数据!$C$23,0)</f>
        <v>0</v>
      </c>
      <c r="AF131" s="201">
        <f>ROUND(AF130*基础数据!$C$23,0)</f>
        <v>0</v>
      </c>
      <c r="AG131" s="201">
        <f>ROUND(AG130*基础数据!$C$23,0)</f>
        <v>0</v>
      </c>
      <c r="AH131" s="201">
        <f>ROUND(AH130*基础数据!$C$23,0)</f>
        <v>0</v>
      </c>
      <c r="AI131" s="201">
        <f>ROUND(AI130*基础数据!$C$23,0)</f>
        <v>0</v>
      </c>
      <c r="AJ131" s="201">
        <f>ROUND(AJ130*基础数据!$C$23,0)</f>
        <v>0</v>
      </c>
      <c r="AK131" s="201">
        <f>ROUND(AK130*基础数据!$C$23,0)</f>
        <v>0</v>
      </c>
      <c r="AL131" s="201">
        <f>ROUND(AL130*基础数据!$C$23,0)</f>
        <v>0</v>
      </c>
      <c r="AM131" s="201">
        <f>ROUND(AM130*基础数据!$C$23,0)</f>
        <v>0</v>
      </c>
      <c r="AN131" s="201">
        <f>ROUND(AN130*基础数据!$C$23,0)</f>
        <v>0</v>
      </c>
      <c r="AO131" s="201">
        <f>ROUND(AO130*基础数据!$C$23,0)</f>
        <v>0</v>
      </c>
      <c r="AP131" s="201">
        <f>ROUND(AP130*基础数据!$C$23,0)</f>
        <v>0</v>
      </c>
      <c r="AQ131" s="201">
        <f>ROUND(AQ130*基础数据!$C$23,0)</f>
        <v>0</v>
      </c>
    </row>
    <row r="132" spans="1:43" ht="18" customHeight="1" outlineLevel="1" x14ac:dyDescent="0.15">
      <c r="A132" s="216" t="s">
        <v>315</v>
      </c>
      <c r="B132" s="633" t="s">
        <v>427</v>
      </c>
      <c r="C132" s="217">
        <f t="shared" si="32"/>
        <v>0</v>
      </c>
      <c r="D132" s="201">
        <f>ROUND(D130*基础数据!$C$24,0)</f>
        <v>0</v>
      </c>
      <c r="E132" s="201">
        <f>ROUND(E130*基础数据!$C$24,0)</f>
        <v>0</v>
      </c>
      <c r="F132" s="201">
        <f>ROUND(F130*基础数据!$C$24,0)</f>
        <v>0</v>
      </c>
      <c r="G132" s="201">
        <f>ROUND(G130*基础数据!$C$24,0)</f>
        <v>0</v>
      </c>
      <c r="H132" s="201">
        <f>ROUND(H130*基础数据!$C$24,0)</f>
        <v>0</v>
      </c>
      <c r="I132" s="201">
        <f>ROUND(I130*基础数据!$C$24,0)</f>
        <v>0</v>
      </c>
      <c r="J132" s="201">
        <f>ROUND(J130*基础数据!$C$24,0)</f>
        <v>0</v>
      </c>
      <c r="K132" s="201">
        <f>ROUND(K130*基础数据!$C$24,0)</f>
        <v>0</v>
      </c>
      <c r="L132" s="201">
        <f>ROUND(L130*基础数据!$C$24,0)</f>
        <v>0</v>
      </c>
      <c r="M132" s="201">
        <f>ROUND(M130*基础数据!$C$24,0)</f>
        <v>0</v>
      </c>
      <c r="N132" s="201">
        <f>ROUND(N130*基础数据!$C$24,0)</f>
        <v>0</v>
      </c>
      <c r="O132" s="201">
        <f>ROUND(O130*基础数据!$C$24,0)</f>
        <v>0</v>
      </c>
      <c r="P132" s="201">
        <f>ROUND(P130*基础数据!$C$24,0)</f>
        <v>0</v>
      </c>
      <c r="Q132" s="201">
        <f>ROUND(Q130*基础数据!$C$24,0)</f>
        <v>0</v>
      </c>
      <c r="R132" s="201">
        <f>ROUND(R130*基础数据!$C$24,0)</f>
        <v>0</v>
      </c>
      <c r="S132" s="201">
        <f>ROUND(S130*基础数据!$C$24,0)</f>
        <v>0</v>
      </c>
      <c r="T132" s="201">
        <f>ROUND(T130*基础数据!$C$24,0)</f>
        <v>0</v>
      </c>
      <c r="U132" s="201">
        <f>ROUND(U130*基础数据!$C$24,0)</f>
        <v>0</v>
      </c>
      <c r="V132" s="201">
        <f>ROUND(V130*基础数据!$C$24,0)</f>
        <v>0</v>
      </c>
      <c r="W132" s="201">
        <f>ROUND(W130*基础数据!$C$24,0)</f>
        <v>0</v>
      </c>
      <c r="X132" s="201">
        <f>ROUND(X130*基础数据!$C$24,0)</f>
        <v>0</v>
      </c>
      <c r="Y132" s="201">
        <f>ROUND(Y130*基础数据!$C$24,0)</f>
        <v>0</v>
      </c>
      <c r="Z132" s="201">
        <f>ROUND(Z130*基础数据!$C$24,0)</f>
        <v>0</v>
      </c>
      <c r="AA132" s="201">
        <f>ROUND(AA130*基础数据!$C$24,0)</f>
        <v>0</v>
      </c>
      <c r="AB132" s="201">
        <f>ROUND(AB130*基础数据!$C$24,0)</f>
        <v>0</v>
      </c>
      <c r="AC132" s="201">
        <f>ROUND(AC130*基础数据!$C$24,0)</f>
        <v>0</v>
      </c>
      <c r="AD132" s="201">
        <f>ROUND(AD130*基础数据!$C$24,0)</f>
        <v>0</v>
      </c>
      <c r="AE132" s="201">
        <f>ROUND(AE130*基础数据!$C$24,0)</f>
        <v>0</v>
      </c>
      <c r="AF132" s="201">
        <f>ROUND(AF130*基础数据!$C$24,0)</f>
        <v>0</v>
      </c>
      <c r="AG132" s="201">
        <f>ROUND(AG130*基础数据!$C$24,0)</f>
        <v>0</v>
      </c>
      <c r="AH132" s="201">
        <f>ROUND(AH130*基础数据!$C$24,0)</f>
        <v>0</v>
      </c>
      <c r="AI132" s="201">
        <f>ROUND(AI130*基础数据!$C$24,0)</f>
        <v>0</v>
      </c>
      <c r="AJ132" s="201">
        <f>ROUND(AJ130*基础数据!$C$24,0)</f>
        <v>0</v>
      </c>
      <c r="AK132" s="201">
        <f>ROUND(AK130*基础数据!$C$24,0)</f>
        <v>0</v>
      </c>
      <c r="AL132" s="201">
        <f>ROUND(AL130*基础数据!$C$24,0)</f>
        <v>0</v>
      </c>
      <c r="AM132" s="201">
        <f>ROUND(AM130*基础数据!$C$24,0)</f>
        <v>0</v>
      </c>
      <c r="AN132" s="201">
        <f>ROUND(AN130*基础数据!$C$24,0)</f>
        <v>0</v>
      </c>
      <c r="AO132" s="201">
        <f>ROUND(AO130*基础数据!$C$24,0)</f>
        <v>0</v>
      </c>
      <c r="AP132" s="201">
        <f>ROUND(AP130*基础数据!$C$24,0)</f>
        <v>0</v>
      </c>
      <c r="AQ132" s="201">
        <f>ROUND(AQ130*基础数据!$C$24,0)</f>
        <v>0</v>
      </c>
    </row>
    <row r="133" spans="1:43" ht="18" customHeight="1" outlineLevel="1" x14ac:dyDescent="0.15">
      <c r="A133" s="216" t="s">
        <v>316</v>
      </c>
      <c r="B133" s="633" t="s">
        <v>428</v>
      </c>
      <c r="C133" s="217">
        <f t="shared" si="32"/>
        <v>0</v>
      </c>
      <c r="D133" s="201">
        <f>ROUND(D130*基础数据!$C$25,0)</f>
        <v>0</v>
      </c>
      <c r="E133" s="201">
        <f>ROUND(E130*基础数据!$C$25,0)</f>
        <v>0</v>
      </c>
      <c r="F133" s="201">
        <f>ROUND(F130*基础数据!$C$25,0)</f>
        <v>0</v>
      </c>
      <c r="G133" s="201">
        <f>ROUND(G130*基础数据!$C$25,0)</f>
        <v>0</v>
      </c>
      <c r="H133" s="201">
        <f>ROUND(H130*基础数据!$C$25,0)</f>
        <v>0</v>
      </c>
      <c r="I133" s="201">
        <f>ROUND(I130*基础数据!$C$25,0)</f>
        <v>0</v>
      </c>
      <c r="J133" s="201">
        <f>ROUND(J130*基础数据!$C$25,0)</f>
        <v>0</v>
      </c>
      <c r="K133" s="201">
        <f>ROUND(K130*基础数据!$C$25,0)</f>
        <v>0</v>
      </c>
      <c r="L133" s="201">
        <f>ROUND(L130*基础数据!$C$25,0)</f>
        <v>0</v>
      </c>
      <c r="M133" s="201">
        <f>ROUND(M130*基础数据!$C$25,0)</f>
        <v>0</v>
      </c>
      <c r="N133" s="201">
        <f>ROUND(N130*基础数据!$C$25,0)</f>
        <v>0</v>
      </c>
      <c r="O133" s="201">
        <f>ROUND(O130*基础数据!$C$25,0)</f>
        <v>0</v>
      </c>
      <c r="P133" s="201">
        <f>ROUND(P130*基础数据!$C$25,0)</f>
        <v>0</v>
      </c>
      <c r="Q133" s="201">
        <f>ROUND(Q130*基础数据!$C$25,0)</f>
        <v>0</v>
      </c>
      <c r="R133" s="201">
        <f>ROUND(R130*基础数据!$C$25,0)</f>
        <v>0</v>
      </c>
      <c r="S133" s="201">
        <f>ROUND(S130*基础数据!$C$25,0)</f>
        <v>0</v>
      </c>
      <c r="T133" s="201">
        <f>ROUND(T130*基础数据!$C$25,0)</f>
        <v>0</v>
      </c>
      <c r="U133" s="201">
        <f>ROUND(U130*基础数据!$C$25,0)</f>
        <v>0</v>
      </c>
      <c r="V133" s="201">
        <f>ROUND(V130*基础数据!$C$25,0)</f>
        <v>0</v>
      </c>
      <c r="W133" s="201">
        <f>ROUND(W130*基础数据!$C$25,0)</f>
        <v>0</v>
      </c>
      <c r="X133" s="201">
        <f>ROUND(X130*基础数据!$C$25,0)</f>
        <v>0</v>
      </c>
      <c r="Y133" s="201">
        <f>ROUND(Y130*基础数据!$C$25,0)</f>
        <v>0</v>
      </c>
      <c r="Z133" s="201">
        <f>ROUND(Z130*基础数据!$C$25,0)</f>
        <v>0</v>
      </c>
      <c r="AA133" s="201">
        <f>ROUND(AA130*基础数据!$C$25,0)</f>
        <v>0</v>
      </c>
      <c r="AB133" s="201">
        <f>ROUND(AB130*基础数据!$C$25,0)</f>
        <v>0</v>
      </c>
      <c r="AC133" s="201">
        <f>ROUND(AC130*基础数据!$C$25,0)</f>
        <v>0</v>
      </c>
      <c r="AD133" s="201">
        <f>ROUND(AD130*基础数据!$C$25,0)</f>
        <v>0</v>
      </c>
      <c r="AE133" s="201">
        <f>ROUND(AE130*基础数据!$C$25,0)</f>
        <v>0</v>
      </c>
      <c r="AF133" s="201">
        <f>ROUND(AF130*基础数据!$C$25,0)</f>
        <v>0</v>
      </c>
      <c r="AG133" s="201">
        <f>ROUND(AG130*基础数据!$C$25,0)</f>
        <v>0</v>
      </c>
      <c r="AH133" s="201">
        <f>ROUND(AH130*基础数据!$C$25,0)</f>
        <v>0</v>
      </c>
      <c r="AI133" s="201">
        <f>ROUND(AI130*基础数据!$C$25,0)</f>
        <v>0</v>
      </c>
      <c r="AJ133" s="201">
        <f>ROUND(AJ130*基础数据!$C$25,0)</f>
        <v>0</v>
      </c>
      <c r="AK133" s="201">
        <f>ROUND(AK130*基础数据!$C$25,0)</f>
        <v>0</v>
      </c>
      <c r="AL133" s="201">
        <f>ROUND(AL130*基础数据!$C$25,0)</f>
        <v>0</v>
      </c>
      <c r="AM133" s="201">
        <f>ROUND(AM130*基础数据!$C$25,0)</f>
        <v>0</v>
      </c>
      <c r="AN133" s="201">
        <f>ROUND(AN130*基础数据!$C$25,0)</f>
        <v>0</v>
      </c>
      <c r="AO133" s="201">
        <f>ROUND(AO130*基础数据!$C$25,0)</f>
        <v>0</v>
      </c>
      <c r="AP133" s="201">
        <f>ROUND(AP130*基础数据!$C$25,0)</f>
        <v>0</v>
      </c>
      <c r="AQ133" s="201">
        <f>ROUND(AQ130*基础数据!$C$25,0)</f>
        <v>0</v>
      </c>
    </row>
    <row r="134" spans="1:43" ht="18" customHeight="1" x14ac:dyDescent="0.15">
      <c r="A134" s="209"/>
      <c r="B134" s="211"/>
      <c r="C134" s="211"/>
      <c r="D134" s="206"/>
      <c r="E134" s="206"/>
      <c r="F134" s="202"/>
      <c r="G134" s="202"/>
      <c r="H134" s="202"/>
      <c r="I134" s="202"/>
      <c r="J134" s="203"/>
      <c r="K134" s="203"/>
      <c r="L134" s="203"/>
      <c r="M134" s="203"/>
      <c r="N134" s="203"/>
      <c r="O134" s="204"/>
      <c r="P134" s="204"/>
      <c r="Q134" s="204"/>
      <c r="R134" s="204"/>
      <c r="S134" s="204"/>
      <c r="T134" s="204"/>
      <c r="U134" s="204"/>
      <c r="V134" s="204"/>
      <c r="W134" s="204"/>
      <c r="X134" s="202"/>
      <c r="Y134" s="202"/>
      <c r="Z134" s="203"/>
      <c r="AA134" s="203"/>
      <c r="AB134" s="203"/>
      <c r="AC134" s="203"/>
      <c r="AD134" s="203"/>
      <c r="AE134" s="204"/>
      <c r="AF134" s="204"/>
      <c r="AG134" s="204"/>
      <c r="AH134" s="204"/>
      <c r="AI134" s="204"/>
      <c r="AJ134" s="204"/>
      <c r="AK134" s="204"/>
      <c r="AL134" s="204"/>
      <c r="AM134" s="204"/>
      <c r="AN134" s="204"/>
      <c r="AO134" s="204"/>
      <c r="AP134" s="204"/>
      <c r="AQ134" s="204"/>
    </row>
    <row r="135" spans="1:43" ht="18" customHeight="1" x14ac:dyDescent="0.15">
      <c r="A135" s="221"/>
      <c r="B135" s="219" t="s">
        <v>346</v>
      </c>
      <c r="C135" s="220"/>
      <c r="D135" s="207"/>
      <c r="E135" s="207"/>
      <c r="F135" s="208"/>
      <c r="G135" s="202"/>
      <c r="H135" s="202"/>
      <c r="I135" s="202"/>
      <c r="J135" s="203"/>
      <c r="K135" s="203"/>
      <c r="L135" s="203"/>
      <c r="M135" s="203"/>
      <c r="N135" s="203"/>
      <c r="O135" s="204"/>
      <c r="P135" s="204"/>
      <c r="Q135" s="204"/>
      <c r="R135" s="204"/>
      <c r="S135" s="204"/>
      <c r="T135" s="204"/>
      <c r="U135" s="204"/>
      <c r="V135" s="204"/>
      <c r="W135" s="204"/>
      <c r="X135" s="208"/>
      <c r="Y135" s="202"/>
      <c r="Z135" s="203"/>
      <c r="AA135" s="203"/>
      <c r="AB135" s="203"/>
      <c r="AC135" s="203"/>
      <c r="AD135" s="203"/>
      <c r="AE135" s="204"/>
      <c r="AF135" s="204"/>
      <c r="AG135" s="204"/>
      <c r="AH135" s="204"/>
      <c r="AI135" s="204"/>
      <c r="AJ135" s="204"/>
      <c r="AK135" s="204"/>
      <c r="AL135" s="204"/>
      <c r="AM135" s="204"/>
      <c r="AN135" s="204"/>
      <c r="AO135" s="204"/>
      <c r="AP135" s="204"/>
      <c r="AQ135" s="204"/>
    </row>
    <row r="136" spans="1:43" ht="18" customHeight="1" outlineLevel="1" x14ac:dyDescent="0.15">
      <c r="A136" s="639"/>
      <c r="B136" s="640"/>
      <c r="C136" s="641"/>
      <c r="D136" s="708" t="s">
        <v>586</v>
      </c>
      <c r="E136" s="684"/>
      <c r="F136" s="685"/>
      <c r="G136" s="202"/>
      <c r="H136" s="202"/>
      <c r="I136" s="202"/>
      <c r="J136" s="203"/>
      <c r="K136" s="203"/>
      <c r="L136" s="203"/>
      <c r="M136" s="203"/>
      <c r="N136" s="203"/>
      <c r="O136" s="204"/>
      <c r="P136" s="204"/>
      <c r="Q136" s="204"/>
      <c r="R136" s="204"/>
      <c r="S136" s="204"/>
      <c r="T136" s="204"/>
      <c r="U136" s="204"/>
      <c r="V136" s="204"/>
      <c r="W136" s="204"/>
      <c r="X136" s="208"/>
      <c r="Y136" s="202"/>
      <c r="Z136" s="203"/>
      <c r="AA136" s="203"/>
      <c r="AB136" s="203"/>
      <c r="AC136" s="203"/>
      <c r="AD136" s="203"/>
      <c r="AE136" s="204"/>
      <c r="AF136" s="204"/>
      <c r="AG136" s="204"/>
      <c r="AH136" s="204"/>
      <c r="AI136" s="204"/>
      <c r="AJ136" s="204"/>
      <c r="AK136" s="204"/>
      <c r="AL136" s="204"/>
      <c r="AM136" s="204"/>
      <c r="AN136" s="204"/>
      <c r="AO136" s="204"/>
      <c r="AP136" s="204"/>
      <c r="AQ136" s="204"/>
    </row>
    <row r="137" spans="1:43" ht="18" customHeight="1" outlineLevel="1" x14ac:dyDescent="0.15">
      <c r="A137" s="686" t="s">
        <v>587</v>
      </c>
      <c r="B137" s="633" t="str">
        <f>B114</f>
        <v>小高层</v>
      </c>
      <c r="C137" s="211"/>
      <c r="D137" s="705">
        <v>0.6</v>
      </c>
      <c r="E137" s="705">
        <v>0.4</v>
      </c>
      <c r="F137" s="642">
        <v>0</v>
      </c>
      <c r="G137" s="202"/>
      <c r="H137" s="202"/>
      <c r="I137" s="202"/>
      <c r="J137" s="203"/>
      <c r="K137" s="203"/>
      <c r="L137" s="203"/>
      <c r="M137" s="203"/>
      <c r="N137" s="203"/>
      <c r="O137" s="204"/>
      <c r="P137" s="204"/>
      <c r="Q137" s="204"/>
      <c r="R137" s="204"/>
      <c r="S137" s="204"/>
      <c r="T137" s="204"/>
      <c r="U137" s="204"/>
      <c r="V137" s="204"/>
      <c r="W137" s="204"/>
      <c r="X137" s="233">
        <v>0</v>
      </c>
      <c r="Y137" s="202"/>
      <c r="Z137" s="203"/>
      <c r="AA137" s="203"/>
      <c r="AB137" s="203"/>
      <c r="AC137" s="203"/>
      <c r="AD137" s="203"/>
      <c r="AE137" s="204"/>
      <c r="AF137" s="204"/>
      <c r="AG137" s="204"/>
      <c r="AH137" s="204"/>
      <c r="AI137" s="204"/>
      <c r="AJ137" s="204"/>
      <c r="AK137" s="204"/>
      <c r="AL137" s="204"/>
      <c r="AM137" s="204"/>
      <c r="AN137" s="204"/>
      <c r="AO137" s="204"/>
      <c r="AP137" s="204"/>
      <c r="AQ137" s="204"/>
    </row>
    <row r="138" spans="1:43" ht="18" customHeight="1" outlineLevel="1" x14ac:dyDescent="0.15">
      <c r="A138" s="686" t="s">
        <v>588</v>
      </c>
      <c r="B138" s="633" t="str">
        <f t="shared" ref="B138:B151" si="49">B115</f>
        <v>洋房</v>
      </c>
      <c r="C138" s="211"/>
      <c r="D138" s="706">
        <v>0.6</v>
      </c>
      <c r="E138" s="706">
        <v>0.4</v>
      </c>
      <c r="F138" s="643">
        <v>0</v>
      </c>
      <c r="G138" s="202"/>
      <c r="H138" s="202"/>
      <c r="I138" s="202"/>
      <c r="J138" s="203"/>
      <c r="K138" s="203"/>
      <c r="L138" s="203"/>
      <c r="M138" s="203"/>
      <c r="N138" s="203"/>
      <c r="O138" s="204"/>
      <c r="P138" s="204"/>
      <c r="Q138" s="204"/>
      <c r="R138" s="204"/>
      <c r="S138" s="204"/>
      <c r="T138" s="204"/>
      <c r="U138" s="204"/>
      <c r="V138" s="204"/>
      <c r="W138" s="204"/>
      <c r="X138" s="233">
        <v>0</v>
      </c>
      <c r="Y138" s="202"/>
      <c r="Z138" s="203"/>
      <c r="AA138" s="203"/>
      <c r="AB138" s="203"/>
      <c r="AC138" s="203"/>
      <c r="AD138" s="203"/>
      <c r="AE138" s="204"/>
      <c r="AF138" s="204"/>
      <c r="AG138" s="204"/>
      <c r="AH138" s="204"/>
      <c r="AI138" s="204"/>
      <c r="AJ138" s="204"/>
      <c r="AK138" s="204"/>
      <c r="AL138" s="204"/>
      <c r="AM138" s="204"/>
      <c r="AN138" s="204"/>
      <c r="AO138" s="204"/>
      <c r="AP138" s="204"/>
      <c r="AQ138" s="204"/>
    </row>
    <row r="139" spans="1:43" ht="18" customHeight="1" outlineLevel="1" x14ac:dyDescent="0.15">
      <c r="A139" s="686" t="s">
        <v>589</v>
      </c>
      <c r="B139" s="633" t="str">
        <f t="shared" si="49"/>
        <v>商业</v>
      </c>
      <c r="C139" s="211"/>
      <c r="D139" s="706">
        <v>0.6</v>
      </c>
      <c r="E139" s="706">
        <v>0.4</v>
      </c>
      <c r="F139" s="643">
        <v>0</v>
      </c>
      <c r="G139" s="202"/>
      <c r="H139" s="202"/>
      <c r="I139" s="202"/>
      <c r="J139" s="203"/>
      <c r="K139" s="203"/>
      <c r="L139" s="203"/>
      <c r="M139" s="203"/>
      <c r="N139" s="203"/>
      <c r="O139" s="204"/>
      <c r="P139" s="204"/>
      <c r="Q139" s="204"/>
      <c r="R139" s="204"/>
      <c r="S139" s="204"/>
      <c r="T139" s="204"/>
      <c r="U139" s="204"/>
      <c r="V139" s="204"/>
      <c r="W139" s="204"/>
      <c r="X139" s="233">
        <v>0</v>
      </c>
      <c r="Y139" s="202"/>
      <c r="Z139" s="203"/>
      <c r="AA139" s="203"/>
      <c r="AB139" s="203"/>
      <c r="AC139" s="203"/>
      <c r="AD139" s="203"/>
      <c r="AE139" s="204"/>
      <c r="AF139" s="204"/>
      <c r="AG139" s="204"/>
      <c r="AH139" s="204"/>
      <c r="AI139" s="204"/>
      <c r="AJ139" s="204"/>
      <c r="AK139" s="204"/>
      <c r="AL139" s="204"/>
      <c r="AM139" s="204"/>
      <c r="AN139" s="204"/>
      <c r="AO139" s="204"/>
      <c r="AP139" s="204"/>
      <c r="AQ139" s="204"/>
    </row>
    <row r="140" spans="1:43" ht="18" customHeight="1" outlineLevel="1" x14ac:dyDescent="0.15">
      <c r="A140" s="686" t="s">
        <v>590</v>
      </c>
      <c r="B140" s="633" t="str">
        <f t="shared" si="49"/>
        <v>居服配套</v>
      </c>
      <c r="C140" s="211"/>
      <c r="D140" s="706">
        <v>0.6</v>
      </c>
      <c r="E140" s="706">
        <v>0.4</v>
      </c>
      <c r="F140" s="643">
        <v>0</v>
      </c>
      <c r="G140" s="202"/>
      <c r="H140" s="202"/>
      <c r="I140" s="202"/>
      <c r="J140" s="203"/>
      <c r="K140" s="203"/>
      <c r="L140" s="203"/>
      <c r="M140" s="203"/>
      <c r="N140" s="203"/>
      <c r="O140" s="204"/>
      <c r="P140" s="204"/>
      <c r="Q140" s="204"/>
      <c r="R140" s="204"/>
      <c r="S140" s="204"/>
      <c r="T140" s="204"/>
      <c r="U140" s="204"/>
      <c r="V140" s="204"/>
      <c r="W140" s="204"/>
      <c r="X140" s="233">
        <v>0</v>
      </c>
      <c r="Y140" s="202"/>
      <c r="Z140" s="203"/>
      <c r="AA140" s="203"/>
      <c r="AB140" s="203"/>
      <c r="AC140" s="203"/>
      <c r="AD140" s="203"/>
      <c r="AE140" s="204"/>
      <c r="AF140" s="204"/>
      <c r="AG140" s="204"/>
      <c r="AH140" s="204"/>
      <c r="AI140" s="204"/>
      <c r="AJ140" s="204"/>
      <c r="AK140" s="204"/>
      <c r="AL140" s="204"/>
      <c r="AM140" s="204"/>
      <c r="AN140" s="204"/>
      <c r="AO140" s="204"/>
      <c r="AP140" s="204"/>
      <c r="AQ140" s="204"/>
    </row>
    <row r="141" spans="1:43" ht="18" customHeight="1" outlineLevel="1" x14ac:dyDescent="0.15">
      <c r="A141" s="686" t="s">
        <v>591</v>
      </c>
      <c r="B141" s="633">
        <f t="shared" si="49"/>
        <v>0</v>
      </c>
      <c r="C141" s="211"/>
      <c r="D141" s="706">
        <v>0.6</v>
      </c>
      <c r="E141" s="706">
        <v>0.4</v>
      </c>
      <c r="F141" s="643">
        <v>0</v>
      </c>
      <c r="G141" s="202"/>
      <c r="H141" s="202"/>
      <c r="I141" s="202"/>
      <c r="J141" s="203"/>
      <c r="K141" s="203"/>
      <c r="L141" s="203"/>
      <c r="M141" s="203"/>
      <c r="N141" s="203"/>
      <c r="O141" s="204"/>
      <c r="P141" s="204"/>
      <c r="Q141" s="204"/>
      <c r="R141" s="204"/>
      <c r="S141" s="204"/>
      <c r="T141" s="204"/>
      <c r="U141" s="204"/>
      <c r="V141" s="204"/>
      <c r="W141" s="204"/>
      <c r="X141" s="233">
        <v>0</v>
      </c>
      <c r="Y141" s="202"/>
      <c r="Z141" s="203"/>
      <c r="AA141" s="203"/>
      <c r="AB141" s="203"/>
      <c r="AC141" s="203"/>
      <c r="AD141" s="203"/>
      <c r="AE141" s="204"/>
      <c r="AF141" s="204"/>
      <c r="AG141" s="204"/>
      <c r="AH141" s="204"/>
      <c r="AI141" s="204"/>
      <c r="AJ141" s="204"/>
      <c r="AK141" s="204"/>
      <c r="AL141" s="204"/>
      <c r="AM141" s="204"/>
      <c r="AN141" s="204"/>
      <c r="AO141" s="204"/>
      <c r="AP141" s="204"/>
      <c r="AQ141" s="204"/>
    </row>
    <row r="142" spans="1:43" ht="18" customHeight="1" outlineLevel="1" x14ac:dyDescent="0.15">
      <c r="A142" s="686" t="s">
        <v>592</v>
      </c>
      <c r="B142" s="633">
        <f t="shared" si="49"/>
        <v>0</v>
      </c>
      <c r="C142" s="212"/>
      <c r="D142" s="706">
        <v>0.6</v>
      </c>
      <c r="E142" s="706">
        <v>0.4</v>
      </c>
      <c r="F142" s="643">
        <v>0</v>
      </c>
      <c r="G142" s="202"/>
      <c r="H142" s="202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33">
        <v>0</v>
      </c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</row>
    <row r="143" spans="1:43" ht="18" customHeight="1" outlineLevel="1" x14ac:dyDescent="0.15">
      <c r="A143" s="686" t="s">
        <v>593</v>
      </c>
      <c r="B143" s="633">
        <f t="shared" si="49"/>
        <v>0</v>
      </c>
      <c r="C143" s="213"/>
      <c r="D143" s="706">
        <v>0.6</v>
      </c>
      <c r="E143" s="706">
        <v>0.4</v>
      </c>
      <c r="F143" s="643">
        <v>0</v>
      </c>
      <c r="G143" s="202"/>
      <c r="H143" s="202"/>
      <c r="I143" s="205"/>
      <c r="J143" s="206"/>
      <c r="K143" s="206"/>
      <c r="L143" s="206"/>
      <c r="M143" s="206"/>
      <c r="N143" s="206"/>
      <c r="O143" s="206"/>
      <c r="P143" s="203"/>
      <c r="Q143" s="203"/>
      <c r="R143" s="203"/>
      <c r="S143" s="203"/>
      <c r="T143" s="203"/>
      <c r="U143" s="203"/>
      <c r="V143" s="203"/>
      <c r="W143" s="203"/>
      <c r="X143" s="233">
        <v>0</v>
      </c>
      <c r="Y143" s="205"/>
      <c r="Z143" s="206"/>
      <c r="AA143" s="206"/>
      <c r="AB143" s="206"/>
      <c r="AC143" s="206"/>
      <c r="AD143" s="206"/>
      <c r="AE143" s="206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</row>
    <row r="144" spans="1:43" ht="18" customHeight="1" outlineLevel="1" x14ac:dyDescent="0.15">
      <c r="A144" s="686" t="s">
        <v>594</v>
      </c>
      <c r="B144" s="633">
        <f t="shared" si="49"/>
        <v>0</v>
      </c>
      <c r="C144" s="214"/>
      <c r="D144" s="706">
        <v>0.6</v>
      </c>
      <c r="E144" s="706">
        <v>0.4</v>
      </c>
      <c r="F144" s="643">
        <v>0</v>
      </c>
      <c r="G144" s="202"/>
      <c r="H144" s="202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33">
        <v>0</v>
      </c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</row>
    <row r="145" spans="1:43" ht="18" customHeight="1" outlineLevel="1" x14ac:dyDescent="0.15">
      <c r="A145" s="686" t="s">
        <v>595</v>
      </c>
      <c r="B145" s="633">
        <f t="shared" si="49"/>
        <v>0</v>
      </c>
      <c r="C145" s="215"/>
      <c r="D145" s="706">
        <v>0.6</v>
      </c>
      <c r="E145" s="706">
        <v>0.4</v>
      </c>
      <c r="F145" s="643">
        <v>0</v>
      </c>
      <c r="G145" s="202"/>
      <c r="H145" s="202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33">
        <v>0</v>
      </c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</row>
    <row r="146" spans="1:43" ht="18" customHeight="1" outlineLevel="1" x14ac:dyDescent="0.15">
      <c r="A146" s="686" t="s">
        <v>596</v>
      </c>
      <c r="B146" s="633">
        <f t="shared" si="49"/>
        <v>0</v>
      </c>
      <c r="C146" s="215"/>
      <c r="D146" s="706">
        <v>0.6</v>
      </c>
      <c r="E146" s="706">
        <v>0.4</v>
      </c>
      <c r="F146" s="643">
        <v>0</v>
      </c>
      <c r="G146" s="202"/>
      <c r="H146" s="202"/>
      <c r="I146" s="202"/>
      <c r="J146" s="202"/>
      <c r="K146" s="202"/>
      <c r="L146" s="202"/>
      <c r="M146" s="202"/>
      <c r="N146" s="202"/>
      <c r="O146" s="202"/>
      <c r="P146" s="202"/>
      <c r="Q146" s="202"/>
      <c r="R146" s="202"/>
      <c r="S146" s="202"/>
      <c r="T146" s="202"/>
      <c r="U146" s="202"/>
      <c r="V146" s="202"/>
      <c r="W146" s="202"/>
      <c r="X146" s="233">
        <v>0</v>
      </c>
      <c r="Y146" s="202"/>
      <c r="Z146" s="202"/>
      <c r="AA146" s="202"/>
      <c r="AB146" s="202"/>
      <c r="AC146" s="202"/>
      <c r="AD146" s="202"/>
      <c r="AE146" s="202"/>
      <c r="AF146" s="202"/>
      <c r="AG146" s="202"/>
      <c r="AH146" s="202"/>
      <c r="AI146" s="202"/>
      <c r="AJ146" s="202"/>
      <c r="AK146" s="202"/>
      <c r="AL146" s="202"/>
      <c r="AM146" s="202"/>
      <c r="AN146" s="202"/>
      <c r="AO146" s="202"/>
      <c r="AP146" s="202"/>
      <c r="AQ146" s="202"/>
    </row>
    <row r="147" spans="1:43" ht="18" customHeight="1" outlineLevel="1" x14ac:dyDescent="0.15">
      <c r="A147" s="686" t="s">
        <v>597</v>
      </c>
      <c r="B147" s="633">
        <f t="shared" si="49"/>
        <v>0</v>
      </c>
      <c r="C147" s="213"/>
      <c r="D147" s="706">
        <v>0.6</v>
      </c>
      <c r="E147" s="706">
        <v>0.4</v>
      </c>
      <c r="F147" s="643">
        <v>0</v>
      </c>
      <c r="G147" s="202"/>
      <c r="H147" s="202"/>
      <c r="I147" s="202"/>
      <c r="J147" s="202"/>
      <c r="K147" s="202"/>
      <c r="L147" s="202"/>
      <c r="M147" s="202"/>
      <c r="N147" s="202"/>
      <c r="O147" s="202"/>
      <c r="P147" s="202"/>
      <c r="Q147" s="202"/>
      <c r="R147" s="202"/>
      <c r="S147" s="202"/>
      <c r="T147" s="202"/>
      <c r="U147" s="202"/>
      <c r="V147" s="202"/>
      <c r="W147" s="202"/>
      <c r="X147" s="233">
        <v>0</v>
      </c>
      <c r="Y147" s="202"/>
      <c r="Z147" s="202"/>
      <c r="AA147" s="202"/>
      <c r="AB147" s="202"/>
      <c r="AC147" s="202"/>
      <c r="AD147" s="202"/>
      <c r="AE147" s="202"/>
      <c r="AF147" s="202"/>
      <c r="AG147" s="202"/>
      <c r="AH147" s="202"/>
      <c r="AI147" s="202"/>
      <c r="AJ147" s="202"/>
      <c r="AK147" s="202"/>
      <c r="AL147" s="202"/>
      <c r="AM147" s="202"/>
      <c r="AN147" s="202"/>
      <c r="AO147" s="202"/>
      <c r="AP147" s="202"/>
      <c r="AQ147" s="202"/>
    </row>
    <row r="148" spans="1:43" ht="18" customHeight="1" outlineLevel="1" x14ac:dyDescent="0.15">
      <c r="A148" s="686" t="s">
        <v>598</v>
      </c>
      <c r="B148" s="633">
        <f t="shared" si="49"/>
        <v>0</v>
      </c>
      <c r="C148" s="214"/>
      <c r="D148" s="706">
        <v>0.6</v>
      </c>
      <c r="E148" s="706">
        <v>0.4</v>
      </c>
      <c r="F148" s="643">
        <v>0</v>
      </c>
      <c r="G148" s="202"/>
      <c r="H148" s="202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33">
        <v>0</v>
      </c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</row>
    <row r="149" spans="1:43" ht="18" customHeight="1" outlineLevel="1" x14ac:dyDescent="0.15">
      <c r="A149" s="686" t="s">
        <v>599</v>
      </c>
      <c r="B149" s="633">
        <f t="shared" si="49"/>
        <v>0</v>
      </c>
      <c r="C149" s="215"/>
      <c r="D149" s="706">
        <v>0.6</v>
      </c>
      <c r="E149" s="706">
        <v>0.4</v>
      </c>
      <c r="F149" s="643">
        <v>0</v>
      </c>
      <c r="G149" s="202"/>
      <c r="H149" s="202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33">
        <v>0</v>
      </c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</row>
    <row r="150" spans="1:43" ht="18" customHeight="1" outlineLevel="1" x14ac:dyDescent="0.15">
      <c r="A150" s="686" t="s">
        <v>600</v>
      </c>
      <c r="B150" s="633">
        <f t="shared" si="49"/>
        <v>0</v>
      </c>
      <c r="C150" s="215"/>
      <c r="D150" s="706">
        <v>0.6</v>
      </c>
      <c r="E150" s="706">
        <v>0.4</v>
      </c>
      <c r="F150" s="643">
        <v>0</v>
      </c>
      <c r="G150" s="202"/>
      <c r="H150" s="202"/>
      <c r="I150" s="202"/>
      <c r="J150" s="202"/>
      <c r="K150" s="202"/>
      <c r="L150" s="202"/>
      <c r="M150" s="202"/>
      <c r="N150" s="202"/>
      <c r="O150" s="202"/>
      <c r="P150" s="202"/>
      <c r="Q150" s="202"/>
      <c r="R150" s="202"/>
      <c r="S150" s="202"/>
      <c r="T150" s="202"/>
      <c r="U150" s="202"/>
      <c r="V150" s="202"/>
      <c r="W150" s="202"/>
      <c r="X150" s="233">
        <v>0</v>
      </c>
      <c r="Y150" s="202"/>
      <c r="Z150" s="202"/>
      <c r="AA150" s="202"/>
      <c r="AB150" s="202"/>
      <c r="AC150" s="202"/>
      <c r="AD150" s="202"/>
      <c r="AE150" s="202"/>
      <c r="AF150" s="202"/>
      <c r="AG150" s="202"/>
      <c r="AH150" s="202"/>
      <c r="AI150" s="202"/>
      <c r="AJ150" s="202"/>
      <c r="AK150" s="202"/>
      <c r="AL150" s="202"/>
      <c r="AM150" s="202"/>
      <c r="AN150" s="202"/>
      <c r="AO150" s="202"/>
      <c r="AP150" s="202"/>
      <c r="AQ150" s="202"/>
    </row>
    <row r="151" spans="1:43" ht="18" customHeight="1" outlineLevel="1" x14ac:dyDescent="0.15">
      <c r="A151" s="686" t="s">
        <v>601</v>
      </c>
      <c r="B151" s="633">
        <f t="shared" si="49"/>
        <v>0</v>
      </c>
      <c r="C151" s="213"/>
      <c r="D151" s="707">
        <v>0.6</v>
      </c>
      <c r="E151" s="707">
        <v>0.4</v>
      </c>
      <c r="F151" s="644">
        <v>0</v>
      </c>
      <c r="G151" s="202"/>
      <c r="H151" s="202"/>
      <c r="I151" s="202"/>
      <c r="J151" s="202"/>
      <c r="K151" s="202"/>
      <c r="L151" s="202"/>
      <c r="M151" s="202"/>
      <c r="N151" s="202"/>
      <c r="O151" s="202"/>
      <c r="P151" s="202"/>
      <c r="Q151" s="202"/>
      <c r="R151" s="202"/>
      <c r="S151" s="202"/>
      <c r="T151" s="202"/>
      <c r="U151" s="202"/>
      <c r="V151" s="202"/>
      <c r="W151" s="202"/>
      <c r="X151" s="233">
        <v>0</v>
      </c>
      <c r="Y151" s="202"/>
      <c r="Z151" s="202"/>
      <c r="AA151" s="202"/>
      <c r="AB151" s="202"/>
      <c r="AC151" s="202"/>
      <c r="AD151" s="202"/>
      <c r="AE151" s="202"/>
      <c r="AF151" s="202"/>
      <c r="AG151" s="202"/>
      <c r="AH151" s="202"/>
      <c r="AI151" s="202"/>
      <c r="AJ151" s="202"/>
      <c r="AK151" s="202"/>
      <c r="AL151" s="202"/>
      <c r="AM151" s="202"/>
      <c r="AN151" s="202"/>
      <c r="AO151" s="202"/>
      <c r="AP151" s="202"/>
      <c r="AQ151" s="202"/>
    </row>
    <row r="152" spans="1:43" ht="18" customHeight="1" x14ac:dyDescent="0.15">
      <c r="A152" s="221"/>
      <c r="B152" s="219" t="s">
        <v>430</v>
      </c>
      <c r="C152" s="220"/>
      <c r="D152" s="207"/>
      <c r="E152" s="202"/>
      <c r="F152" s="202"/>
      <c r="G152" s="202"/>
      <c r="H152" s="202"/>
      <c r="I152" s="202"/>
      <c r="J152" s="203"/>
      <c r="K152" s="203"/>
      <c r="L152" s="203"/>
      <c r="M152" s="203"/>
      <c r="N152" s="203"/>
      <c r="O152" s="204"/>
      <c r="P152" s="204"/>
      <c r="Q152" s="204"/>
      <c r="R152" s="204"/>
      <c r="S152" s="204"/>
      <c r="T152" s="204"/>
      <c r="U152" s="204"/>
      <c r="V152" s="204"/>
      <c r="W152" s="204"/>
      <c r="X152" s="202"/>
      <c r="Y152" s="202"/>
      <c r="Z152" s="203"/>
      <c r="AA152" s="203"/>
      <c r="AB152" s="203"/>
      <c r="AC152" s="203"/>
      <c r="AD152" s="203"/>
      <c r="AE152" s="204"/>
      <c r="AF152" s="204"/>
      <c r="AG152" s="204"/>
      <c r="AH152" s="204"/>
      <c r="AI152" s="204"/>
      <c r="AJ152" s="204"/>
      <c r="AK152" s="204"/>
      <c r="AL152" s="204"/>
      <c r="AM152" s="204"/>
      <c r="AN152" s="204"/>
      <c r="AO152" s="204"/>
      <c r="AP152" s="204"/>
      <c r="AQ152" s="204"/>
    </row>
    <row r="153" spans="1:43" ht="18" customHeight="1" outlineLevel="1" x14ac:dyDescent="0.15">
      <c r="A153" s="209" t="str">
        <f t="shared" ref="A153:B167" si="50">A137</f>
        <v>1</v>
      </c>
      <c r="B153" s="633" t="str">
        <f t="shared" si="50"/>
        <v>小高层</v>
      </c>
      <c r="C153" s="202"/>
      <c r="D153" s="232">
        <v>1</v>
      </c>
      <c r="E153" s="218"/>
      <c r="F153" s="202"/>
      <c r="G153" s="202"/>
      <c r="H153" s="202"/>
      <c r="I153" s="202"/>
      <c r="J153" s="202"/>
      <c r="K153" s="202"/>
      <c r="L153" s="202"/>
      <c r="M153" s="202"/>
      <c r="N153" s="202"/>
      <c r="O153" s="202"/>
      <c r="P153" s="202"/>
      <c r="Q153" s="202"/>
      <c r="R153" s="202"/>
      <c r="S153" s="202"/>
      <c r="T153" s="202"/>
      <c r="U153" s="202"/>
      <c r="V153" s="202"/>
      <c r="W153" s="202"/>
      <c r="X153" s="202"/>
      <c r="Y153" s="202"/>
      <c r="Z153" s="202"/>
      <c r="AA153" s="202"/>
      <c r="AB153" s="202"/>
      <c r="AC153" s="202"/>
      <c r="AD153" s="202"/>
      <c r="AE153" s="202"/>
      <c r="AF153" s="202"/>
      <c r="AG153" s="202"/>
      <c r="AH153" s="202"/>
      <c r="AI153" s="202"/>
      <c r="AJ153" s="202"/>
      <c r="AK153" s="202"/>
      <c r="AL153" s="202"/>
      <c r="AM153" s="202"/>
      <c r="AN153" s="202"/>
      <c r="AO153" s="202"/>
      <c r="AP153" s="202"/>
      <c r="AQ153" s="202"/>
    </row>
    <row r="154" spans="1:43" ht="18" customHeight="1" outlineLevel="1" x14ac:dyDescent="0.15">
      <c r="A154" s="209" t="str">
        <f t="shared" si="50"/>
        <v>2</v>
      </c>
      <c r="B154" s="633" t="str">
        <f t="shared" si="50"/>
        <v>洋房</v>
      </c>
      <c r="C154" s="202"/>
      <c r="D154" s="232">
        <f>D153</f>
        <v>1</v>
      </c>
      <c r="E154" s="202"/>
      <c r="F154" s="202"/>
      <c r="G154" s="202"/>
      <c r="H154" s="202"/>
      <c r="I154" s="202"/>
      <c r="J154" s="202"/>
      <c r="K154" s="202"/>
      <c r="L154" s="202"/>
      <c r="M154" s="202"/>
      <c r="N154" s="202"/>
      <c r="O154" s="202"/>
      <c r="P154" s="202"/>
      <c r="Q154" s="202"/>
      <c r="R154" s="202"/>
      <c r="S154" s="202"/>
      <c r="T154" s="202"/>
      <c r="U154" s="202"/>
      <c r="V154" s="202"/>
      <c r="W154" s="202"/>
      <c r="X154" s="202"/>
      <c r="Y154" s="202"/>
      <c r="Z154" s="202"/>
      <c r="AA154" s="202"/>
      <c r="AB154" s="202"/>
      <c r="AC154" s="202"/>
      <c r="AD154" s="202"/>
      <c r="AE154" s="202"/>
      <c r="AF154" s="202"/>
      <c r="AG154" s="202"/>
      <c r="AH154" s="202"/>
      <c r="AI154" s="202"/>
      <c r="AJ154" s="202"/>
      <c r="AK154" s="202"/>
      <c r="AL154" s="202"/>
      <c r="AM154" s="202"/>
      <c r="AN154" s="202"/>
      <c r="AO154" s="202"/>
      <c r="AP154" s="202"/>
      <c r="AQ154" s="202"/>
    </row>
    <row r="155" spans="1:43" ht="18" customHeight="1" outlineLevel="1" x14ac:dyDescent="0.15">
      <c r="A155" s="209" t="str">
        <f t="shared" si="50"/>
        <v>3</v>
      </c>
      <c r="B155" s="633" t="str">
        <f t="shared" si="50"/>
        <v>商业</v>
      </c>
      <c r="C155" s="202"/>
      <c r="D155" s="232">
        <f t="shared" ref="D155:D167" si="51">D154</f>
        <v>1</v>
      </c>
      <c r="E155" s="202"/>
      <c r="F155" s="202"/>
      <c r="G155" s="202"/>
      <c r="H155" s="202"/>
      <c r="I155" s="202"/>
      <c r="J155" s="202"/>
      <c r="K155" s="202"/>
      <c r="L155" s="202"/>
      <c r="M155" s="202"/>
      <c r="N155" s="202"/>
      <c r="O155" s="202"/>
      <c r="P155" s="202"/>
      <c r="Q155" s="202"/>
      <c r="R155" s="202"/>
      <c r="S155" s="202"/>
      <c r="T155" s="202"/>
      <c r="U155" s="202"/>
      <c r="V155" s="202"/>
      <c r="W155" s="202"/>
      <c r="X155" s="202"/>
      <c r="Y155" s="202"/>
      <c r="Z155" s="202"/>
      <c r="AA155" s="202"/>
      <c r="AB155" s="202"/>
      <c r="AC155" s="202"/>
      <c r="AD155" s="202"/>
      <c r="AE155" s="202"/>
      <c r="AF155" s="202"/>
      <c r="AG155" s="202"/>
      <c r="AH155" s="202"/>
      <c r="AI155" s="202"/>
      <c r="AJ155" s="202"/>
      <c r="AK155" s="202"/>
      <c r="AL155" s="202"/>
      <c r="AM155" s="202"/>
      <c r="AN155" s="202"/>
      <c r="AO155" s="202"/>
      <c r="AP155" s="202"/>
      <c r="AQ155" s="202"/>
    </row>
    <row r="156" spans="1:43" ht="18" customHeight="1" outlineLevel="1" x14ac:dyDescent="0.15">
      <c r="A156" s="209" t="str">
        <f t="shared" si="50"/>
        <v>4</v>
      </c>
      <c r="B156" s="633" t="str">
        <f t="shared" si="50"/>
        <v>居服配套</v>
      </c>
      <c r="C156" s="202"/>
      <c r="D156" s="232">
        <f t="shared" si="51"/>
        <v>1</v>
      </c>
      <c r="E156" s="202"/>
      <c r="F156" s="202"/>
      <c r="G156" s="202"/>
      <c r="H156" s="202"/>
      <c r="I156" s="202"/>
      <c r="J156" s="202"/>
      <c r="K156" s="202"/>
      <c r="L156" s="202"/>
      <c r="M156" s="202"/>
      <c r="N156" s="202"/>
      <c r="O156" s="202"/>
      <c r="P156" s="202"/>
      <c r="Q156" s="202"/>
      <c r="R156" s="202"/>
      <c r="S156" s="202"/>
      <c r="T156" s="202"/>
      <c r="U156" s="202"/>
      <c r="V156" s="202"/>
      <c r="W156" s="202"/>
      <c r="X156" s="202"/>
      <c r="Y156" s="202"/>
      <c r="Z156" s="202"/>
      <c r="AA156" s="202"/>
      <c r="AB156" s="202"/>
      <c r="AC156" s="202"/>
      <c r="AD156" s="202"/>
      <c r="AE156" s="202"/>
      <c r="AF156" s="202"/>
      <c r="AG156" s="202"/>
      <c r="AH156" s="202"/>
      <c r="AI156" s="202"/>
      <c r="AJ156" s="202"/>
      <c r="AK156" s="202"/>
      <c r="AL156" s="202"/>
      <c r="AM156" s="202"/>
      <c r="AN156" s="202"/>
      <c r="AO156" s="202"/>
      <c r="AP156" s="202"/>
      <c r="AQ156" s="202"/>
    </row>
    <row r="157" spans="1:43" ht="18" customHeight="1" outlineLevel="1" x14ac:dyDescent="0.15">
      <c r="A157" s="209" t="str">
        <f t="shared" si="50"/>
        <v>5</v>
      </c>
      <c r="B157" s="633">
        <f t="shared" si="50"/>
        <v>0</v>
      </c>
      <c r="C157" s="202"/>
      <c r="D157" s="232">
        <f t="shared" si="51"/>
        <v>1</v>
      </c>
      <c r="E157" s="202"/>
      <c r="F157" s="202"/>
      <c r="G157" s="202"/>
      <c r="H157" s="202"/>
      <c r="I157" s="202"/>
      <c r="J157" s="202"/>
      <c r="K157" s="202"/>
      <c r="L157" s="202"/>
      <c r="M157" s="202"/>
      <c r="N157" s="202"/>
      <c r="O157" s="202"/>
      <c r="P157" s="202"/>
      <c r="Q157" s="202"/>
      <c r="R157" s="202"/>
      <c r="S157" s="202"/>
      <c r="T157" s="202"/>
      <c r="U157" s="202"/>
      <c r="V157" s="202"/>
      <c r="W157" s="202"/>
      <c r="X157" s="202"/>
      <c r="Y157" s="202"/>
      <c r="Z157" s="202"/>
      <c r="AA157" s="202"/>
      <c r="AB157" s="202"/>
      <c r="AC157" s="202"/>
      <c r="AD157" s="202"/>
      <c r="AE157" s="202"/>
      <c r="AF157" s="202"/>
      <c r="AG157" s="202"/>
      <c r="AH157" s="202"/>
      <c r="AI157" s="202"/>
      <c r="AJ157" s="202"/>
      <c r="AK157" s="202"/>
      <c r="AL157" s="202"/>
      <c r="AM157" s="202"/>
      <c r="AN157" s="202"/>
      <c r="AO157" s="202"/>
      <c r="AP157" s="202"/>
      <c r="AQ157" s="202"/>
    </row>
    <row r="158" spans="1:43" ht="18" customHeight="1" outlineLevel="1" x14ac:dyDescent="0.15">
      <c r="A158" s="209" t="str">
        <f t="shared" si="50"/>
        <v>6</v>
      </c>
      <c r="B158" s="633">
        <f t="shared" si="50"/>
        <v>0</v>
      </c>
      <c r="C158" s="202"/>
      <c r="D158" s="232">
        <f t="shared" si="51"/>
        <v>1</v>
      </c>
      <c r="E158" s="202"/>
      <c r="F158" s="202"/>
      <c r="G158" s="202"/>
      <c r="H158" s="202"/>
      <c r="I158" s="202"/>
      <c r="J158" s="202"/>
      <c r="K158" s="202"/>
      <c r="L158" s="202"/>
      <c r="M158" s="202"/>
      <c r="N158" s="202"/>
      <c r="O158" s="202"/>
      <c r="P158" s="202"/>
      <c r="Q158" s="202"/>
      <c r="R158" s="202"/>
      <c r="S158" s="202"/>
      <c r="T158" s="202"/>
      <c r="U158" s="202"/>
      <c r="V158" s="202"/>
      <c r="W158" s="202"/>
      <c r="X158" s="202"/>
      <c r="Y158" s="202"/>
      <c r="Z158" s="202"/>
      <c r="AA158" s="202"/>
      <c r="AB158" s="202"/>
      <c r="AC158" s="202"/>
      <c r="AD158" s="202"/>
      <c r="AE158" s="202"/>
      <c r="AF158" s="202"/>
      <c r="AG158" s="202"/>
      <c r="AH158" s="202"/>
      <c r="AI158" s="202"/>
      <c r="AJ158" s="202"/>
      <c r="AK158" s="202"/>
      <c r="AL158" s="202"/>
      <c r="AM158" s="202"/>
      <c r="AN158" s="202"/>
      <c r="AO158" s="202"/>
      <c r="AP158" s="202"/>
      <c r="AQ158" s="202"/>
    </row>
    <row r="159" spans="1:43" ht="18" customHeight="1" outlineLevel="1" x14ac:dyDescent="0.15">
      <c r="A159" s="209" t="str">
        <f t="shared" si="50"/>
        <v>7</v>
      </c>
      <c r="B159" s="633">
        <f t="shared" si="50"/>
        <v>0</v>
      </c>
      <c r="C159" s="202"/>
      <c r="D159" s="232">
        <f t="shared" si="51"/>
        <v>1</v>
      </c>
      <c r="E159" s="202"/>
      <c r="F159" s="202"/>
      <c r="G159" s="202"/>
      <c r="H159" s="202"/>
      <c r="I159" s="202"/>
      <c r="J159" s="202"/>
      <c r="K159" s="202"/>
      <c r="L159" s="202"/>
      <c r="M159" s="202"/>
      <c r="N159" s="202"/>
      <c r="O159" s="202"/>
      <c r="P159" s="202"/>
      <c r="Q159" s="202"/>
      <c r="R159" s="202"/>
      <c r="S159" s="202"/>
      <c r="T159" s="202"/>
      <c r="U159" s="202"/>
      <c r="V159" s="202"/>
      <c r="W159" s="202"/>
      <c r="X159" s="202"/>
      <c r="Y159" s="202"/>
      <c r="Z159" s="202"/>
      <c r="AA159" s="202"/>
      <c r="AB159" s="202"/>
      <c r="AC159" s="202"/>
      <c r="AD159" s="202"/>
      <c r="AE159" s="202"/>
      <c r="AF159" s="202"/>
      <c r="AG159" s="202"/>
      <c r="AH159" s="202"/>
      <c r="AI159" s="202"/>
      <c r="AJ159" s="202"/>
      <c r="AK159" s="202"/>
      <c r="AL159" s="202"/>
      <c r="AM159" s="202"/>
      <c r="AN159" s="202"/>
      <c r="AO159" s="202"/>
      <c r="AP159" s="202"/>
      <c r="AQ159" s="202"/>
    </row>
    <row r="160" spans="1:43" ht="18" customHeight="1" outlineLevel="1" x14ac:dyDescent="0.15">
      <c r="A160" s="209" t="str">
        <f t="shared" si="50"/>
        <v>8</v>
      </c>
      <c r="B160" s="633">
        <f t="shared" si="50"/>
        <v>0</v>
      </c>
      <c r="C160" s="202"/>
      <c r="D160" s="232">
        <f t="shared" si="51"/>
        <v>1</v>
      </c>
      <c r="E160" s="202"/>
      <c r="F160" s="202"/>
      <c r="G160" s="202"/>
      <c r="H160" s="202"/>
      <c r="I160" s="202"/>
      <c r="J160" s="202"/>
      <c r="K160" s="202"/>
      <c r="L160" s="202"/>
      <c r="M160" s="202"/>
      <c r="N160" s="202"/>
      <c r="O160" s="202"/>
      <c r="P160" s="202"/>
      <c r="Q160" s="202"/>
      <c r="R160" s="202"/>
      <c r="S160" s="202"/>
      <c r="T160" s="202"/>
      <c r="U160" s="202"/>
      <c r="V160" s="202"/>
      <c r="W160" s="202"/>
      <c r="X160" s="202"/>
      <c r="Y160" s="202"/>
      <c r="Z160" s="202"/>
      <c r="AA160" s="202"/>
      <c r="AB160" s="202"/>
      <c r="AC160" s="202"/>
      <c r="AD160" s="202"/>
      <c r="AE160" s="202"/>
      <c r="AF160" s="202"/>
      <c r="AG160" s="202"/>
      <c r="AH160" s="202"/>
      <c r="AI160" s="202"/>
      <c r="AJ160" s="202"/>
      <c r="AK160" s="202"/>
      <c r="AL160" s="202"/>
      <c r="AM160" s="202"/>
      <c r="AN160" s="202"/>
      <c r="AO160" s="202"/>
      <c r="AP160" s="202"/>
      <c r="AQ160" s="202"/>
    </row>
    <row r="161" spans="1:43" ht="18" customHeight="1" outlineLevel="1" x14ac:dyDescent="0.15">
      <c r="A161" s="209" t="str">
        <f t="shared" si="50"/>
        <v>9</v>
      </c>
      <c r="B161" s="633">
        <f t="shared" si="50"/>
        <v>0</v>
      </c>
      <c r="C161" s="202"/>
      <c r="D161" s="232">
        <f t="shared" si="51"/>
        <v>1</v>
      </c>
      <c r="E161" s="202"/>
      <c r="F161" s="202"/>
      <c r="G161" s="202"/>
      <c r="H161" s="202"/>
      <c r="I161" s="202"/>
      <c r="J161" s="202"/>
      <c r="K161" s="202"/>
      <c r="L161" s="202"/>
      <c r="M161" s="202"/>
      <c r="N161" s="202"/>
      <c r="O161" s="202"/>
      <c r="P161" s="202"/>
      <c r="Q161" s="202"/>
      <c r="R161" s="202"/>
      <c r="S161" s="202"/>
      <c r="T161" s="202"/>
      <c r="U161" s="202"/>
      <c r="V161" s="202"/>
      <c r="W161" s="202"/>
      <c r="X161" s="202"/>
      <c r="Y161" s="202"/>
      <c r="Z161" s="202"/>
      <c r="AA161" s="202"/>
      <c r="AB161" s="202"/>
      <c r="AC161" s="202"/>
      <c r="AD161" s="202"/>
      <c r="AE161" s="202"/>
      <c r="AF161" s="202"/>
      <c r="AG161" s="202"/>
      <c r="AH161" s="202"/>
      <c r="AI161" s="202"/>
      <c r="AJ161" s="202"/>
      <c r="AK161" s="202"/>
      <c r="AL161" s="202"/>
      <c r="AM161" s="202"/>
      <c r="AN161" s="202"/>
      <c r="AO161" s="202"/>
      <c r="AP161" s="202"/>
      <c r="AQ161" s="202"/>
    </row>
    <row r="162" spans="1:43" ht="18" customHeight="1" outlineLevel="1" x14ac:dyDescent="0.15">
      <c r="A162" s="209" t="str">
        <f t="shared" si="50"/>
        <v>10</v>
      </c>
      <c r="B162" s="633">
        <f t="shared" si="50"/>
        <v>0</v>
      </c>
      <c r="C162" s="202"/>
      <c r="D162" s="232">
        <f t="shared" si="51"/>
        <v>1</v>
      </c>
      <c r="E162" s="202"/>
      <c r="F162" s="202"/>
      <c r="G162" s="202"/>
      <c r="H162" s="202"/>
      <c r="I162" s="202"/>
      <c r="J162" s="202"/>
      <c r="K162" s="202"/>
      <c r="L162" s="202"/>
      <c r="M162" s="202"/>
      <c r="N162" s="202"/>
      <c r="O162" s="202"/>
      <c r="P162" s="202"/>
      <c r="Q162" s="202"/>
      <c r="R162" s="202"/>
      <c r="S162" s="202"/>
      <c r="T162" s="202"/>
      <c r="U162" s="202"/>
      <c r="V162" s="202"/>
      <c r="W162" s="202"/>
      <c r="X162" s="202"/>
      <c r="Y162" s="202"/>
      <c r="Z162" s="202"/>
      <c r="AA162" s="202"/>
      <c r="AB162" s="202"/>
      <c r="AC162" s="202"/>
      <c r="AD162" s="202"/>
      <c r="AE162" s="202"/>
      <c r="AF162" s="202"/>
      <c r="AG162" s="202"/>
      <c r="AH162" s="202"/>
      <c r="AI162" s="202"/>
      <c r="AJ162" s="202"/>
      <c r="AK162" s="202"/>
      <c r="AL162" s="202"/>
      <c r="AM162" s="202"/>
      <c r="AN162" s="202"/>
      <c r="AO162" s="202"/>
      <c r="AP162" s="202"/>
      <c r="AQ162" s="202"/>
    </row>
    <row r="163" spans="1:43" ht="18" customHeight="1" outlineLevel="1" x14ac:dyDescent="0.15">
      <c r="A163" s="209" t="str">
        <f t="shared" si="50"/>
        <v>11</v>
      </c>
      <c r="B163" s="633">
        <f t="shared" si="50"/>
        <v>0</v>
      </c>
      <c r="C163" s="213"/>
      <c r="D163" s="232">
        <f t="shared" si="51"/>
        <v>1</v>
      </c>
      <c r="E163" s="202"/>
      <c r="F163" s="202"/>
      <c r="G163" s="202"/>
      <c r="H163" s="202"/>
      <c r="I163" s="202"/>
      <c r="J163" s="202"/>
      <c r="K163" s="202"/>
      <c r="L163" s="202"/>
      <c r="M163" s="202"/>
      <c r="N163" s="202"/>
      <c r="O163" s="202"/>
      <c r="P163" s="202"/>
      <c r="Q163" s="202"/>
      <c r="R163" s="202"/>
      <c r="S163" s="202"/>
      <c r="T163" s="202"/>
      <c r="U163" s="202"/>
      <c r="V163" s="202"/>
      <c r="W163" s="202"/>
      <c r="X163" s="202"/>
      <c r="Y163" s="202"/>
      <c r="Z163" s="202"/>
      <c r="AA163" s="202"/>
      <c r="AB163" s="202"/>
      <c r="AC163" s="202"/>
      <c r="AD163" s="202"/>
      <c r="AE163" s="202"/>
      <c r="AF163" s="202"/>
      <c r="AG163" s="202"/>
      <c r="AH163" s="202"/>
      <c r="AI163" s="202"/>
      <c r="AJ163" s="202"/>
      <c r="AK163" s="202"/>
      <c r="AL163" s="202"/>
      <c r="AM163" s="202"/>
      <c r="AN163" s="202"/>
      <c r="AO163" s="202"/>
      <c r="AP163" s="202"/>
      <c r="AQ163" s="202"/>
    </row>
    <row r="164" spans="1:43" ht="18" customHeight="1" outlineLevel="1" x14ac:dyDescent="0.15">
      <c r="A164" s="209" t="str">
        <f t="shared" si="50"/>
        <v>12</v>
      </c>
      <c r="B164" s="633">
        <f t="shared" si="50"/>
        <v>0</v>
      </c>
      <c r="C164" s="202"/>
      <c r="D164" s="232">
        <f t="shared" si="51"/>
        <v>1</v>
      </c>
      <c r="E164" s="202"/>
      <c r="F164" s="202"/>
      <c r="G164" s="202"/>
      <c r="H164" s="202"/>
      <c r="I164" s="202"/>
      <c r="J164" s="202"/>
      <c r="K164" s="202"/>
      <c r="L164" s="202"/>
      <c r="M164" s="202"/>
      <c r="N164" s="202"/>
      <c r="O164" s="202"/>
      <c r="P164" s="202"/>
      <c r="Q164" s="202"/>
      <c r="R164" s="202"/>
      <c r="S164" s="202"/>
      <c r="T164" s="202"/>
      <c r="U164" s="202"/>
      <c r="V164" s="202"/>
      <c r="W164" s="202"/>
      <c r="X164" s="202"/>
      <c r="Y164" s="202"/>
      <c r="Z164" s="202"/>
      <c r="AA164" s="202"/>
      <c r="AB164" s="202"/>
      <c r="AC164" s="202"/>
      <c r="AD164" s="202"/>
      <c r="AE164" s="202"/>
      <c r="AF164" s="202"/>
      <c r="AG164" s="202"/>
      <c r="AH164" s="202"/>
      <c r="AI164" s="202"/>
      <c r="AJ164" s="202"/>
      <c r="AK164" s="202"/>
      <c r="AL164" s="202"/>
      <c r="AM164" s="202"/>
      <c r="AN164" s="202"/>
      <c r="AO164" s="202"/>
      <c r="AP164" s="202"/>
      <c r="AQ164" s="202"/>
    </row>
    <row r="165" spans="1:43" ht="18" customHeight="1" outlineLevel="1" x14ac:dyDescent="0.15">
      <c r="A165" s="209" t="str">
        <f t="shared" si="50"/>
        <v>13</v>
      </c>
      <c r="B165" s="633">
        <f t="shared" si="50"/>
        <v>0</v>
      </c>
      <c r="C165" s="202"/>
      <c r="D165" s="232">
        <f t="shared" si="51"/>
        <v>1</v>
      </c>
      <c r="E165" s="202"/>
      <c r="F165" s="202"/>
      <c r="G165" s="202"/>
      <c r="H165" s="202"/>
      <c r="I165" s="202"/>
      <c r="J165" s="202"/>
      <c r="K165" s="202"/>
      <c r="L165" s="202"/>
      <c r="M165" s="202"/>
      <c r="N165" s="202"/>
      <c r="O165" s="202"/>
      <c r="P165" s="202"/>
      <c r="Q165" s="202"/>
      <c r="R165" s="202"/>
      <c r="S165" s="202"/>
      <c r="T165" s="202"/>
      <c r="U165" s="202"/>
      <c r="V165" s="202"/>
      <c r="W165" s="202"/>
      <c r="X165" s="202"/>
      <c r="Y165" s="202"/>
      <c r="Z165" s="202"/>
      <c r="AA165" s="202"/>
      <c r="AB165" s="202"/>
      <c r="AC165" s="202"/>
      <c r="AD165" s="202"/>
      <c r="AE165" s="202"/>
      <c r="AF165" s="202"/>
      <c r="AG165" s="202"/>
      <c r="AH165" s="202"/>
      <c r="AI165" s="202"/>
      <c r="AJ165" s="202"/>
      <c r="AK165" s="202"/>
      <c r="AL165" s="202"/>
      <c r="AM165" s="202"/>
      <c r="AN165" s="202"/>
      <c r="AO165" s="202"/>
      <c r="AP165" s="202"/>
      <c r="AQ165" s="202"/>
    </row>
    <row r="166" spans="1:43" ht="18" customHeight="1" outlineLevel="1" x14ac:dyDescent="0.15">
      <c r="A166" s="209" t="str">
        <f t="shared" si="50"/>
        <v>14</v>
      </c>
      <c r="B166" s="633">
        <f t="shared" si="50"/>
        <v>0</v>
      </c>
      <c r="C166" s="202"/>
      <c r="D166" s="232">
        <f t="shared" si="51"/>
        <v>1</v>
      </c>
      <c r="E166" s="202"/>
      <c r="F166" s="202"/>
      <c r="G166" s="202"/>
      <c r="H166" s="202"/>
      <c r="I166" s="202"/>
      <c r="J166" s="202"/>
      <c r="K166" s="202"/>
      <c r="L166" s="202"/>
      <c r="M166" s="202"/>
      <c r="N166" s="202"/>
      <c r="O166" s="202"/>
      <c r="P166" s="202"/>
      <c r="Q166" s="202"/>
      <c r="R166" s="202"/>
      <c r="S166" s="202"/>
      <c r="T166" s="202"/>
      <c r="U166" s="202"/>
      <c r="V166" s="202"/>
      <c r="W166" s="202"/>
      <c r="X166" s="202"/>
      <c r="Y166" s="202"/>
      <c r="Z166" s="202"/>
      <c r="AA166" s="202"/>
      <c r="AB166" s="202"/>
      <c r="AC166" s="202"/>
      <c r="AD166" s="202"/>
      <c r="AE166" s="202"/>
      <c r="AF166" s="202"/>
      <c r="AG166" s="202"/>
      <c r="AH166" s="202"/>
      <c r="AI166" s="202"/>
      <c r="AJ166" s="202"/>
      <c r="AK166" s="202"/>
      <c r="AL166" s="202"/>
      <c r="AM166" s="202"/>
      <c r="AN166" s="202"/>
      <c r="AO166" s="202"/>
      <c r="AP166" s="202"/>
      <c r="AQ166" s="202"/>
    </row>
    <row r="167" spans="1:43" ht="18" customHeight="1" outlineLevel="1" x14ac:dyDescent="0.15">
      <c r="A167" s="209" t="str">
        <f t="shared" si="50"/>
        <v>15</v>
      </c>
      <c r="B167" s="633">
        <f t="shared" si="50"/>
        <v>0</v>
      </c>
      <c r="C167" s="213"/>
      <c r="D167" s="232">
        <f t="shared" si="51"/>
        <v>1</v>
      </c>
      <c r="E167" s="202"/>
      <c r="F167" s="202"/>
      <c r="G167" s="202"/>
      <c r="H167" s="202"/>
      <c r="I167" s="202"/>
      <c r="J167" s="202"/>
      <c r="K167" s="202"/>
      <c r="L167" s="202"/>
      <c r="M167" s="202"/>
      <c r="N167" s="202"/>
      <c r="O167" s="202"/>
      <c r="P167" s="202"/>
      <c r="Q167" s="202"/>
      <c r="R167" s="202"/>
      <c r="S167" s="202"/>
      <c r="T167" s="202"/>
      <c r="U167" s="202"/>
      <c r="V167" s="202"/>
      <c r="W167" s="202"/>
      <c r="X167" s="202"/>
      <c r="Y167" s="202"/>
      <c r="Z167" s="202"/>
      <c r="AA167" s="202"/>
      <c r="AB167" s="202"/>
      <c r="AC167" s="202"/>
      <c r="AD167" s="202"/>
      <c r="AE167" s="202"/>
      <c r="AF167" s="202"/>
      <c r="AG167" s="202"/>
      <c r="AH167" s="202"/>
      <c r="AI167" s="202"/>
      <c r="AJ167" s="202"/>
      <c r="AK167" s="202"/>
      <c r="AL167" s="202"/>
      <c r="AM167" s="202"/>
      <c r="AN167" s="202"/>
      <c r="AO167" s="202"/>
      <c r="AP167" s="202"/>
      <c r="AQ167" s="202"/>
    </row>
    <row r="168" spans="1:43" ht="18" customHeight="1" x14ac:dyDescent="0.15">
      <c r="B168" s="161"/>
    </row>
  </sheetData>
  <mergeCells count="13">
    <mergeCell ref="L3:O3"/>
    <mergeCell ref="AN3:AQ3"/>
    <mergeCell ref="P3:S3"/>
    <mergeCell ref="T3:W3"/>
    <mergeCell ref="X3:AA3"/>
    <mergeCell ref="AB3:AE3"/>
    <mergeCell ref="AF3:AI3"/>
    <mergeCell ref="AJ3:AM3"/>
    <mergeCell ref="A3:A4"/>
    <mergeCell ref="B3:B4"/>
    <mergeCell ref="C3:C4"/>
    <mergeCell ref="D3:G3"/>
    <mergeCell ref="H3:K3"/>
  </mergeCells>
  <phoneticPr fontId="2" type="noConversion"/>
  <conditionalFormatting sqref="C113">
    <cfRule type="cellIs" dxfId="16" priority="17" stopIfTrue="1" operator="notEqual">
      <formula>$C$7</formula>
    </cfRule>
  </conditionalFormatting>
  <conditionalFormatting sqref="C114">
    <cfRule type="cellIs" dxfId="15" priority="16" stopIfTrue="1" operator="notEqual">
      <formula>$C$8</formula>
    </cfRule>
  </conditionalFormatting>
  <conditionalFormatting sqref="C115">
    <cfRule type="cellIs" dxfId="14" priority="15" stopIfTrue="1" operator="notEqual">
      <formula>$C$15</formula>
    </cfRule>
  </conditionalFormatting>
  <conditionalFormatting sqref="C116">
    <cfRule type="cellIs" dxfId="13" priority="14" stopIfTrue="1" operator="notEqual">
      <formula>$C$22</formula>
    </cfRule>
  </conditionalFormatting>
  <conditionalFormatting sqref="C117">
    <cfRule type="cellIs" dxfId="12" priority="13" stopIfTrue="1" operator="notEqual">
      <formula>$C$29</formula>
    </cfRule>
  </conditionalFormatting>
  <conditionalFormatting sqref="C118">
    <cfRule type="cellIs" dxfId="11" priority="12" stopIfTrue="1" operator="notEqual">
      <formula>$C$36</formula>
    </cfRule>
  </conditionalFormatting>
  <conditionalFormatting sqref="C119">
    <cfRule type="cellIs" dxfId="10" priority="11" stopIfTrue="1" operator="notEqual">
      <formula>$C$43</formula>
    </cfRule>
  </conditionalFormatting>
  <conditionalFormatting sqref="C120">
    <cfRule type="cellIs" dxfId="9" priority="10" stopIfTrue="1" operator="notEqual">
      <formula>$C$50</formula>
    </cfRule>
  </conditionalFormatting>
  <conditionalFormatting sqref="C121">
    <cfRule type="cellIs" dxfId="8" priority="9" stopIfTrue="1" operator="notEqual">
      <formula>$C$57</formula>
    </cfRule>
  </conditionalFormatting>
  <conditionalFormatting sqref="C122">
    <cfRule type="cellIs" dxfId="7" priority="8" stopIfTrue="1" operator="notEqual">
      <formula>$C$64</formula>
    </cfRule>
  </conditionalFormatting>
  <conditionalFormatting sqref="C123">
    <cfRule type="cellIs" dxfId="6" priority="7" stopIfTrue="1" operator="notEqual">
      <formula>$C$71</formula>
    </cfRule>
  </conditionalFormatting>
  <conditionalFormatting sqref="C124">
    <cfRule type="cellIs" dxfId="5" priority="6" stopIfTrue="1" operator="greaterThan">
      <formula>$C$78</formula>
    </cfRule>
  </conditionalFormatting>
  <conditionalFormatting sqref="C125">
    <cfRule type="cellIs" dxfId="4" priority="5" stopIfTrue="1" operator="notEqual">
      <formula>$C$57</formula>
    </cfRule>
  </conditionalFormatting>
  <conditionalFormatting sqref="C126">
    <cfRule type="cellIs" dxfId="3" priority="4" stopIfTrue="1" operator="notEqual">
      <formula>$C$64</formula>
    </cfRule>
  </conditionalFormatting>
  <conditionalFormatting sqref="C127">
    <cfRule type="cellIs" dxfId="2" priority="3" stopIfTrue="1" operator="notEqual">
      <formula>$C$71</formula>
    </cfRule>
  </conditionalFormatting>
  <conditionalFormatting sqref="C128">
    <cfRule type="cellIs" dxfId="1" priority="2" stopIfTrue="1" operator="greaterThan">
      <formula>$C$78</formula>
    </cfRule>
  </conditionalFormatting>
  <conditionalFormatting sqref="C129">
    <cfRule type="cellIs" dxfId="0" priority="1" stopIfTrue="1" operator="notEqual">
      <formula>$C$7</formula>
    </cfRule>
  </conditionalFormatting>
  <pageMargins left="0.7" right="0.7" top="0.75" bottom="0.75" header="0.3" footer="0.3"/>
  <pageSetup paperSize="9" scale="22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P23"/>
  <sheetViews>
    <sheetView view="pageBreakPreview" zoomScaleNormal="100" zoomScaleSheetLayoutView="100" workbookViewId="0">
      <pane ySplit="3" topLeftCell="A4" activePane="bottomLeft" state="frozen"/>
      <selection pane="bottomLeft" activeCell="K27" sqref="A25:K27"/>
    </sheetView>
  </sheetViews>
  <sheetFormatPr defaultColWidth="8.875" defaultRowHeight="18" customHeight="1" x14ac:dyDescent="0.15"/>
  <cols>
    <col min="1" max="1" width="6.5" style="212" customWidth="1"/>
    <col min="2" max="2" width="19.375" style="213" customWidth="1"/>
    <col min="3" max="3" width="8.125" style="213" customWidth="1"/>
    <col min="4" max="4" width="13.5" style="213" customWidth="1"/>
    <col min="5" max="7" width="12.5" style="213" customWidth="1"/>
    <col min="8" max="9" width="1.375" style="213" customWidth="1"/>
    <col min="10" max="10" width="6.5" style="212" customWidth="1"/>
    <col min="11" max="11" width="24.375" style="213" customWidth="1"/>
    <col min="12" max="13" width="10" style="213" customWidth="1"/>
    <col min="14" max="14" width="23.375" style="213" customWidth="1"/>
    <col min="15" max="15" width="25.25" style="213" customWidth="1"/>
    <col min="16" max="16384" width="8.875" style="213"/>
  </cols>
  <sheetData>
    <row r="1" spans="1:16" ht="18" customHeight="1" x14ac:dyDescent="0.15">
      <c r="A1" s="522"/>
      <c r="B1" s="317"/>
      <c r="C1" s="317" t="s">
        <v>209</v>
      </c>
      <c r="D1" s="317"/>
      <c r="E1" s="317"/>
      <c r="F1" s="317"/>
      <c r="G1" s="317"/>
      <c r="H1" s="545"/>
      <c r="J1" s="522"/>
      <c r="K1" s="503"/>
      <c r="L1" s="503" t="s">
        <v>210</v>
      </c>
      <c r="M1" s="503"/>
      <c r="N1" s="503"/>
      <c r="O1" s="524"/>
      <c r="P1" s="524"/>
    </row>
    <row r="2" spans="1:16" ht="18" customHeight="1" x14ac:dyDescent="0.15">
      <c r="A2" s="522"/>
      <c r="B2" s="498" t="s">
        <v>8</v>
      </c>
      <c r="C2" s="317"/>
      <c r="D2" s="317"/>
      <c r="E2" s="317"/>
      <c r="F2" s="317"/>
      <c r="G2" s="317"/>
      <c r="H2" s="545"/>
      <c r="J2" s="522"/>
      <c r="K2" s="498" t="s">
        <v>8</v>
      </c>
      <c r="L2" s="524"/>
      <c r="M2" s="524"/>
      <c r="N2" s="524"/>
      <c r="O2" s="524"/>
      <c r="P2" s="524"/>
    </row>
    <row r="3" spans="1:16" ht="36" customHeight="1" x14ac:dyDescent="0.15">
      <c r="A3" s="499" t="s">
        <v>504</v>
      </c>
      <c r="B3" s="500" t="s">
        <v>211</v>
      </c>
      <c r="C3" s="500" t="s">
        <v>173</v>
      </c>
      <c r="D3" s="500" t="s">
        <v>212</v>
      </c>
      <c r="E3" s="500" t="s">
        <v>505</v>
      </c>
      <c r="F3" s="500" t="s">
        <v>506</v>
      </c>
      <c r="G3" s="500" t="s">
        <v>507</v>
      </c>
      <c r="H3" s="545"/>
      <c r="J3" s="499"/>
      <c r="K3" s="524"/>
      <c r="L3" s="503"/>
      <c r="M3" s="503"/>
      <c r="N3" s="503"/>
      <c r="O3" s="524"/>
      <c r="P3" s="524"/>
    </row>
    <row r="4" spans="1:16" ht="18" customHeight="1" x14ac:dyDescent="0.15">
      <c r="A4" s="516" t="s">
        <v>213</v>
      </c>
      <c r="B4" s="517" t="s">
        <v>214</v>
      </c>
      <c r="C4" s="518"/>
      <c r="D4" s="518"/>
      <c r="E4" s="518"/>
      <c r="F4" s="518"/>
      <c r="G4" s="518" t="e">
        <f>G5-G6</f>
        <v>#REF!</v>
      </c>
      <c r="H4" s="545"/>
      <c r="J4" s="516" t="s">
        <v>55</v>
      </c>
      <c r="K4" s="491" t="s">
        <v>527</v>
      </c>
      <c r="L4" s="517"/>
      <c r="M4" s="507" t="e">
        <f>E5-G4</f>
        <v>#REF!</v>
      </c>
      <c r="N4" s="492" t="s">
        <v>216</v>
      </c>
      <c r="O4" s="492"/>
    </row>
    <row r="5" spans="1:16" ht="18" customHeight="1" x14ac:dyDescent="0.15">
      <c r="A5" s="229">
        <v>1.1000000000000001</v>
      </c>
      <c r="B5" s="229" t="s">
        <v>217</v>
      </c>
      <c r="C5" s="513">
        <f>基础数据!C22</f>
        <v>0.09</v>
      </c>
      <c r="D5" s="515">
        <v>1</v>
      </c>
      <c r="E5" s="526" t="e">
        <f>#REF!</f>
        <v>#REF!</v>
      </c>
      <c r="F5" s="526" t="e">
        <f>E5-G5</f>
        <v>#REF!</v>
      </c>
      <c r="G5" s="526" t="e">
        <f>E5*D5*C5/(1+C5)</f>
        <v>#REF!</v>
      </c>
      <c r="H5" s="545"/>
      <c r="J5" s="519" t="s">
        <v>56</v>
      </c>
      <c r="K5" s="491" t="s">
        <v>218</v>
      </c>
      <c r="L5" s="517"/>
      <c r="M5" s="507" t="e">
        <f>SUM(M6:M9)</f>
        <v>#REF!</v>
      </c>
      <c r="N5" s="493" t="s">
        <v>508</v>
      </c>
      <c r="O5" s="493" t="s">
        <v>219</v>
      </c>
    </row>
    <row r="6" spans="1:16" ht="18" customHeight="1" x14ac:dyDescent="0.15">
      <c r="A6" s="229">
        <v>1.2</v>
      </c>
      <c r="B6" s="229" t="s">
        <v>220</v>
      </c>
      <c r="C6" s="515">
        <v>0.09</v>
      </c>
      <c r="D6" s="515">
        <v>1</v>
      </c>
      <c r="E6" s="526">
        <f>'主表1（成本）'!B15</f>
        <v>187119</v>
      </c>
      <c r="F6" s="526">
        <f>E6-G6</f>
        <v>171669</v>
      </c>
      <c r="G6" s="526">
        <f>E6*D6*C6/(1+C6)</f>
        <v>15450</v>
      </c>
      <c r="H6" s="545"/>
      <c r="J6" s="229" t="s">
        <v>221</v>
      </c>
      <c r="K6" s="504" t="s">
        <v>169</v>
      </c>
      <c r="M6" s="506">
        <f>E6+SUM(E8:E14)</f>
        <v>288102</v>
      </c>
      <c r="N6" s="493" t="s">
        <v>222</v>
      </c>
      <c r="O6" s="493">
        <v>0</v>
      </c>
    </row>
    <row r="7" spans="1:16" ht="18" customHeight="1" x14ac:dyDescent="0.15">
      <c r="A7" s="519">
        <v>2</v>
      </c>
      <c r="B7" s="517" t="s">
        <v>223</v>
      </c>
      <c r="C7" s="520"/>
      <c r="D7" s="520"/>
      <c r="E7" s="521">
        <f>SUM(E8:E14)</f>
        <v>100983</v>
      </c>
      <c r="F7" s="521">
        <f>SUM(F8:F14)</f>
        <v>95103</v>
      </c>
      <c r="G7" s="521">
        <f>SUM(G8:G14)</f>
        <v>5880</v>
      </c>
      <c r="H7" s="545"/>
      <c r="J7" s="527" t="s">
        <v>224</v>
      </c>
      <c r="K7" s="504" t="s">
        <v>225</v>
      </c>
      <c r="M7" s="506">
        <f>M6*10%</f>
        <v>28810</v>
      </c>
      <c r="N7" s="493" t="s">
        <v>226</v>
      </c>
      <c r="O7" s="494" t="s">
        <v>227</v>
      </c>
    </row>
    <row r="8" spans="1:16" ht="18" customHeight="1" x14ac:dyDescent="0.15">
      <c r="A8" s="229">
        <v>2.1</v>
      </c>
      <c r="B8" s="504" t="s">
        <v>228</v>
      </c>
      <c r="C8" s="515">
        <v>0.06</v>
      </c>
      <c r="D8" s="514">
        <v>0.8</v>
      </c>
      <c r="E8" s="526">
        <f>'主表1（成本）'!B22</f>
        <v>4826</v>
      </c>
      <c r="F8" s="526">
        <f t="shared" ref="F8:F14" si="0">E8-G8</f>
        <v>4607</v>
      </c>
      <c r="G8" s="526">
        <f>E8*D8/(1+C8)*C8</f>
        <v>219</v>
      </c>
      <c r="H8" s="545"/>
      <c r="J8" s="229" t="s">
        <v>229</v>
      </c>
      <c r="K8" s="511" t="s">
        <v>230</v>
      </c>
      <c r="M8" s="506" t="e">
        <f>G15*12%</f>
        <v>#REF!</v>
      </c>
      <c r="N8" s="493" t="s">
        <v>231</v>
      </c>
      <c r="O8" s="494" t="s">
        <v>232</v>
      </c>
    </row>
    <row r="9" spans="1:16" ht="18" customHeight="1" x14ac:dyDescent="0.15">
      <c r="A9" s="229">
        <v>2.2000000000000002</v>
      </c>
      <c r="B9" s="504" t="s">
        <v>233</v>
      </c>
      <c r="C9" s="515">
        <v>0.09</v>
      </c>
      <c r="D9" s="514">
        <v>0.8</v>
      </c>
      <c r="E9" s="526">
        <f>'主表1（成本）'!B28</f>
        <v>75008</v>
      </c>
      <c r="F9" s="526">
        <f t="shared" si="0"/>
        <v>70053</v>
      </c>
      <c r="G9" s="526">
        <f t="shared" ref="G9:G14" si="1">E9*D9/(1+C9)*C9</f>
        <v>4955</v>
      </c>
      <c r="H9" s="545"/>
      <c r="J9" s="229" t="s">
        <v>234</v>
      </c>
      <c r="K9" s="504" t="s">
        <v>235</v>
      </c>
      <c r="M9" s="506">
        <f>M6*20%</f>
        <v>57620</v>
      </c>
      <c r="N9" s="493" t="s">
        <v>236</v>
      </c>
      <c r="O9" s="494" t="s">
        <v>237</v>
      </c>
    </row>
    <row r="10" spans="1:16" ht="18" customHeight="1" x14ac:dyDescent="0.15">
      <c r="A10" s="229">
        <v>2.2999999999999998</v>
      </c>
      <c r="B10" s="504" t="s">
        <v>238</v>
      </c>
      <c r="C10" s="515">
        <v>0.09</v>
      </c>
      <c r="D10" s="514">
        <v>0.8</v>
      </c>
      <c r="E10" s="526">
        <f>'主表1（成本）'!B29</f>
        <v>2334</v>
      </c>
      <c r="F10" s="526">
        <f t="shared" si="0"/>
        <v>2180</v>
      </c>
      <c r="G10" s="526">
        <f t="shared" si="1"/>
        <v>154</v>
      </c>
      <c r="H10" s="545"/>
      <c r="J10" s="519" t="s">
        <v>57</v>
      </c>
      <c r="K10" s="491" t="s">
        <v>171</v>
      </c>
      <c r="L10" s="517"/>
      <c r="M10" s="507" t="e">
        <f>M4-M5</f>
        <v>#REF!</v>
      </c>
      <c r="N10" s="493" t="s">
        <v>239</v>
      </c>
      <c r="O10" s="494" t="s">
        <v>240</v>
      </c>
    </row>
    <row r="11" spans="1:16" ht="18" customHeight="1" x14ac:dyDescent="0.15">
      <c r="A11" s="229">
        <v>2.4</v>
      </c>
      <c r="B11" s="504" t="s">
        <v>241</v>
      </c>
      <c r="C11" s="515">
        <v>0.09</v>
      </c>
      <c r="D11" s="514">
        <v>0.8</v>
      </c>
      <c r="E11" s="526">
        <f>'主表1（成本）'!B30</f>
        <v>3501</v>
      </c>
      <c r="F11" s="526">
        <f t="shared" si="0"/>
        <v>3270</v>
      </c>
      <c r="G11" s="526">
        <f t="shared" si="1"/>
        <v>231</v>
      </c>
      <c r="H11" s="545"/>
      <c r="J11" s="519" t="s">
        <v>159</v>
      </c>
      <c r="K11" s="491" t="s">
        <v>242</v>
      </c>
      <c r="L11" s="517"/>
      <c r="M11" s="512" t="e">
        <f>M10/M5</f>
        <v>#REF!</v>
      </c>
      <c r="N11" s="492" t="s">
        <v>243</v>
      </c>
      <c r="O11" s="495" t="str">
        <f>基础数据!C45</f>
        <v>否</v>
      </c>
    </row>
    <row r="12" spans="1:16" ht="18" customHeight="1" x14ac:dyDescent="0.15">
      <c r="A12" s="229">
        <v>2.6</v>
      </c>
      <c r="B12" s="504" t="s">
        <v>244</v>
      </c>
      <c r="C12" s="515">
        <v>0.09</v>
      </c>
      <c r="D12" s="514">
        <v>0</v>
      </c>
      <c r="E12" s="526">
        <f>'主表1（成本）'!B35</f>
        <v>2744</v>
      </c>
      <c r="F12" s="526">
        <f t="shared" si="0"/>
        <v>2744</v>
      </c>
      <c r="G12" s="526">
        <f t="shared" si="1"/>
        <v>0</v>
      </c>
      <c r="H12" s="545"/>
      <c r="J12" s="519" t="s">
        <v>160</v>
      </c>
      <c r="K12" s="546" t="s">
        <v>245</v>
      </c>
      <c r="L12" s="517"/>
      <c r="M12" s="507" t="e">
        <f>IF(M11&gt;0,IF(M11&lt;=20%,IF(O11="是",O6,O7),IF(M11&lt;=50%,O7,IF(M11&lt;=100%,O8,IF(M11&lt;=200%,O9,O10)))),O6)</f>
        <v>#REF!</v>
      </c>
      <c r="N12" s="492"/>
      <c r="O12" s="496"/>
    </row>
    <row r="13" spans="1:16" ht="18" customHeight="1" x14ac:dyDescent="0.15">
      <c r="A13" s="229">
        <v>2.7</v>
      </c>
      <c r="B13" s="504" t="s">
        <v>246</v>
      </c>
      <c r="C13" s="515">
        <v>0.06</v>
      </c>
      <c r="D13" s="514">
        <v>0</v>
      </c>
      <c r="E13" s="526">
        <f>'主表1（成本）'!B33</f>
        <v>5488</v>
      </c>
      <c r="F13" s="526">
        <f t="shared" si="0"/>
        <v>5488</v>
      </c>
      <c r="G13" s="526">
        <f t="shared" si="1"/>
        <v>0</v>
      </c>
      <c r="H13" s="545"/>
      <c r="J13" s="505" t="s">
        <v>161</v>
      </c>
      <c r="K13" s="503" t="s">
        <v>247</v>
      </c>
      <c r="L13" s="317"/>
      <c r="M13" s="508" t="e">
        <f>IF(M11&gt;0,IF(M11&lt;=20%,IF(O11="是",O6,M10*30%),IF(M11&lt;=50%,M10*30%,IF(M11&lt;=100%,M10*40%-M5*5%,IF(M11&lt;=200%,M10*50%-M5*15%,M10*60%-M5*35%)))),O6)</f>
        <v>#REF!</v>
      </c>
      <c r="N13" s="509"/>
      <c r="O13" s="510"/>
      <c r="P13" s="523"/>
    </row>
    <row r="14" spans="1:16" ht="18" customHeight="1" x14ac:dyDescent="0.15">
      <c r="A14" s="229">
        <v>2.8</v>
      </c>
      <c r="B14" s="504" t="s">
        <v>248</v>
      </c>
      <c r="C14" s="515">
        <v>0.06</v>
      </c>
      <c r="D14" s="514">
        <v>0.8</v>
      </c>
      <c r="E14" s="526">
        <f>'主表1（成本）'!B32</f>
        <v>7082</v>
      </c>
      <c r="F14" s="526">
        <f t="shared" si="0"/>
        <v>6761</v>
      </c>
      <c r="G14" s="526">
        <f t="shared" si="1"/>
        <v>321</v>
      </c>
      <c r="H14" s="545"/>
      <c r="J14" s="229"/>
    </row>
    <row r="15" spans="1:16" ht="18" customHeight="1" x14ac:dyDescent="0.15">
      <c r="A15" s="505">
        <v>3</v>
      </c>
      <c r="B15" s="502" t="s">
        <v>509</v>
      </c>
      <c r="C15" s="501"/>
      <c r="D15" s="501"/>
      <c r="E15" s="501"/>
      <c r="F15" s="501"/>
      <c r="G15" s="501" t="e">
        <f>G4-G7</f>
        <v>#REF!</v>
      </c>
      <c r="H15" s="545"/>
      <c r="J15" s="519"/>
    </row>
    <row r="16" spans="1:16" ht="18" customHeight="1" x14ac:dyDescent="0.15">
      <c r="H16" s="545"/>
    </row>
    <row r="17" spans="1:10" ht="18" customHeight="1" x14ac:dyDescent="0.15">
      <c r="A17" s="525" t="s">
        <v>518</v>
      </c>
      <c r="B17" s="525"/>
      <c r="H17" s="545"/>
      <c r="J17" s="497"/>
    </row>
    <row r="18" spans="1:10" ht="18" customHeight="1" x14ac:dyDescent="0.15">
      <c r="A18" s="528"/>
      <c r="B18" s="529"/>
      <c r="C18" s="528" t="s">
        <v>510</v>
      </c>
      <c r="D18" s="529"/>
      <c r="E18" s="532" t="s">
        <v>511</v>
      </c>
      <c r="F18" s="532" t="s">
        <v>512</v>
      </c>
      <c r="G18" s="532" t="s">
        <v>513</v>
      </c>
      <c r="H18" s="545"/>
      <c r="J18" s="213"/>
    </row>
    <row r="19" spans="1:10" ht="18" customHeight="1" x14ac:dyDescent="0.15">
      <c r="A19" s="528"/>
      <c r="B19" s="544" t="s">
        <v>520</v>
      </c>
      <c r="C19" s="543"/>
      <c r="D19" s="531" t="s">
        <v>514</v>
      </c>
      <c r="E19" s="542"/>
      <c r="F19" s="330">
        <f>ROUND(C19*E19/10000,0)</f>
        <v>0</v>
      </c>
      <c r="G19" s="330">
        <f>ROUND(F19/(1+$C$5)*$C$5,0)</f>
        <v>0</v>
      </c>
      <c r="H19" s="545"/>
    </row>
    <row r="20" spans="1:10" ht="18" customHeight="1" x14ac:dyDescent="0.15">
      <c r="A20" s="528"/>
      <c r="B20" s="544" t="s">
        <v>520</v>
      </c>
      <c r="C20" s="543"/>
      <c r="D20" s="531" t="s">
        <v>515</v>
      </c>
      <c r="E20" s="542"/>
      <c r="F20" s="330">
        <f>ROUND(C20*E20/10000,0)</f>
        <v>0</v>
      </c>
      <c r="G20" s="330">
        <f>ROUND(F20/(1+$C$5)*$C$5,0)</f>
        <v>0</v>
      </c>
      <c r="H20" s="545"/>
    </row>
    <row r="21" spans="1:10" ht="18" customHeight="1" x14ac:dyDescent="0.15">
      <c r="A21" s="528"/>
      <c r="B21" s="544" t="s">
        <v>520</v>
      </c>
      <c r="C21" s="543"/>
      <c r="D21" s="531"/>
      <c r="E21" s="542"/>
      <c r="F21" s="330">
        <f>ROUND(C21*E21/10000,0)</f>
        <v>0</v>
      </c>
      <c r="G21" s="330">
        <f>ROUND(F21/(1+$C$5)*$C$5,0)</f>
        <v>0</v>
      </c>
      <c r="H21" s="545"/>
    </row>
    <row r="22" spans="1:10" ht="18" customHeight="1" x14ac:dyDescent="0.15">
      <c r="A22" s="528"/>
      <c r="B22" s="544" t="s">
        <v>516</v>
      </c>
      <c r="C22" s="543"/>
      <c r="D22" s="531"/>
      <c r="E22" s="542"/>
      <c r="F22" s="330">
        <f>ROUND(C22*E22/10000,0)</f>
        <v>0</v>
      </c>
      <c r="G22" s="330">
        <f>ROUND(F22/(1+$C$5)*$C$5,0)</f>
        <v>0</v>
      </c>
      <c r="H22" s="545"/>
    </row>
    <row r="23" spans="1:10" ht="18" customHeight="1" x14ac:dyDescent="0.15">
      <c r="A23" s="528"/>
      <c r="B23" s="531" t="s">
        <v>517</v>
      </c>
      <c r="C23" s="530"/>
      <c r="D23" s="531"/>
      <c r="E23" s="330"/>
      <c r="F23" s="330">
        <f>SUM(F19:F22)</f>
        <v>0</v>
      </c>
      <c r="G23" s="330">
        <f>SUM(G19:G22)</f>
        <v>0</v>
      </c>
      <c r="H23" s="545"/>
    </row>
  </sheetData>
  <phoneticPr fontId="2" type="noConversion"/>
  <pageMargins left="0.7" right="0.7" top="0.75" bottom="0.75" header="0.3" footer="0.3"/>
  <pageSetup paperSize="9" scale="41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AA34"/>
  <sheetViews>
    <sheetView topLeftCell="A4" workbookViewId="0">
      <selection activeCell="K25" sqref="K25"/>
    </sheetView>
  </sheetViews>
  <sheetFormatPr defaultColWidth="8.875" defaultRowHeight="14.25" x14ac:dyDescent="0.15"/>
  <cols>
    <col min="1" max="1" width="8.875" customWidth="1"/>
    <col min="2" max="2" width="21.375" bestFit="1" customWidth="1"/>
    <col min="3" max="3" width="6" bestFit="1" customWidth="1"/>
  </cols>
  <sheetData>
    <row r="1" spans="1:27" ht="26.25" customHeight="1" x14ac:dyDescent="0.15">
      <c r="A1" s="118"/>
      <c r="B1" s="846" t="s">
        <v>275</v>
      </c>
      <c r="C1" s="846"/>
      <c r="D1" s="846"/>
      <c r="E1" s="846"/>
      <c r="F1" s="846"/>
      <c r="G1" s="846"/>
      <c r="H1" s="846"/>
      <c r="I1" s="846"/>
      <c r="J1" s="846"/>
      <c r="K1" s="846"/>
      <c r="L1" s="846"/>
      <c r="M1" s="846"/>
      <c r="N1" s="846"/>
      <c r="O1" s="846"/>
      <c r="P1" s="846"/>
      <c r="Q1" s="846"/>
      <c r="R1" s="846"/>
      <c r="S1" s="846"/>
      <c r="T1" s="846"/>
      <c r="U1" s="846"/>
      <c r="V1" s="846"/>
      <c r="W1" s="846"/>
      <c r="X1" s="846"/>
      <c r="Y1" s="846"/>
      <c r="Z1" s="846"/>
      <c r="AA1" s="846"/>
    </row>
    <row r="2" spans="1:27" ht="36.75" customHeight="1" x14ac:dyDescent="0.15">
      <c r="A2" s="119" t="s">
        <v>276</v>
      </c>
      <c r="B2" s="847" t="str">
        <f>基础数据!C5</f>
        <v>北京市密云区檀营乡6005地块R2二类居住用地（编号：京土整储挂（密）[2021]026号）居住项目</v>
      </c>
      <c r="C2" s="847"/>
      <c r="D2" s="847"/>
      <c r="E2" s="847"/>
      <c r="F2" s="120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18"/>
    </row>
    <row r="3" spans="1:27" x14ac:dyDescent="0.15">
      <c r="A3" s="122" t="s">
        <v>277</v>
      </c>
      <c r="B3" s="122" t="s">
        <v>278</v>
      </c>
      <c r="C3" s="848" t="str">
        <f>'主表1（成本）'!C3</f>
        <v>2021年</v>
      </c>
      <c r="D3" s="849"/>
      <c r="E3" s="849"/>
      <c r="F3" s="850"/>
      <c r="G3" s="848" t="str">
        <f>'主表1（成本）'!G3</f>
        <v>2022年</v>
      </c>
      <c r="H3" s="849"/>
      <c r="I3" s="849"/>
      <c r="J3" s="850"/>
      <c r="K3" s="848" t="str">
        <f>'主表1（成本）'!K3</f>
        <v>2023年</v>
      </c>
      <c r="L3" s="849"/>
      <c r="M3" s="849"/>
      <c r="N3" s="850"/>
      <c r="O3" s="848" t="str">
        <f>'主表1（成本）'!O3</f>
        <v>2024年</v>
      </c>
      <c r="P3" s="849"/>
      <c r="Q3" s="849"/>
      <c r="R3" s="850"/>
      <c r="S3" s="848" t="str">
        <f>'主表1（成本）'!S3</f>
        <v>2025年</v>
      </c>
      <c r="T3" s="849"/>
      <c r="U3" s="849"/>
      <c r="V3" s="850"/>
      <c r="W3" s="848" t="str">
        <f>'主表1（成本）'!AM3</f>
        <v>2030年</v>
      </c>
      <c r="X3" s="849"/>
      <c r="Y3" s="849"/>
      <c r="Z3" s="850"/>
      <c r="AA3" s="122" t="s">
        <v>279</v>
      </c>
    </row>
    <row r="4" spans="1:27" x14ac:dyDescent="0.15">
      <c r="A4" s="122"/>
      <c r="B4" s="122"/>
      <c r="C4" s="122" t="str">
        <f>'主表1（成本）'!C4</f>
        <v>Q1</v>
      </c>
      <c r="D4" s="122" t="str">
        <f>'主表1（成本）'!D4</f>
        <v>Q2</v>
      </c>
      <c r="E4" s="122" t="str">
        <f>'主表1（成本）'!E4</f>
        <v>Q3</v>
      </c>
      <c r="F4" s="122" t="str">
        <f>'主表1（成本）'!F4</f>
        <v>Q4</v>
      </c>
      <c r="G4" s="122" t="str">
        <f>'主表1（成本）'!G4</f>
        <v>Q1</v>
      </c>
      <c r="H4" s="122" t="str">
        <f>'主表1（成本）'!H4</f>
        <v>Q2</v>
      </c>
      <c r="I4" s="122" t="str">
        <f>'主表1（成本）'!I4</f>
        <v>Q3</v>
      </c>
      <c r="J4" s="122" t="str">
        <f>'主表1（成本）'!J4</f>
        <v>Q4</v>
      </c>
      <c r="K4" s="122" t="str">
        <f>'主表1（成本）'!K4</f>
        <v>Q1</v>
      </c>
      <c r="L4" s="122" t="str">
        <f>'主表1（成本）'!L4</f>
        <v>Q2</v>
      </c>
      <c r="M4" s="122" t="str">
        <f>'主表1（成本）'!M4</f>
        <v>Q3</v>
      </c>
      <c r="N4" s="122" t="str">
        <f>'主表1（成本）'!N4</f>
        <v>Q4</v>
      </c>
      <c r="O4" s="122" t="str">
        <f>'主表1（成本）'!O4</f>
        <v>Q1</v>
      </c>
      <c r="P4" s="122" t="str">
        <f>'主表1（成本）'!P4</f>
        <v>Q2</v>
      </c>
      <c r="Q4" s="122" t="str">
        <f>'主表1（成本）'!Q4</f>
        <v>Q3</v>
      </c>
      <c r="R4" s="122" t="str">
        <f>'主表1（成本）'!R4</f>
        <v>Q4</v>
      </c>
      <c r="S4" s="122" t="str">
        <f>'主表1（成本）'!S4</f>
        <v>Q1</v>
      </c>
      <c r="T4" s="122" t="str">
        <f>'主表1（成本）'!T4</f>
        <v>Q2</v>
      </c>
      <c r="U4" s="122" t="str">
        <f>'主表1（成本）'!U4</f>
        <v>Q3</v>
      </c>
      <c r="V4" s="122" t="str">
        <f>'主表1（成本）'!V4</f>
        <v>Q4</v>
      </c>
      <c r="W4" s="122" t="str">
        <f>'主表1（成本）'!AM4</f>
        <v>Q1</v>
      </c>
      <c r="X4" s="122" t="str">
        <f>'主表1（成本）'!AN4</f>
        <v>Q2</v>
      </c>
      <c r="Y4" s="122" t="str">
        <f>'主表1（成本）'!AO4</f>
        <v>Q3</v>
      </c>
      <c r="Z4" s="122" t="str">
        <f>'主表1（成本）'!AP4</f>
        <v>Q4</v>
      </c>
      <c r="AA4" s="122"/>
    </row>
    <row r="5" spans="1:27" x14ac:dyDescent="0.15">
      <c r="A5" s="122">
        <v>1</v>
      </c>
      <c r="B5" s="123" t="s">
        <v>280</v>
      </c>
      <c r="C5" s="124">
        <f t="shared" ref="C5:H5" si="0">SUM(C6:C8)</f>
        <v>0</v>
      </c>
      <c r="D5" s="124">
        <f t="shared" si="0"/>
        <v>0</v>
      </c>
      <c r="E5" s="124">
        <f t="shared" si="0"/>
        <v>0</v>
      </c>
      <c r="F5" s="124"/>
      <c r="G5" s="124"/>
      <c r="H5" s="124">
        <f t="shared" si="0"/>
        <v>44544</v>
      </c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</row>
    <row r="6" spans="1:27" x14ac:dyDescent="0.15">
      <c r="A6" s="122">
        <v>2</v>
      </c>
      <c r="B6" s="123" t="s">
        <v>281</v>
      </c>
      <c r="C6" s="124">
        <f>'主表5（资金来源与运用）'!C28</f>
        <v>0</v>
      </c>
      <c r="D6" s="124">
        <f>'主表5（资金来源与运用）'!D28</f>
        <v>0</v>
      </c>
      <c r="E6" s="124">
        <f>'主表5（资金来源与运用）'!E28</f>
        <v>0</v>
      </c>
      <c r="F6" s="124">
        <f>'主表5（资金来源与运用）'!F28</f>
        <v>29794</v>
      </c>
      <c r="G6" s="124">
        <f>'主表5（资金来源与运用）'!G28</f>
        <v>34703</v>
      </c>
      <c r="H6" s="124">
        <f>'主表5（资金来源与运用）'!H28</f>
        <v>44544</v>
      </c>
      <c r="I6" s="124">
        <f>'主表5（资金来源与运用）'!I28</f>
        <v>43872</v>
      </c>
      <c r="J6" s="124">
        <f>'主表5（资金来源与运用）'!J28</f>
        <v>26584</v>
      </c>
      <c r="K6" s="124">
        <f>'主表5（资金来源与运用）'!K28</f>
        <v>27704</v>
      </c>
      <c r="L6" s="124">
        <f>'主表5（资金来源与运用）'!L28</f>
        <v>15019</v>
      </c>
      <c r="M6" s="124">
        <f>'主表5（资金来源与运用）'!M28</f>
        <v>8409</v>
      </c>
      <c r="N6" s="124">
        <f>'主表5（资金来源与运用）'!N28</f>
        <v>4011</v>
      </c>
      <c r="O6" s="124">
        <f>'主表5（资金来源与运用）'!O28</f>
        <v>393</v>
      </c>
      <c r="P6" s="124">
        <f>'主表5（资金来源与运用）'!P28</f>
        <v>4003</v>
      </c>
      <c r="Q6" s="124">
        <f>'主表5（资金来源与运用）'!Q28</f>
        <v>0</v>
      </c>
      <c r="R6" s="124">
        <f>'主表5（资金来源与运用）'!R28</f>
        <v>0</v>
      </c>
      <c r="S6" s="124">
        <f>'主表5（资金来源与运用）'!S28</f>
        <v>0</v>
      </c>
      <c r="T6" s="124">
        <f>'主表5（资金来源与运用）'!T28</f>
        <v>0</v>
      </c>
      <c r="U6" s="124">
        <f>'主表5（资金来源与运用）'!U28</f>
        <v>0</v>
      </c>
      <c r="V6" s="124">
        <f>'主表5（资金来源与运用）'!V28</f>
        <v>0</v>
      </c>
      <c r="W6" s="124">
        <f>'主表5（资金来源与运用）'!AM28</f>
        <v>0</v>
      </c>
      <c r="X6" s="124">
        <f>'主表5（资金来源与运用）'!AN28</f>
        <v>0</v>
      </c>
      <c r="Y6" s="124">
        <f>'主表5（资金来源与运用）'!AO28</f>
        <v>0</v>
      </c>
      <c r="Z6" s="124">
        <f>'主表5（资金来源与运用）'!AP28</f>
        <v>0</v>
      </c>
      <c r="AA6" s="124">
        <f>SUM(C6:Z6)</f>
        <v>239036</v>
      </c>
    </row>
    <row r="7" spans="1:27" x14ac:dyDescent="0.15">
      <c r="A7" s="122">
        <v>3</v>
      </c>
      <c r="B7" s="123" t="s">
        <v>282</v>
      </c>
      <c r="C7" s="124"/>
      <c r="D7" s="124">
        <f>C34</f>
        <v>0</v>
      </c>
      <c r="E7" s="124">
        <f>D34</f>
        <v>0</v>
      </c>
      <c r="F7" s="124">
        <f t="shared" ref="F7:Z7" si="1">E34</f>
        <v>0</v>
      </c>
      <c r="G7" s="124">
        <f t="shared" si="1"/>
        <v>0</v>
      </c>
      <c r="H7" s="124">
        <f t="shared" si="1"/>
        <v>0</v>
      </c>
      <c r="I7" s="124">
        <f t="shared" si="1"/>
        <v>44544</v>
      </c>
      <c r="J7" s="124">
        <f t="shared" si="1"/>
        <v>0</v>
      </c>
      <c r="K7" s="124">
        <f t="shared" si="1"/>
        <v>0</v>
      </c>
      <c r="L7" s="124">
        <f t="shared" si="1"/>
        <v>0</v>
      </c>
      <c r="M7" s="124">
        <f t="shared" si="1"/>
        <v>0</v>
      </c>
      <c r="N7" s="124">
        <f t="shared" si="1"/>
        <v>0</v>
      </c>
      <c r="O7" s="124">
        <f t="shared" si="1"/>
        <v>0</v>
      </c>
      <c r="P7" s="124">
        <f t="shared" si="1"/>
        <v>0</v>
      </c>
      <c r="Q7" s="124">
        <f t="shared" si="1"/>
        <v>0</v>
      </c>
      <c r="R7" s="124">
        <f t="shared" si="1"/>
        <v>0</v>
      </c>
      <c r="S7" s="124">
        <f t="shared" si="1"/>
        <v>0</v>
      </c>
      <c r="T7" s="124">
        <f t="shared" si="1"/>
        <v>0</v>
      </c>
      <c r="U7" s="124">
        <f t="shared" si="1"/>
        <v>0</v>
      </c>
      <c r="V7" s="124">
        <f t="shared" si="1"/>
        <v>0</v>
      </c>
      <c r="W7" s="124">
        <f t="shared" si="1"/>
        <v>0</v>
      </c>
      <c r="X7" s="124">
        <f t="shared" si="1"/>
        <v>0</v>
      </c>
      <c r="Y7" s="124">
        <f t="shared" si="1"/>
        <v>0</v>
      </c>
      <c r="Z7" s="124">
        <f t="shared" si="1"/>
        <v>0</v>
      </c>
      <c r="AA7" s="124">
        <f t="shared" ref="AA7:AA32" si="2">SUM(C7:Z7)</f>
        <v>44544</v>
      </c>
    </row>
    <row r="8" spans="1:27" x14ac:dyDescent="0.15">
      <c r="A8" s="122">
        <v>4</v>
      </c>
      <c r="B8" s="123"/>
      <c r="C8" s="124"/>
      <c r="D8" s="124">
        <v>0</v>
      </c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>
        <f t="shared" si="2"/>
        <v>0</v>
      </c>
    </row>
    <row r="9" spans="1:27" x14ac:dyDescent="0.15">
      <c r="A9" s="122">
        <v>5</v>
      </c>
      <c r="B9" s="123" t="s">
        <v>283</v>
      </c>
      <c r="C9" s="124">
        <f t="shared" ref="C9:H9" si="3">SUM(C10:C14)</f>
        <v>0</v>
      </c>
      <c r="D9" s="124">
        <f t="shared" si="3"/>
        <v>123518</v>
      </c>
      <c r="E9" s="124">
        <f t="shared" si="3"/>
        <v>11660</v>
      </c>
      <c r="F9" s="124"/>
      <c r="G9" s="124"/>
      <c r="H9" s="124">
        <f t="shared" si="3"/>
        <v>-45000</v>
      </c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>
        <f t="shared" si="2"/>
        <v>90178</v>
      </c>
    </row>
    <row r="10" spans="1:27" x14ac:dyDescent="0.15">
      <c r="A10" s="122">
        <v>6</v>
      </c>
      <c r="B10" s="125" t="str">
        <f>'主表1（成本）'!A7</f>
        <v>信托-权益性投资</v>
      </c>
      <c r="C10" s="124">
        <f>'主表1（成本）'!C7</f>
        <v>0</v>
      </c>
      <c r="D10" s="124">
        <f>'主表1（成本）'!D7</f>
        <v>13518</v>
      </c>
      <c r="E10" s="124">
        <f>'主表1（成本）'!E7</f>
        <v>0</v>
      </c>
      <c r="F10" s="124">
        <f>'主表1（成本）'!F7</f>
        <v>0</v>
      </c>
      <c r="G10" s="124">
        <f>'主表1（成本）'!G7</f>
        <v>0</v>
      </c>
      <c r="H10" s="124">
        <f>'主表1（成本）'!H7</f>
        <v>0</v>
      </c>
      <c r="I10" s="124">
        <f>'主表1（成本）'!I7</f>
        <v>0</v>
      </c>
      <c r="J10" s="124">
        <f>'主表1（成本）'!J7</f>
        <v>0</v>
      </c>
      <c r="K10" s="124">
        <f>'主表1（成本）'!K7</f>
        <v>0</v>
      </c>
      <c r="L10" s="124">
        <f>'主表1（成本）'!L7</f>
        <v>0</v>
      </c>
      <c r="M10" s="124">
        <f>'主表1（成本）'!M7</f>
        <v>0</v>
      </c>
      <c r="N10" s="124">
        <f>'主表1（成本）'!N7</f>
        <v>0</v>
      </c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>
        <f t="shared" si="2"/>
        <v>13518</v>
      </c>
    </row>
    <row r="11" spans="1:27" x14ac:dyDescent="0.15">
      <c r="A11" s="122">
        <v>7</v>
      </c>
      <c r="B11" s="125" t="str">
        <f>'主表1（成本）'!A8</f>
        <v>信托-股东借款</v>
      </c>
      <c r="C11" s="124">
        <f>'主表1（成本）'!C8</f>
        <v>0</v>
      </c>
      <c r="D11" s="124">
        <f>'主表1（成本）'!D8</f>
        <v>110000</v>
      </c>
      <c r="E11" s="124">
        <f>'主表1（成本）'!E8</f>
        <v>11660</v>
      </c>
      <c r="F11" s="124">
        <f>'主表1（成本）'!F8</f>
        <v>-24000</v>
      </c>
      <c r="G11" s="124">
        <f>'主表1（成本）'!G8</f>
        <v>-32000</v>
      </c>
      <c r="H11" s="124">
        <f>'主表1（成本）'!H8</f>
        <v>-45000</v>
      </c>
      <c r="I11" s="124">
        <f>'主表1（成本）'!I8</f>
        <v>-20660</v>
      </c>
      <c r="J11" s="124">
        <f>'主表1（成本）'!J8</f>
        <v>0</v>
      </c>
      <c r="K11" s="124">
        <f>'主表1（成本）'!K8</f>
        <v>0</v>
      </c>
      <c r="L11" s="124">
        <f>'主表1（成本）'!L8</f>
        <v>0</v>
      </c>
      <c r="M11" s="124">
        <f>'主表1（成本）'!M8</f>
        <v>0</v>
      </c>
      <c r="N11" s="124">
        <f>'主表1（成本）'!N8</f>
        <v>0</v>
      </c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>
        <f t="shared" si="2"/>
        <v>0</v>
      </c>
    </row>
    <row r="12" spans="1:27" x14ac:dyDescent="0.15">
      <c r="A12" s="122">
        <v>8</v>
      </c>
      <c r="B12" s="125" t="str">
        <f>'主表1（成本）'!A9</f>
        <v>集团-股东借款</v>
      </c>
      <c r="C12" s="124">
        <f>'主表1（成本）'!C9</f>
        <v>0</v>
      </c>
      <c r="D12" s="124">
        <f>'主表1（成本）'!D9</f>
        <v>0</v>
      </c>
      <c r="E12" s="124">
        <f>'主表1（成本）'!E9</f>
        <v>0</v>
      </c>
      <c r="F12" s="124">
        <f>'主表1（成本）'!F9</f>
        <v>0</v>
      </c>
      <c r="G12" s="124">
        <f>'主表1（成本）'!G9</f>
        <v>0</v>
      </c>
      <c r="H12" s="124">
        <f>'主表1（成本）'!H9</f>
        <v>0</v>
      </c>
      <c r="I12" s="124">
        <f>'主表1（成本）'!I9</f>
        <v>0</v>
      </c>
      <c r="J12" s="124">
        <f>'主表1（成本）'!J9</f>
        <v>0</v>
      </c>
      <c r="K12" s="124">
        <f>'主表1（成本）'!K9</f>
        <v>0</v>
      </c>
      <c r="L12" s="124">
        <f>'主表1（成本）'!L9</f>
        <v>0</v>
      </c>
      <c r="M12" s="124">
        <f>'主表1（成本）'!M9</f>
        <v>0</v>
      </c>
      <c r="N12" s="124">
        <f>'主表1（成本）'!N9</f>
        <v>0</v>
      </c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>
        <f t="shared" si="2"/>
        <v>0</v>
      </c>
    </row>
    <row r="13" spans="1:27" x14ac:dyDescent="0.15">
      <c r="A13" s="122">
        <v>9</v>
      </c>
      <c r="B13" s="125" t="str">
        <f>'主表1（成本）'!A10</f>
        <v>银行-开发贷</v>
      </c>
      <c r="C13" s="124">
        <f>'主表1（成本）'!C10</f>
        <v>0</v>
      </c>
      <c r="D13" s="124">
        <f>'主表1（成本）'!D10</f>
        <v>0</v>
      </c>
      <c r="E13" s="124">
        <f>'主表1（成本）'!E10</f>
        <v>0</v>
      </c>
      <c r="F13" s="124">
        <f>'主表1（成本）'!F10</f>
        <v>0</v>
      </c>
      <c r="G13" s="124">
        <f>'主表1（成本）'!G10</f>
        <v>0</v>
      </c>
      <c r="H13" s="124">
        <f>'主表1（成本）'!H10</f>
        <v>0</v>
      </c>
      <c r="I13" s="124">
        <f>'主表1（成本）'!I10</f>
        <v>0</v>
      </c>
      <c r="J13" s="124">
        <f>'主表1（成本）'!J10</f>
        <v>0</v>
      </c>
      <c r="K13" s="124">
        <f>'主表1（成本）'!K10</f>
        <v>0</v>
      </c>
      <c r="L13" s="124">
        <f>'主表1（成本）'!L10</f>
        <v>0</v>
      </c>
      <c r="M13" s="124">
        <f>'主表1（成本）'!M10</f>
        <v>0</v>
      </c>
      <c r="N13" s="124">
        <f>'主表1（成本）'!N10</f>
        <v>0</v>
      </c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>
        <f t="shared" si="2"/>
        <v>0</v>
      </c>
    </row>
    <row r="14" spans="1:27" x14ac:dyDescent="0.15">
      <c r="A14" s="122">
        <v>10</v>
      </c>
      <c r="B14" s="123"/>
      <c r="C14" s="124"/>
      <c r="D14" s="124"/>
      <c r="E14" s="124">
        <f>D32</f>
        <v>0</v>
      </c>
      <c r="F14" s="124"/>
      <c r="G14" s="124"/>
      <c r="H14" s="124">
        <f>G32</f>
        <v>0</v>
      </c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>
        <f t="shared" si="2"/>
        <v>0</v>
      </c>
    </row>
    <row r="15" spans="1:27" x14ac:dyDescent="0.15">
      <c r="A15" s="122">
        <v>11</v>
      </c>
      <c r="B15" s="123" t="s">
        <v>284</v>
      </c>
      <c r="C15" s="124">
        <f t="shared" ref="C15:Z15" si="4">SUM(C16:C20)</f>
        <v>0</v>
      </c>
      <c r="D15" s="124">
        <f t="shared" si="4"/>
        <v>0</v>
      </c>
      <c r="E15" s="124">
        <f t="shared" si="4"/>
        <v>0</v>
      </c>
      <c r="F15" s="124">
        <f t="shared" si="4"/>
        <v>0</v>
      </c>
      <c r="G15" s="124">
        <f t="shared" si="4"/>
        <v>0</v>
      </c>
      <c r="H15" s="124">
        <f t="shared" si="4"/>
        <v>0</v>
      </c>
      <c r="I15" s="124">
        <f t="shared" si="4"/>
        <v>0</v>
      </c>
      <c r="J15" s="124">
        <f t="shared" si="4"/>
        <v>0</v>
      </c>
      <c r="K15" s="124">
        <f t="shared" si="4"/>
        <v>0</v>
      </c>
      <c r="L15" s="124">
        <f t="shared" si="4"/>
        <v>0</v>
      </c>
      <c r="M15" s="124">
        <f t="shared" si="4"/>
        <v>0</v>
      </c>
      <c r="N15" s="124">
        <f t="shared" si="4"/>
        <v>0</v>
      </c>
      <c r="O15" s="124">
        <f t="shared" si="4"/>
        <v>0</v>
      </c>
      <c r="P15" s="124">
        <f t="shared" si="4"/>
        <v>0</v>
      </c>
      <c r="Q15" s="124">
        <f t="shared" si="4"/>
        <v>0</v>
      </c>
      <c r="R15" s="124">
        <f t="shared" si="4"/>
        <v>0</v>
      </c>
      <c r="S15" s="124">
        <f t="shared" si="4"/>
        <v>0</v>
      </c>
      <c r="T15" s="124">
        <f t="shared" si="4"/>
        <v>0</v>
      </c>
      <c r="U15" s="124">
        <f t="shared" si="4"/>
        <v>0</v>
      </c>
      <c r="V15" s="124">
        <f t="shared" si="4"/>
        <v>0</v>
      </c>
      <c r="W15" s="124">
        <f t="shared" si="4"/>
        <v>0</v>
      </c>
      <c r="X15" s="124">
        <f t="shared" si="4"/>
        <v>0</v>
      </c>
      <c r="Y15" s="124">
        <f t="shared" si="4"/>
        <v>0</v>
      </c>
      <c r="Z15" s="124">
        <f t="shared" si="4"/>
        <v>0</v>
      </c>
      <c r="AA15" s="124">
        <f t="shared" si="2"/>
        <v>0</v>
      </c>
    </row>
    <row r="16" spans="1:27" x14ac:dyDescent="0.15">
      <c r="A16" s="122">
        <v>12</v>
      </c>
      <c r="B16" s="123" t="str">
        <f>B10</f>
        <v>信托-权益性投资</v>
      </c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>
        <f t="shared" si="2"/>
        <v>0</v>
      </c>
    </row>
    <row r="17" spans="1:27" x14ac:dyDescent="0.15">
      <c r="A17" s="122">
        <v>13</v>
      </c>
      <c r="B17" s="125" t="str">
        <f>B11</f>
        <v>信托-股东借款</v>
      </c>
      <c r="C17" s="124"/>
      <c r="D17" s="124">
        <v>0</v>
      </c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>
        <f t="shared" si="2"/>
        <v>0</v>
      </c>
    </row>
    <row r="18" spans="1:27" x14ac:dyDescent="0.15">
      <c r="A18" s="122">
        <v>14</v>
      </c>
      <c r="B18" s="125" t="str">
        <f>B12</f>
        <v>集团-股东借款</v>
      </c>
      <c r="C18" s="124"/>
      <c r="D18" s="124">
        <v>0</v>
      </c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>
        <f t="shared" si="2"/>
        <v>0</v>
      </c>
    </row>
    <row r="19" spans="1:27" x14ac:dyDescent="0.15">
      <c r="A19" s="122">
        <v>15</v>
      </c>
      <c r="B19" s="125" t="str">
        <f>B13</f>
        <v>银行-开发贷</v>
      </c>
      <c r="C19" s="124"/>
      <c r="D19" s="124">
        <v>0</v>
      </c>
      <c r="E19" s="124">
        <v>0</v>
      </c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>
        <f t="shared" si="2"/>
        <v>0</v>
      </c>
    </row>
    <row r="20" spans="1:27" x14ac:dyDescent="0.15">
      <c r="A20" s="122">
        <v>16</v>
      </c>
      <c r="B20" s="125">
        <f>B14</f>
        <v>0</v>
      </c>
      <c r="C20" s="124"/>
      <c r="D20" s="124">
        <v>0</v>
      </c>
      <c r="E20" s="124">
        <v>0</v>
      </c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>
        <f t="shared" si="2"/>
        <v>0</v>
      </c>
    </row>
    <row r="21" spans="1:27" x14ac:dyDescent="0.15">
      <c r="A21" s="122">
        <v>17</v>
      </c>
      <c r="B21" s="123" t="s">
        <v>285</v>
      </c>
      <c r="C21" s="124">
        <f t="shared" ref="C21:H21" si="5">SUM(C22:C26)</f>
        <v>0</v>
      </c>
      <c r="D21" s="124">
        <f t="shared" si="5"/>
        <v>0</v>
      </c>
      <c r="E21" s="124">
        <f t="shared" si="5"/>
        <v>0</v>
      </c>
      <c r="F21" s="124"/>
      <c r="G21" s="124"/>
      <c r="H21" s="124">
        <f t="shared" si="5"/>
        <v>0</v>
      </c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>
        <f t="shared" si="2"/>
        <v>0</v>
      </c>
    </row>
    <row r="22" spans="1:27" x14ac:dyDescent="0.15">
      <c r="A22" s="122">
        <v>18</v>
      </c>
      <c r="B22" s="125" t="str">
        <f>B16</f>
        <v>信托-权益性投资</v>
      </c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>
        <f t="shared" si="2"/>
        <v>0</v>
      </c>
    </row>
    <row r="23" spans="1:27" x14ac:dyDescent="0.15">
      <c r="A23" s="122">
        <v>19</v>
      </c>
      <c r="B23" s="125" t="str">
        <f>B17</f>
        <v>信托-股东借款</v>
      </c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>
        <f t="shared" si="2"/>
        <v>0</v>
      </c>
    </row>
    <row r="24" spans="1:27" x14ac:dyDescent="0.15">
      <c r="A24" s="122">
        <v>20</v>
      </c>
      <c r="B24" s="125" t="str">
        <f>B18</f>
        <v>集团-股东借款</v>
      </c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>
        <f t="shared" si="2"/>
        <v>0</v>
      </c>
    </row>
    <row r="25" spans="1:27" x14ac:dyDescent="0.15">
      <c r="A25" s="122">
        <v>21</v>
      </c>
      <c r="B25" s="125" t="str">
        <f>B19</f>
        <v>银行-开发贷</v>
      </c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>
        <f t="shared" si="2"/>
        <v>0</v>
      </c>
    </row>
    <row r="26" spans="1:27" x14ac:dyDescent="0.15">
      <c r="A26" s="122">
        <v>22</v>
      </c>
      <c r="B26" s="125">
        <f>B20</f>
        <v>0</v>
      </c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>
        <f t="shared" si="2"/>
        <v>0</v>
      </c>
    </row>
    <row r="27" spans="1:27" x14ac:dyDescent="0.15">
      <c r="A27" s="122">
        <v>23</v>
      </c>
      <c r="B27" s="123" t="s">
        <v>286</v>
      </c>
      <c r="C27" s="124">
        <f t="shared" ref="C27:Z27" si="6">SUM(C28:C32)</f>
        <v>0</v>
      </c>
      <c r="D27" s="124">
        <f t="shared" si="6"/>
        <v>123518</v>
      </c>
      <c r="E27" s="124">
        <f t="shared" si="6"/>
        <v>11660</v>
      </c>
      <c r="F27" s="124">
        <f t="shared" si="6"/>
        <v>-24000</v>
      </c>
      <c r="G27" s="124">
        <f t="shared" si="6"/>
        <v>-32000</v>
      </c>
      <c r="H27" s="124">
        <f t="shared" si="6"/>
        <v>-45000</v>
      </c>
      <c r="I27" s="124">
        <f t="shared" si="6"/>
        <v>-20660</v>
      </c>
      <c r="J27" s="124">
        <f t="shared" si="6"/>
        <v>0</v>
      </c>
      <c r="K27" s="124">
        <f t="shared" si="6"/>
        <v>0</v>
      </c>
      <c r="L27" s="124">
        <f t="shared" si="6"/>
        <v>0</v>
      </c>
      <c r="M27" s="124">
        <f t="shared" si="6"/>
        <v>0</v>
      </c>
      <c r="N27" s="124">
        <f t="shared" si="6"/>
        <v>0</v>
      </c>
      <c r="O27" s="124">
        <f t="shared" si="6"/>
        <v>0</v>
      </c>
      <c r="P27" s="124">
        <f t="shared" si="6"/>
        <v>0</v>
      </c>
      <c r="Q27" s="124">
        <f t="shared" si="6"/>
        <v>0</v>
      </c>
      <c r="R27" s="124">
        <f t="shared" si="6"/>
        <v>0</v>
      </c>
      <c r="S27" s="124">
        <f t="shared" si="6"/>
        <v>0</v>
      </c>
      <c r="T27" s="124">
        <f t="shared" si="6"/>
        <v>0</v>
      </c>
      <c r="U27" s="124">
        <f t="shared" si="6"/>
        <v>0</v>
      </c>
      <c r="V27" s="124">
        <f t="shared" si="6"/>
        <v>0</v>
      </c>
      <c r="W27" s="124">
        <f t="shared" si="6"/>
        <v>0</v>
      </c>
      <c r="X27" s="124">
        <f t="shared" si="6"/>
        <v>0</v>
      </c>
      <c r="Y27" s="124">
        <f t="shared" si="6"/>
        <v>0</v>
      </c>
      <c r="Z27" s="124">
        <f t="shared" si="6"/>
        <v>0</v>
      </c>
      <c r="AA27" s="124">
        <f t="shared" si="2"/>
        <v>13518</v>
      </c>
    </row>
    <row r="28" spans="1:27" x14ac:dyDescent="0.15">
      <c r="A28" s="122">
        <v>24</v>
      </c>
      <c r="B28" s="123" t="str">
        <f>B22</f>
        <v>信托-权益性投资</v>
      </c>
      <c r="C28" s="124">
        <f t="shared" ref="C28:E32" si="7">C10+C16-C22</f>
        <v>0</v>
      </c>
      <c r="D28" s="124">
        <f t="shared" si="7"/>
        <v>13518</v>
      </c>
      <c r="E28" s="124">
        <f t="shared" si="7"/>
        <v>0</v>
      </c>
      <c r="F28" s="124">
        <f t="shared" ref="F28:Z28" si="8">F10+F16-F22</f>
        <v>0</v>
      </c>
      <c r="G28" s="124">
        <f t="shared" si="8"/>
        <v>0</v>
      </c>
      <c r="H28" s="124">
        <f t="shared" si="8"/>
        <v>0</v>
      </c>
      <c r="I28" s="124">
        <f t="shared" si="8"/>
        <v>0</v>
      </c>
      <c r="J28" s="124">
        <f t="shared" si="8"/>
        <v>0</v>
      </c>
      <c r="K28" s="124">
        <f t="shared" si="8"/>
        <v>0</v>
      </c>
      <c r="L28" s="124">
        <f t="shared" si="8"/>
        <v>0</v>
      </c>
      <c r="M28" s="124">
        <f t="shared" si="8"/>
        <v>0</v>
      </c>
      <c r="N28" s="124">
        <f t="shared" si="8"/>
        <v>0</v>
      </c>
      <c r="O28" s="124">
        <f t="shared" si="8"/>
        <v>0</v>
      </c>
      <c r="P28" s="124">
        <f t="shared" si="8"/>
        <v>0</v>
      </c>
      <c r="Q28" s="124">
        <f t="shared" si="8"/>
        <v>0</v>
      </c>
      <c r="R28" s="124">
        <f t="shared" si="8"/>
        <v>0</v>
      </c>
      <c r="S28" s="124">
        <f t="shared" si="8"/>
        <v>0</v>
      </c>
      <c r="T28" s="124">
        <f t="shared" si="8"/>
        <v>0</v>
      </c>
      <c r="U28" s="124">
        <f t="shared" si="8"/>
        <v>0</v>
      </c>
      <c r="V28" s="124">
        <f t="shared" si="8"/>
        <v>0</v>
      </c>
      <c r="W28" s="124">
        <f t="shared" si="8"/>
        <v>0</v>
      </c>
      <c r="X28" s="124">
        <f t="shared" si="8"/>
        <v>0</v>
      </c>
      <c r="Y28" s="124">
        <f t="shared" si="8"/>
        <v>0</v>
      </c>
      <c r="Z28" s="124">
        <f t="shared" si="8"/>
        <v>0</v>
      </c>
      <c r="AA28" s="124">
        <f t="shared" si="2"/>
        <v>13518</v>
      </c>
    </row>
    <row r="29" spans="1:27" x14ac:dyDescent="0.15">
      <c r="A29" s="122">
        <v>25</v>
      </c>
      <c r="B29" s="125" t="str">
        <f>B23</f>
        <v>信托-股东借款</v>
      </c>
      <c r="C29" s="124">
        <f t="shared" si="7"/>
        <v>0</v>
      </c>
      <c r="D29" s="124">
        <f t="shared" si="7"/>
        <v>110000</v>
      </c>
      <c r="E29" s="124">
        <f t="shared" si="7"/>
        <v>11660</v>
      </c>
      <c r="F29" s="124">
        <f t="shared" ref="F29:Z29" si="9">F11+F17-F23</f>
        <v>-24000</v>
      </c>
      <c r="G29" s="124">
        <f t="shared" si="9"/>
        <v>-32000</v>
      </c>
      <c r="H29" s="124">
        <f t="shared" si="9"/>
        <v>-45000</v>
      </c>
      <c r="I29" s="124">
        <f t="shared" si="9"/>
        <v>-20660</v>
      </c>
      <c r="J29" s="124">
        <f t="shared" si="9"/>
        <v>0</v>
      </c>
      <c r="K29" s="124">
        <f t="shared" si="9"/>
        <v>0</v>
      </c>
      <c r="L29" s="124">
        <f t="shared" si="9"/>
        <v>0</v>
      </c>
      <c r="M29" s="124">
        <f t="shared" si="9"/>
        <v>0</v>
      </c>
      <c r="N29" s="124">
        <f t="shared" si="9"/>
        <v>0</v>
      </c>
      <c r="O29" s="124">
        <f t="shared" si="9"/>
        <v>0</v>
      </c>
      <c r="P29" s="124">
        <f t="shared" si="9"/>
        <v>0</v>
      </c>
      <c r="Q29" s="124">
        <f t="shared" si="9"/>
        <v>0</v>
      </c>
      <c r="R29" s="124">
        <f t="shared" si="9"/>
        <v>0</v>
      </c>
      <c r="S29" s="124">
        <f t="shared" si="9"/>
        <v>0</v>
      </c>
      <c r="T29" s="124">
        <f t="shared" si="9"/>
        <v>0</v>
      </c>
      <c r="U29" s="124">
        <f t="shared" si="9"/>
        <v>0</v>
      </c>
      <c r="V29" s="124">
        <f t="shared" si="9"/>
        <v>0</v>
      </c>
      <c r="W29" s="124">
        <f t="shared" si="9"/>
        <v>0</v>
      </c>
      <c r="X29" s="124">
        <f t="shared" si="9"/>
        <v>0</v>
      </c>
      <c r="Y29" s="124">
        <f t="shared" si="9"/>
        <v>0</v>
      </c>
      <c r="Z29" s="124">
        <f t="shared" si="9"/>
        <v>0</v>
      </c>
      <c r="AA29" s="124">
        <f t="shared" si="2"/>
        <v>0</v>
      </c>
    </row>
    <row r="30" spans="1:27" x14ac:dyDescent="0.15">
      <c r="A30" s="122">
        <v>26</v>
      </c>
      <c r="B30" s="125" t="str">
        <f>B24</f>
        <v>集团-股东借款</v>
      </c>
      <c r="C30" s="124">
        <f t="shared" si="7"/>
        <v>0</v>
      </c>
      <c r="D30" s="124">
        <f t="shared" si="7"/>
        <v>0</v>
      </c>
      <c r="E30" s="124">
        <f t="shared" si="7"/>
        <v>0</v>
      </c>
      <c r="F30" s="124">
        <f t="shared" ref="F30:Z30" si="10">F12+F18-F24</f>
        <v>0</v>
      </c>
      <c r="G30" s="124">
        <f t="shared" si="10"/>
        <v>0</v>
      </c>
      <c r="H30" s="124">
        <f t="shared" si="10"/>
        <v>0</v>
      </c>
      <c r="I30" s="124">
        <f t="shared" si="10"/>
        <v>0</v>
      </c>
      <c r="J30" s="124">
        <f t="shared" si="10"/>
        <v>0</v>
      </c>
      <c r="K30" s="124">
        <f t="shared" si="10"/>
        <v>0</v>
      </c>
      <c r="L30" s="124">
        <f t="shared" si="10"/>
        <v>0</v>
      </c>
      <c r="M30" s="124">
        <f t="shared" si="10"/>
        <v>0</v>
      </c>
      <c r="N30" s="124">
        <f t="shared" si="10"/>
        <v>0</v>
      </c>
      <c r="O30" s="124">
        <f t="shared" si="10"/>
        <v>0</v>
      </c>
      <c r="P30" s="124">
        <f t="shared" si="10"/>
        <v>0</v>
      </c>
      <c r="Q30" s="124">
        <f t="shared" si="10"/>
        <v>0</v>
      </c>
      <c r="R30" s="124">
        <f t="shared" si="10"/>
        <v>0</v>
      </c>
      <c r="S30" s="124">
        <f t="shared" si="10"/>
        <v>0</v>
      </c>
      <c r="T30" s="124">
        <f t="shared" si="10"/>
        <v>0</v>
      </c>
      <c r="U30" s="124">
        <f t="shared" si="10"/>
        <v>0</v>
      </c>
      <c r="V30" s="124">
        <f t="shared" si="10"/>
        <v>0</v>
      </c>
      <c r="W30" s="124">
        <f t="shared" si="10"/>
        <v>0</v>
      </c>
      <c r="X30" s="124">
        <f t="shared" si="10"/>
        <v>0</v>
      </c>
      <c r="Y30" s="124">
        <f t="shared" si="10"/>
        <v>0</v>
      </c>
      <c r="Z30" s="124">
        <f t="shared" si="10"/>
        <v>0</v>
      </c>
      <c r="AA30" s="124">
        <f t="shared" si="2"/>
        <v>0</v>
      </c>
    </row>
    <row r="31" spans="1:27" x14ac:dyDescent="0.15">
      <c r="A31" s="122">
        <v>27</v>
      </c>
      <c r="B31" s="125" t="str">
        <f>B25</f>
        <v>银行-开发贷</v>
      </c>
      <c r="C31" s="124">
        <f t="shared" si="7"/>
        <v>0</v>
      </c>
      <c r="D31" s="124">
        <f t="shared" si="7"/>
        <v>0</v>
      </c>
      <c r="E31" s="124">
        <f t="shared" si="7"/>
        <v>0</v>
      </c>
      <c r="F31" s="124">
        <f t="shared" ref="F31:Z31" si="11">F13+F19-F25</f>
        <v>0</v>
      </c>
      <c r="G31" s="124">
        <f t="shared" si="11"/>
        <v>0</v>
      </c>
      <c r="H31" s="124">
        <f t="shared" si="11"/>
        <v>0</v>
      </c>
      <c r="I31" s="124">
        <f t="shared" si="11"/>
        <v>0</v>
      </c>
      <c r="J31" s="124">
        <f t="shared" si="11"/>
        <v>0</v>
      </c>
      <c r="K31" s="124">
        <f t="shared" si="11"/>
        <v>0</v>
      </c>
      <c r="L31" s="124">
        <f t="shared" si="11"/>
        <v>0</v>
      </c>
      <c r="M31" s="124">
        <f t="shared" si="11"/>
        <v>0</v>
      </c>
      <c r="N31" s="124">
        <f t="shared" si="11"/>
        <v>0</v>
      </c>
      <c r="O31" s="124">
        <f t="shared" si="11"/>
        <v>0</v>
      </c>
      <c r="P31" s="124">
        <f t="shared" si="11"/>
        <v>0</v>
      </c>
      <c r="Q31" s="124">
        <f t="shared" si="11"/>
        <v>0</v>
      </c>
      <c r="R31" s="124">
        <f t="shared" si="11"/>
        <v>0</v>
      </c>
      <c r="S31" s="124">
        <f t="shared" si="11"/>
        <v>0</v>
      </c>
      <c r="T31" s="124">
        <f t="shared" si="11"/>
        <v>0</v>
      </c>
      <c r="U31" s="124">
        <f t="shared" si="11"/>
        <v>0</v>
      </c>
      <c r="V31" s="124">
        <f t="shared" si="11"/>
        <v>0</v>
      </c>
      <c r="W31" s="124">
        <f t="shared" si="11"/>
        <v>0</v>
      </c>
      <c r="X31" s="124">
        <f t="shared" si="11"/>
        <v>0</v>
      </c>
      <c r="Y31" s="124">
        <f t="shared" si="11"/>
        <v>0</v>
      </c>
      <c r="Z31" s="124">
        <f t="shared" si="11"/>
        <v>0</v>
      </c>
      <c r="AA31" s="124">
        <f t="shared" si="2"/>
        <v>0</v>
      </c>
    </row>
    <row r="32" spans="1:27" x14ac:dyDescent="0.15">
      <c r="A32" s="122">
        <v>28</v>
      </c>
      <c r="B32" s="125">
        <f>B26</f>
        <v>0</v>
      </c>
      <c r="C32" s="124">
        <f t="shared" si="7"/>
        <v>0</v>
      </c>
      <c r="D32" s="124">
        <f t="shared" si="7"/>
        <v>0</v>
      </c>
      <c r="E32" s="124">
        <f t="shared" si="7"/>
        <v>0</v>
      </c>
      <c r="F32" s="124">
        <f t="shared" ref="F32:Z32" si="12">F14+F20-F26</f>
        <v>0</v>
      </c>
      <c r="G32" s="124">
        <f t="shared" si="12"/>
        <v>0</v>
      </c>
      <c r="H32" s="124">
        <f t="shared" si="12"/>
        <v>0</v>
      </c>
      <c r="I32" s="124">
        <f t="shared" si="12"/>
        <v>0</v>
      </c>
      <c r="J32" s="124">
        <f t="shared" si="12"/>
        <v>0</v>
      </c>
      <c r="K32" s="124">
        <f t="shared" si="12"/>
        <v>0</v>
      </c>
      <c r="L32" s="124">
        <f t="shared" si="12"/>
        <v>0</v>
      </c>
      <c r="M32" s="124">
        <f t="shared" si="12"/>
        <v>0</v>
      </c>
      <c r="N32" s="124">
        <f t="shared" si="12"/>
        <v>0</v>
      </c>
      <c r="O32" s="124">
        <f t="shared" si="12"/>
        <v>0</v>
      </c>
      <c r="P32" s="124">
        <f t="shared" si="12"/>
        <v>0</v>
      </c>
      <c r="Q32" s="124">
        <f t="shared" si="12"/>
        <v>0</v>
      </c>
      <c r="R32" s="124">
        <f t="shared" si="12"/>
        <v>0</v>
      </c>
      <c r="S32" s="124">
        <f t="shared" si="12"/>
        <v>0</v>
      </c>
      <c r="T32" s="124">
        <f t="shared" si="12"/>
        <v>0</v>
      </c>
      <c r="U32" s="124">
        <f t="shared" si="12"/>
        <v>0</v>
      </c>
      <c r="V32" s="124">
        <f t="shared" si="12"/>
        <v>0</v>
      </c>
      <c r="W32" s="124">
        <f t="shared" si="12"/>
        <v>0</v>
      </c>
      <c r="X32" s="124">
        <f t="shared" si="12"/>
        <v>0</v>
      </c>
      <c r="Y32" s="124">
        <f t="shared" si="12"/>
        <v>0</v>
      </c>
      <c r="Z32" s="124">
        <f t="shared" si="12"/>
        <v>0</v>
      </c>
      <c r="AA32" s="124">
        <f t="shared" si="2"/>
        <v>0</v>
      </c>
    </row>
    <row r="33" spans="1:27" x14ac:dyDescent="0.15">
      <c r="A33" s="122">
        <v>29</v>
      </c>
      <c r="B33" s="126" t="s">
        <v>287</v>
      </c>
      <c r="C33" s="127" t="s">
        <v>288</v>
      </c>
      <c r="D33" s="127" t="e">
        <f>D5/D21</f>
        <v>#DIV/0!</v>
      </c>
      <c r="E33" s="127" t="s">
        <v>288</v>
      </c>
      <c r="F33" s="127"/>
      <c r="G33" s="127"/>
      <c r="H33" s="127" t="s">
        <v>288</v>
      </c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</row>
    <row r="34" spans="1:27" x14ac:dyDescent="0.15">
      <c r="A34" s="122">
        <v>30</v>
      </c>
      <c r="B34" s="123" t="s">
        <v>289</v>
      </c>
      <c r="C34" s="124">
        <f t="shared" ref="C34:H34" si="13">C5-C21</f>
        <v>0</v>
      </c>
      <c r="D34" s="124">
        <f t="shared" si="13"/>
        <v>0</v>
      </c>
      <c r="E34" s="124">
        <f t="shared" si="13"/>
        <v>0</v>
      </c>
      <c r="F34" s="124"/>
      <c r="G34" s="124"/>
      <c r="H34" s="124">
        <f t="shared" si="13"/>
        <v>44544</v>
      </c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</row>
  </sheetData>
  <mergeCells count="8">
    <mergeCell ref="B1:AA1"/>
    <mergeCell ref="B2:E2"/>
    <mergeCell ref="C3:F3"/>
    <mergeCell ref="G3:J3"/>
    <mergeCell ref="K3:N3"/>
    <mergeCell ref="O3:R3"/>
    <mergeCell ref="S3:V3"/>
    <mergeCell ref="W3:Z3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E56"/>
  <sheetViews>
    <sheetView view="pageBreakPreview" zoomScaleNormal="100" zoomScaleSheetLayoutView="100" workbookViewId="0">
      <selection activeCell="D9" sqref="D9"/>
    </sheetView>
  </sheetViews>
  <sheetFormatPr defaultColWidth="11" defaultRowHeight="18" customHeight="1" x14ac:dyDescent="0.15"/>
  <cols>
    <col min="1" max="1" width="9.875" style="407" customWidth="1"/>
    <col min="2" max="3" width="12" style="407" customWidth="1"/>
    <col min="4" max="4" width="11.125" style="407" customWidth="1"/>
    <col min="5" max="6" width="12" style="407" customWidth="1"/>
    <col min="7" max="7" width="11.125" style="407" customWidth="1"/>
    <col min="8" max="9" width="12" style="407" customWidth="1"/>
    <col min="10" max="10" width="11.125" style="407" customWidth="1"/>
    <col min="11" max="11" width="19.5" style="407" customWidth="1"/>
    <col min="12" max="12" width="11.125" style="407" customWidth="1"/>
    <col min="13" max="13" width="10.625" style="407" customWidth="1"/>
    <col min="14" max="18" width="11" style="407" customWidth="1"/>
    <col min="19" max="16384" width="11" style="407"/>
  </cols>
  <sheetData>
    <row r="1" spans="1:31" ht="18" customHeight="1" x14ac:dyDescent="0.15">
      <c r="A1" s="433"/>
      <c r="B1" s="406"/>
      <c r="C1" s="406"/>
      <c r="D1" s="406" t="s">
        <v>528</v>
      </c>
      <c r="E1" s="406"/>
      <c r="F1" s="406"/>
      <c r="G1" s="406"/>
      <c r="H1" s="406"/>
      <c r="I1" s="406"/>
      <c r="J1" s="406"/>
    </row>
    <row r="2" spans="1:31" ht="18" customHeight="1" x14ac:dyDescent="0.15">
      <c r="A2" s="434"/>
      <c r="B2" s="336" t="s">
        <v>8</v>
      </c>
      <c r="C2" s="405"/>
      <c r="D2" s="405"/>
      <c r="E2" s="405"/>
      <c r="F2" s="405"/>
      <c r="G2" s="405"/>
      <c r="H2" s="408"/>
      <c r="I2" s="408"/>
      <c r="J2" s="408"/>
      <c r="N2" s="764"/>
      <c r="O2" s="765"/>
      <c r="P2" s="765"/>
      <c r="Q2" s="765"/>
      <c r="R2" s="765"/>
      <c r="S2" s="765"/>
      <c r="T2" s="765"/>
      <c r="U2" s="765"/>
      <c r="V2" s="765"/>
      <c r="W2" s="765"/>
      <c r="X2" s="765"/>
      <c r="Y2" s="765"/>
      <c r="Z2" s="765"/>
      <c r="AA2" s="765"/>
      <c r="AB2" s="765"/>
      <c r="AC2" s="765"/>
    </row>
    <row r="3" spans="1:31" ht="18" customHeight="1" x14ac:dyDescent="0.15">
      <c r="A3" s="784" t="s">
        <v>71</v>
      </c>
      <c r="B3" s="784" t="s">
        <v>72</v>
      </c>
      <c r="C3" s="793"/>
      <c r="D3" s="411">
        <f>'主表1（成本）'!B14</f>
        <v>302593</v>
      </c>
      <c r="E3" s="784" t="str">
        <f>'主表1（成本）'!A9</f>
        <v>集团-股东借款</v>
      </c>
      <c r="F3" s="793"/>
      <c r="G3" s="416">
        <f>'主表1（成本）'!B9</f>
        <v>0</v>
      </c>
      <c r="H3" s="771"/>
      <c r="I3" s="772"/>
      <c r="J3" s="416"/>
      <c r="K3" s="409"/>
    </row>
    <row r="4" spans="1:31" ht="18" customHeight="1" x14ac:dyDescent="0.15">
      <c r="A4" s="775"/>
      <c r="B4" s="775" t="str">
        <f>'主表1（成本）'!A6</f>
        <v>自有资金</v>
      </c>
      <c r="C4" s="776"/>
      <c r="D4" s="412">
        <f>'主表1（成本）'!B6</f>
        <v>73399</v>
      </c>
      <c r="E4" s="775" t="str">
        <f>'主表1（成本）'!A10</f>
        <v>银行-开发贷</v>
      </c>
      <c r="F4" s="776"/>
      <c r="G4" s="417">
        <f>'主表1（成本）'!B10</f>
        <v>0</v>
      </c>
      <c r="H4" s="773"/>
      <c r="I4" s="774"/>
      <c r="J4" s="421"/>
      <c r="K4" s="409"/>
    </row>
    <row r="5" spans="1:31" ht="18" customHeight="1" x14ac:dyDescent="0.15">
      <c r="A5" s="775"/>
      <c r="B5" s="775" t="str">
        <f>'主表1（成本）'!A7</f>
        <v>信托-权益性投资</v>
      </c>
      <c r="C5" s="776"/>
      <c r="D5" s="412">
        <f>'主表1（成本）'!B7</f>
        <v>13518</v>
      </c>
      <c r="E5" s="775" t="str">
        <f>'主表1（成本）'!A12</f>
        <v>销售收入回款</v>
      </c>
      <c r="F5" s="776"/>
      <c r="G5" s="417">
        <f>'底表1（销售计划）'!C5</f>
        <v>354121</v>
      </c>
      <c r="H5" s="775"/>
      <c r="I5" s="776"/>
      <c r="J5" s="421"/>
      <c r="K5" s="210"/>
    </row>
    <row r="6" spans="1:31" ht="18" customHeight="1" x14ac:dyDescent="0.15">
      <c r="A6" s="785"/>
      <c r="B6" s="785" t="str">
        <f>'主表1（成本）'!A8</f>
        <v>信托-股东借款</v>
      </c>
      <c r="C6" s="789"/>
      <c r="D6" s="413">
        <f>'主表1（成本）'!B8</f>
        <v>0</v>
      </c>
      <c r="E6" s="785" t="str">
        <f>'主表1（成本）'!A13</f>
        <v>出租收入</v>
      </c>
      <c r="F6" s="789"/>
      <c r="G6" s="418"/>
      <c r="H6" s="779"/>
      <c r="I6" s="780"/>
      <c r="J6" s="419"/>
      <c r="K6" s="210"/>
    </row>
    <row r="7" spans="1:31" ht="18" customHeight="1" x14ac:dyDescent="0.15">
      <c r="A7" s="781" t="s">
        <v>77</v>
      </c>
      <c r="B7" s="790" t="s">
        <v>1</v>
      </c>
      <c r="C7" s="791"/>
      <c r="D7" s="411">
        <f>'底表1（销售计划）'!C5</f>
        <v>354121</v>
      </c>
      <c r="E7" s="784" t="s">
        <v>5</v>
      </c>
      <c r="F7" s="793"/>
      <c r="G7" s="416">
        <f>'主表3（损益表）'!C14</f>
        <v>40612</v>
      </c>
      <c r="H7" s="425" t="s">
        <v>4</v>
      </c>
      <c r="I7" s="426"/>
      <c r="J7" s="420">
        <f>'主表3（损益表）'!C14/'主表3（损益表）'!C5</f>
        <v>0.1147</v>
      </c>
      <c r="K7" s="410"/>
    </row>
    <row r="8" spans="1:31" ht="18" customHeight="1" x14ac:dyDescent="0.15">
      <c r="A8" s="782"/>
      <c r="B8" s="786" t="s">
        <v>78</v>
      </c>
      <c r="C8" s="787"/>
      <c r="D8" s="423">
        <f>基础数据!C17</f>
        <v>0.1</v>
      </c>
      <c r="E8" s="776" t="s">
        <v>79</v>
      </c>
      <c r="F8" s="788"/>
      <c r="G8" s="421"/>
      <c r="H8" s="427" t="s">
        <v>499</v>
      </c>
      <c r="I8" s="428"/>
      <c r="J8" s="421">
        <f>'主表3（损益表）'!C16/'主表3（损益表）'!C5</f>
        <v>8.5999999999999993E-2</v>
      </c>
      <c r="K8" s="210"/>
    </row>
    <row r="9" spans="1:31" ht="18" customHeight="1" x14ac:dyDescent="0.15">
      <c r="A9" s="782"/>
      <c r="B9" s="792" t="s">
        <v>30</v>
      </c>
      <c r="C9" s="786"/>
      <c r="D9" s="412">
        <f>'主表2（现金流量表）'!K20</f>
        <v>15924</v>
      </c>
      <c r="E9" s="776" t="s">
        <v>80</v>
      </c>
      <c r="F9" s="788"/>
      <c r="G9" s="424">
        <f>'主表2（现金流量表）'!K21</f>
        <v>0</v>
      </c>
      <c r="H9" s="427" t="s">
        <v>67</v>
      </c>
      <c r="I9" s="428"/>
      <c r="J9" s="421">
        <f>'主表2（现金流量表）'!E21</f>
        <v>0.17480000000000001</v>
      </c>
    </row>
    <row r="10" spans="1:31" ht="18" customHeight="1" x14ac:dyDescent="0.15">
      <c r="A10" s="782"/>
      <c r="B10" s="792" t="s">
        <v>498</v>
      </c>
      <c r="C10" s="786"/>
      <c r="D10" s="412"/>
      <c r="E10" s="775" t="s">
        <v>7</v>
      </c>
      <c r="F10" s="776"/>
      <c r="G10" s="424"/>
      <c r="H10" s="427" t="s">
        <v>6</v>
      </c>
      <c r="I10" s="428"/>
      <c r="J10" s="421">
        <f>'主表3（损益表）'!C14/'主表1（成本）'!B14</f>
        <v>0.13420000000000001</v>
      </c>
    </row>
    <row r="11" spans="1:31" ht="18" customHeight="1" x14ac:dyDescent="0.15">
      <c r="A11" s="783"/>
      <c r="B11" s="431"/>
      <c r="C11" s="431"/>
      <c r="D11" s="432"/>
      <c r="E11" s="431"/>
      <c r="F11" s="431"/>
      <c r="G11" s="432"/>
      <c r="H11" s="430" t="s">
        <v>32</v>
      </c>
      <c r="I11" s="429"/>
      <c r="J11" s="422"/>
    </row>
    <row r="12" spans="1:31" ht="18" customHeight="1" x14ac:dyDescent="0.15">
      <c r="F12" s="210"/>
      <c r="G12" s="409"/>
      <c r="H12" s="210"/>
    </row>
    <row r="13" spans="1:31" s="174" customFormat="1" ht="21" hidden="1" customHeight="1" x14ac:dyDescent="0.25">
      <c r="B13" s="297" t="s">
        <v>347</v>
      </c>
      <c r="C13" s="297" t="s">
        <v>355</v>
      </c>
      <c r="D13" s="297" t="s">
        <v>356</v>
      </c>
      <c r="E13" s="297" t="s">
        <v>485</v>
      </c>
      <c r="G13" s="298" t="s">
        <v>363</v>
      </c>
      <c r="H13" s="298" t="s">
        <v>364</v>
      </c>
      <c r="I13" s="298" t="s">
        <v>377</v>
      </c>
      <c r="J13" s="298" t="s">
        <v>365</v>
      </c>
      <c r="K13" s="298" t="s">
        <v>366</v>
      </c>
      <c r="M13" s="299" t="s">
        <v>373</v>
      </c>
      <c r="N13" s="299" t="s">
        <v>374</v>
      </c>
      <c r="O13" s="299" t="s">
        <v>375</v>
      </c>
      <c r="P13" s="299" t="s">
        <v>376</v>
      </c>
      <c r="Q13" s="299" t="s">
        <v>265</v>
      </c>
      <c r="S13" s="769" t="str">
        <f>G14</f>
        <v>2021年</v>
      </c>
      <c r="T13" s="300" t="s">
        <v>364</v>
      </c>
      <c r="U13" s="307" t="s">
        <v>367</v>
      </c>
      <c r="V13" s="308" t="s">
        <v>368</v>
      </c>
      <c r="W13" s="308" t="s">
        <v>369</v>
      </c>
      <c r="X13" s="308" t="s">
        <v>370</v>
      </c>
      <c r="Z13" s="777" t="str">
        <f>S13</f>
        <v>2021年</v>
      </c>
      <c r="AA13" s="300" t="s">
        <v>364</v>
      </c>
      <c r="AB13" s="300" t="s">
        <v>367</v>
      </c>
      <c r="AC13" s="300" t="s">
        <v>368</v>
      </c>
      <c r="AD13" s="300" t="s">
        <v>369</v>
      </c>
      <c r="AE13" s="300" t="s">
        <v>370</v>
      </c>
    </row>
    <row r="14" spans="1:31" s="174" customFormat="1" ht="21" hidden="1" customHeight="1" x14ac:dyDescent="0.25">
      <c r="B14" s="301" t="s">
        <v>357</v>
      </c>
      <c r="C14" s="297">
        <f>'主表1（成本）'!B69</f>
        <v>187119</v>
      </c>
      <c r="D14" s="309">
        <f>1-(SUM(D15:D23)-D17)</f>
        <v>0.61850000000000005</v>
      </c>
      <c r="E14" s="297">
        <f>ROUND(C14/规划指标!$G$24*10000,0)</f>
        <v>9533</v>
      </c>
      <c r="G14" s="766" t="str">
        <f>'主表1（成本）'!C3</f>
        <v>2021年</v>
      </c>
      <c r="H14" s="298" t="s">
        <v>367</v>
      </c>
      <c r="I14" s="306">
        <f>'主表1（成本）'!C14</f>
        <v>0</v>
      </c>
      <c r="J14" s="310">
        <f>I14/$I$54</f>
        <v>0</v>
      </c>
      <c r="K14" s="770" t="s">
        <v>372</v>
      </c>
      <c r="M14" s="302" t="str">
        <f>规划指标!F4</f>
        <v>小高层</v>
      </c>
      <c r="N14" s="303">
        <f>'底表1（销售计划）'!C9</f>
        <v>27500</v>
      </c>
      <c r="O14" s="304">
        <f>规划指标!G4</f>
        <v>57688</v>
      </c>
      <c r="P14" s="305">
        <f>'底表1（销售计划）'!C10</f>
        <v>1</v>
      </c>
      <c r="Q14" s="303">
        <f>'底表1（销售计划）'!C6</f>
        <v>158644</v>
      </c>
      <c r="S14" s="769"/>
      <c r="T14" s="300" t="s">
        <v>380</v>
      </c>
      <c r="U14" s="311">
        <f>'底表1（销售计划）'!D5</f>
        <v>0</v>
      </c>
      <c r="V14" s="311">
        <f>'底表1（销售计划）'!E5</f>
        <v>0</v>
      </c>
      <c r="W14" s="311">
        <f>'底表1（销售计划）'!F5</f>
        <v>0</v>
      </c>
      <c r="X14" s="311">
        <f>'底表1（销售计划）'!G5</f>
        <v>71663</v>
      </c>
      <c r="Z14" s="778"/>
      <c r="AA14" s="300" t="s">
        <v>381</v>
      </c>
      <c r="AB14" s="306">
        <f>'主表3（损益表）'!D7</f>
        <v>0</v>
      </c>
      <c r="AC14" s="306">
        <f>'主表3（损益表）'!E7</f>
        <v>0</v>
      </c>
      <c r="AD14" s="306">
        <f>'主表3（损益表）'!F7</f>
        <v>0</v>
      </c>
      <c r="AE14" s="306">
        <f>'主表3（损益表）'!G7</f>
        <v>39318</v>
      </c>
    </row>
    <row r="15" spans="1:31" s="174" customFormat="1" ht="21" hidden="1" customHeight="1" x14ac:dyDescent="0.25">
      <c r="B15" s="301" t="s">
        <v>228</v>
      </c>
      <c r="C15" s="297">
        <f>'主表1（成本）'!B81</f>
        <v>4826</v>
      </c>
      <c r="D15" s="309">
        <f t="shared" ref="D15:D21" si="0">C15/$C$24</f>
        <v>1.5900000000000001E-2</v>
      </c>
      <c r="E15" s="297">
        <f>ROUND(C15/规划指标!$G$24*10000,0)</f>
        <v>246</v>
      </c>
      <c r="G15" s="766"/>
      <c r="H15" s="298" t="s">
        <v>368</v>
      </c>
      <c r="I15" s="306">
        <f>'主表1（成本）'!D14</f>
        <v>180664</v>
      </c>
      <c r="J15" s="310">
        <f t="shared" ref="J15:J53" si="1">I15/$I$54</f>
        <v>0.59709999999999996</v>
      </c>
      <c r="K15" s="770"/>
      <c r="M15" s="302" t="str">
        <f>规划指标!F5</f>
        <v>洋房</v>
      </c>
      <c r="N15" s="303">
        <f>'底表1（销售计划）'!C16</f>
        <v>28500</v>
      </c>
      <c r="O15" s="304">
        <f>规划指标!G5</f>
        <v>55037</v>
      </c>
      <c r="P15" s="305">
        <f>'底表1（销售计划）'!C17</f>
        <v>1</v>
      </c>
      <c r="Q15" s="303">
        <f>'底表1（销售计划）'!C13</f>
        <v>156859</v>
      </c>
      <c r="S15" s="767" t="str">
        <f>G18</f>
        <v>2022年</v>
      </c>
      <c r="T15" s="300" t="s">
        <v>364</v>
      </c>
      <c r="U15" s="307" t="s">
        <v>367</v>
      </c>
      <c r="V15" s="308" t="s">
        <v>368</v>
      </c>
      <c r="W15" s="308" t="s">
        <v>369</v>
      </c>
      <c r="X15" s="308" t="s">
        <v>370</v>
      </c>
      <c r="Z15" s="777" t="str">
        <f>S15</f>
        <v>2022年</v>
      </c>
      <c r="AA15" s="300" t="s">
        <v>364</v>
      </c>
      <c r="AB15" s="300" t="s">
        <v>367</v>
      </c>
      <c r="AC15" s="300" t="s">
        <v>368</v>
      </c>
      <c r="AD15" s="300" t="s">
        <v>369</v>
      </c>
      <c r="AE15" s="300" t="s">
        <v>370</v>
      </c>
    </row>
    <row r="16" spans="1:31" s="174" customFormat="1" ht="21" hidden="1" customHeight="1" x14ac:dyDescent="0.25">
      <c r="B16" s="301" t="s">
        <v>358</v>
      </c>
      <c r="C16" s="297">
        <f>'主表1（成本）'!B86</f>
        <v>80843</v>
      </c>
      <c r="D16" s="309">
        <f t="shared" si="0"/>
        <v>0.26719999999999999</v>
      </c>
      <c r="E16" s="297">
        <f>ROUND(C16/规划指标!$G$24*10000,0)</f>
        <v>4119</v>
      </c>
      <c r="G16" s="766"/>
      <c r="H16" s="298" t="s">
        <v>369</v>
      </c>
      <c r="I16" s="306">
        <f>'主表1（成本）'!E14</f>
        <v>27913</v>
      </c>
      <c r="J16" s="310">
        <f t="shared" si="1"/>
        <v>9.2200000000000004E-2</v>
      </c>
      <c r="K16" s="770"/>
      <c r="M16" s="302" t="str">
        <f>规划指标!F6</f>
        <v>商业</v>
      </c>
      <c r="N16" s="303">
        <f>'底表1（销售计划）'!C23</f>
        <v>26009</v>
      </c>
      <c r="O16" s="304">
        <f>规划指标!G6</f>
        <v>2075</v>
      </c>
      <c r="P16" s="305">
        <f>'底表1（销售计划）'!C24</f>
        <v>1</v>
      </c>
      <c r="Q16" s="303">
        <f>'底表1（销售计划）'!C20</f>
        <v>5402</v>
      </c>
      <c r="S16" s="768"/>
      <c r="T16" s="300" t="s">
        <v>380</v>
      </c>
      <c r="U16" s="311">
        <f>'底表1（销售计划）'!H5</f>
        <v>40291</v>
      </c>
      <c r="V16" s="311">
        <f>'底表1（销售计划）'!I5</f>
        <v>67237</v>
      </c>
      <c r="W16" s="311">
        <f>'底表1（销售计划）'!J5</f>
        <v>53111</v>
      </c>
      <c r="X16" s="311">
        <f>'底表1（销售计划）'!K5</f>
        <v>38732</v>
      </c>
      <c r="Z16" s="778"/>
      <c r="AA16" s="300" t="s">
        <v>381</v>
      </c>
      <c r="AB16" s="306">
        <f>'主表3（损益表）'!H7</f>
        <v>38956</v>
      </c>
      <c r="AC16" s="306">
        <f>'主表3（损益表）'!I7</f>
        <v>46364</v>
      </c>
      <c r="AD16" s="306">
        <f>'主表3（损益表）'!J7</f>
        <v>44949</v>
      </c>
      <c r="AE16" s="306">
        <f>'主表3（损益表）'!K7</f>
        <v>33738</v>
      </c>
    </row>
    <row r="17" spans="2:31" s="174" customFormat="1" ht="21" hidden="1" customHeight="1" x14ac:dyDescent="0.25">
      <c r="B17" s="301" t="s">
        <v>359</v>
      </c>
      <c r="C17" s="297">
        <f>'主表1（成本）'!B87</f>
        <v>75008</v>
      </c>
      <c r="D17" s="309">
        <f t="shared" si="0"/>
        <v>0.24790000000000001</v>
      </c>
      <c r="E17" s="297">
        <f>ROUND(C17/规划指标!$G$24*10000,0)</f>
        <v>3821</v>
      </c>
      <c r="G17" s="766"/>
      <c r="H17" s="298" t="s">
        <v>370</v>
      </c>
      <c r="I17" s="306">
        <f>'主表1（成本）'!F14</f>
        <v>17318</v>
      </c>
      <c r="J17" s="310">
        <f t="shared" si="1"/>
        <v>5.7200000000000001E-2</v>
      </c>
      <c r="K17" s="770"/>
      <c r="M17" s="302" t="str">
        <f>规划指标!F7</f>
        <v>居服配套</v>
      </c>
      <c r="N17" s="303">
        <f>'底表1（销售计划）'!C30</f>
        <v>6001</v>
      </c>
      <c r="O17" s="304">
        <f>规划指标!G7</f>
        <v>1903</v>
      </c>
      <c r="P17" s="305">
        <f>'底表1（销售计划）'!C31</f>
        <v>1</v>
      </c>
      <c r="Q17" s="303">
        <f>'底表1（销售计划）'!C27</f>
        <v>12276</v>
      </c>
      <c r="S17" s="767" t="str">
        <f>G22</f>
        <v>2023年</v>
      </c>
      <c r="T17" s="300" t="s">
        <v>364</v>
      </c>
      <c r="U17" s="307" t="s">
        <v>367</v>
      </c>
      <c r="V17" s="308" t="s">
        <v>368</v>
      </c>
      <c r="W17" s="308" t="s">
        <v>369</v>
      </c>
      <c r="X17" s="308" t="s">
        <v>370</v>
      </c>
      <c r="Z17" s="777" t="str">
        <f>S17</f>
        <v>2023年</v>
      </c>
      <c r="AA17" s="300" t="s">
        <v>364</v>
      </c>
      <c r="AB17" s="300" t="s">
        <v>367</v>
      </c>
      <c r="AC17" s="300" t="s">
        <v>368</v>
      </c>
      <c r="AD17" s="300" t="s">
        <v>369</v>
      </c>
      <c r="AE17" s="300" t="s">
        <v>370</v>
      </c>
    </row>
    <row r="18" spans="2:31" s="174" customFormat="1" ht="21" hidden="1" customHeight="1" x14ac:dyDescent="0.25">
      <c r="B18" s="301" t="s">
        <v>360</v>
      </c>
      <c r="C18" s="297">
        <f>'主表1（成本）'!B108</f>
        <v>1617</v>
      </c>
      <c r="D18" s="309">
        <f t="shared" si="0"/>
        <v>5.3E-3</v>
      </c>
      <c r="E18" s="297">
        <f>ROUND(C18/规划指标!$G$24*10000,0)</f>
        <v>82</v>
      </c>
      <c r="G18" s="766" t="str">
        <f>'主表1（成本）'!G3</f>
        <v>2022年</v>
      </c>
      <c r="H18" s="298" t="s">
        <v>367</v>
      </c>
      <c r="I18" s="569">
        <f>'主表1（成本）'!G14</f>
        <v>11977</v>
      </c>
      <c r="J18" s="310">
        <f t="shared" si="1"/>
        <v>3.9600000000000003E-2</v>
      </c>
      <c r="K18" s="770" t="s">
        <v>371</v>
      </c>
      <c r="M18" s="302">
        <f>规划指标!F8</f>
        <v>0</v>
      </c>
      <c r="N18" s="303">
        <f>'底表1（销售计划）'!C37</f>
        <v>3750</v>
      </c>
      <c r="O18" s="304">
        <f>规划指标!G8</f>
        <v>0</v>
      </c>
      <c r="P18" s="305">
        <f>'底表1（销售计划）'!C38</f>
        <v>1</v>
      </c>
      <c r="Q18" s="303">
        <f>'底表1（销售计划）'!C34</f>
        <v>20940</v>
      </c>
      <c r="S18" s="768"/>
      <c r="T18" s="300" t="s">
        <v>380</v>
      </c>
      <c r="U18" s="311">
        <f>'底表1（销售计划）'!L5</f>
        <v>37068</v>
      </c>
      <c r="V18" s="311">
        <f>'底表1（销售计划）'!M5</f>
        <v>18066</v>
      </c>
      <c r="W18" s="311">
        <f>'底表1（销售计划）'!N5</f>
        <v>13280</v>
      </c>
      <c r="X18" s="311">
        <f>'底表1（销售计划）'!O5</f>
        <v>13009</v>
      </c>
      <c r="Z18" s="778"/>
      <c r="AA18" s="300" t="s">
        <v>381</v>
      </c>
      <c r="AB18" s="306">
        <f>'主表3（损益表）'!L7</f>
        <v>29444</v>
      </c>
      <c r="AC18" s="306">
        <f>'主表3（损益表）'!M7</f>
        <v>18628</v>
      </c>
      <c r="AD18" s="306">
        <f>'主表3（损益表）'!N7</f>
        <v>11534</v>
      </c>
      <c r="AE18" s="306">
        <f>'主表3（损益表）'!O7</f>
        <v>10260</v>
      </c>
    </row>
    <row r="19" spans="2:31" s="174" customFormat="1" ht="21" hidden="1" customHeight="1" x14ac:dyDescent="0.25">
      <c r="B19" s="301" t="s">
        <v>271</v>
      </c>
      <c r="C19" s="297">
        <f>'主表1（成本）'!B109</f>
        <v>7082</v>
      </c>
      <c r="D19" s="309">
        <f t="shared" si="0"/>
        <v>2.3400000000000001E-2</v>
      </c>
      <c r="E19" s="297">
        <f>ROUND(C19/规划指标!$G$24*10000,0)</f>
        <v>361</v>
      </c>
      <c r="G19" s="766"/>
      <c r="H19" s="298" t="s">
        <v>368</v>
      </c>
      <c r="I19" s="569">
        <f>'主表1（成本）'!H14</f>
        <v>11011</v>
      </c>
      <c r="J19" s="310">
        <f t="shared" si="1"/>
        <v>3.6400000000000002E-2</v>
      </c>
      <c r="K19" s="770"/>
      <c r="M19" s="302">
        <f>规划指标!F9</f>
        <v>0</v>
      </c>
      <c r="N19" s="303" t="e">
        <f>'底表1（销售计划）'!C44</f>
        <v>#DIV/0!</v>
      </c>
      <c r="O19" s="304">
        <f>规划指标!G9</f>
        <v>0</v>
      </c>
      <c r="P19" s="305">
        <f>'底表1（销售计划）'!C45</f>
        <v>0</v>
      </c>
      <c r="Q19" s="303">
        <f>'底表1（销售计划）'!C41</f>
        <v>0</v>
      </c>
      <c r="S19" s="767" t="str">
        <f>G26</f>
        <v>2024年</v>
      </c>
      <c r="T19" s="300" t="s">
        <v>364</v>
      </c>
      <c r="U19" s="307" t="s">
        <v>367</v>
      </c>
      <c r="V19" s="308" t="s">
        <v>368</v>
      </c>
      <c r="W19" s="308" t="s">
        <v>369</v>
      </c>
      <c r="X19" s="308" t="s">
        <v>370</v>
      </c>
      <c r="Z19" s="777" t="str">
        <f>S19</f>
        <v>2024年</v>
      </c>
      <c r="AA19" s="300" t="s">
        <v>364</v>
      </c>
      <c r="AB19" s="300" t="s">
        <v>367</v>
      </c>
      <c r="AC19" s="300" t="s">
        <v>368</v>
      </c>
      <c r="AD19" s="300" t="s">
        <v>369</v>
      </c>
      <c r="AE19" s="300" t="s">
        <v>370</v>
      </c>
    </row>
    <row r="20" spans="2:31" s="174" customFormat="1" ht="21" hidden="1" customHeight="1" x14ac:dyDescent="0.25">
      <c r="B20" s="301" t="s">
        <v>272</v>
      </c>
      <c r="C20" s="297">
        <f>'主表1（成本）'!B110</f>
        <v>5488</v>
      </c>
      <c r="D20" s="309">
        <f t="shared" si="0"/>
        <v>1.8100000000000002E-2</v>
      </c>
      <c r="E20" s="297">
        <f>ROUND(C20/规划指标!$G$24*10000,0)</f>
        <v>280</v>
      </c>
      <c r="G20" s="766"/>
      <c r="H20" s="298" t="s">
        <v>369</v>
      </c>
      <c r="I20" s="569">
        <f>'主表1（成本）'!I14</f>
        <v>9990</v>
      </c>
      <c r="J20" s="310">
        <f t="shared" si="1"/>
        <v>3.3000000000000002E-2</v>
      </c>
      <c r="K20" s="770"/>
      <c r="M20" s="302">
        <f>规划指标!F10</f>
        <v>0</v>
      </c>
      <c r="N20" s="303" t="e">
        <f>'底表1（销售计划）'!C51</f>
        <v>#DIV/0!</v>
      </c>
      <c r="O20" s="304">
        <f>规划指标!G10</f>
        <v>0</v>
      </c>
      <c r="P20" s="305">
        <f>'底表1（销售计划）'!C52</f>
        <v>0</v>
      </c>
      <c r="Q20" s="303">
        <f>'底表1（销售计划）'!C48</f>
        <v>0</v>
      </c>
      <c r="S20" s="768"/>
      <c r="T20" s="300" t="s">
        <v>380</v>
      </c>
      <c r="U20" s="311">
        <f>'底表1（销售计划）'!P5</f>
        <v>1664</v>
      </c>
      <c r="V20" s="311">
        <f>'底表1（销售计划）'!Q5</f>
        <v>0</v>
      </c>
      <c r="W20" s="311">
        <f>'底表1（销售计划）'!R5</f>
        <v>0</v>
      </c>
      <c r="X20" s="311">
        <f>'底表1（销售计划）'!S5</f>
        <v>0</v>
      </c>
      <c r="Z20" s="778"/>
      <c r="AA20" s="300" t="s">
        <v>381</v>
      </c>
      <c r="AB20" s="306">
        <f>'主表3（损益表）'!P7</f>
        <v>3972</v>
      </c>
      <c r="AC20" s="306">
        <f>'主表3（损益表）'!Q7</f>
        <v>390</v>
      </c>
      <c r="AD20" s="306">
        <f>'主表3（损益表）'!R7</f>
        <v>0</v>
      </c>
      <c r="AE20" s="306">
        <f>'主表3（损益表）'!S7</f>
        <v>0</v>
      </c>
    </row>
    <row r="21" spans="2:31" s="174" customFormat="1" ht="21" hidden="1" customHeight="1" x14ac:dyDescent="0.25">
      <c r="B21" s="301" t="s">
        <v>361</v>
      </c>
      <c r="C21" s="297">
        <f>'主表1（成本）'!B111</f>
        <v>12470</v>
      </c>
      <c r="D21" s="309">
        <f t="shared" si="0"/>
        <v>4.1200000000000001E-2</v>
      </c>
      <c r="E21" s="297">
        <f>ROUND(C21/规划指标!$G$24*10000,0)</f>
        <v>635</v>
      </c>
      <c r="G21" s="766"/>
      <c r="H21" s="298" t="s">
        <v>370</v>
      </c>
      <c r="I21" s="569">
        <f>'主表1（成本）'!J14</f>
        <v>9394</v>
      </c>
      <c r="J21" s="310">
        <f t="shared" si="1"/>
        <v>3.1E-2</v>
      </c>
      <c r="K21" s="770"/>
      <c r="M21" s="302">
        <f>规划指标!F11</f>
        <v>0</v>
      </c>
      <c r="N21" s="303" t="e">
        <f>'底表1（销售计划）'!C58</f>
        <v>#DIV/0!</v>
      </c>
      <c r="O21" s="304">
        <f>规划指标!G11</f>
        <v>0</v>
      </c>
      <c r="P21" s="305">
        <f>'底表1（销售计划）'!C59</f>
        <v>0</v>
      </c>
      <c r="Q21" s="303">
        <f>'底表1（销售计划）'!C55</f>
        <v>0</v>
      </c>
      <c r="S21" s="767" t="str">
        <f>G30</f>
        <v>2025年</v>
      </c>
      <c r="T21" s="300" t="s">
        <v>364</v>
      </c>
      <c r="U21" s="300" t="s">
        <v>367</v>
      </c>
      <c r="V21" s="300" t="s">
        <v>368</v>
      </c>
      <c r="W21" s="300" t="s">
        <v>369</v>
      </c>
      <c r="X21" s="300" t="s">
        <v>370</v>
      </c>
      <c r="Z21" s="777" t="str">
        <f>S21</f>
        <v>2025年</v>
      </c>
      <c r="AA21" s="300" t="s">
        <v>364</v>
      </c>
      <c r="AB21" s="300" t="s">
        <v>367</v>
      </c>
      <c r="AC21" s="300" t="s">
        <v>368</v>
      </c>
      <c r="AD21" s="300" t="s">
        <v>369</v>
      </c>
      <c r="AE21" s="300" t="s">
        <v>370</v>
      </c>
    </row>
    <row r="22" spans="2:31" s="174" customFormat="1" ht="21" hidden="1" customHeight="1" x14ac:dyDescent="0.25">
      <c r="B22" s="301" t="s">
        <v>244</v>
      </c>
      <c r="C22" s="297">
        <f>'主表1（成本）'!B112</f>
        <v>2744</v>
      </c>
      <c r="D22" s="309">
        <f>C22/$C$24</f>
        <v>9.1000000000000004E-3</v>
      </c>
      <c r="E22" s="297">
        <f>ROUND(C22/规划指标!$G$24*10000,0)</f>
        <v>140</v>
      </c>
      <c r="G22" s="766" t="str">
        <f>'主表1（成本）'!K3</f>
        <v>2023年</v>
      </c>
      <c r="H22" s="298" t="s">
        <v>367</v>
      </c>
      <c r="I22" s="569">
        <f>'主表1（成本）'!K14</f>
        <v>7578</v>
      </c>
      <c r="J22" s="310">
        <f t="shared" si="1"/>
        <v>2.5000000000000001E-2</v>
      </c>
      <c r="K22" s="770" t="s">
        <v>371</v>
      </c>
      <c r="M22" s="302">
        <f>规划指标!F12</f>
        <v>0</v>
      </c>
      <c r="N22" s="303" t="e">
        <f>'底表1（销售计划）'!C65</f>
        <v>#DIV/0!</v>
      </c>
      <c r="O22" s="304">
        <f>规划指标!G12</f>
        <v>0</v>
      </c>
      <c r="P22" s="305">
        <f>'底表1（销售计划）'!C66</f>
        <v>0</v>
      </c>
      <c r="Q22" s="303">
        <f>'底表1（销售计划）'!C62</f>
        <v>0</v>
      </c>
      <c r="S22" s="768"/>
      <c r="T22" s="300" t="s">
        <v>380</v>
      </c>
      <c r="U22" s="570">
        <f>'底表1（销售计划）'!T5</f>
        <v>0</v>
      </c>
      <c r="V22" s="570">
        <f>'底表1（销售计划）'!U5</f>
        <v>0</v>
      </c>
      <c r="W22" s="570">
        <f>'底表1（销售计划）'!V5</f>
        <v>0</v>
      </c>
      <c r="X22" s="570">
        <f>'底表1（销售计划）'!W5</f>
        <v>0</v>
      </c>
      <c r="Z22" s="778"/>
      <c r="AA22" s="300" t="s">
        <v>381</v>
      </c>
      <c r="AB22" s="306">
        <f>'主表3（损益表）'!T7</f>
        <v>0</v>
      </c>
      <c r="AC22" s="306">
        <f>'主表3（损益表）'!U7</f>
        <v>0</v>
      </c>
      <c r="AD22" s="306">
        <f>'主表3（损益表）'!V7</f>
        <v>0</v>
      </c>
      <c r="AE22" s="306">
        <f>'主表3（损益表）'!W7</f>
        <v>0</v>
      </c>
    </row>
    <row r="23" spans="2:31" s="174" customFormat="1" ht="21" hidden="1" customHeight="1" x14ac:dyDescent="0.25">
      <c r="B23" s="301" t="s">
        <v>362</v>
      </c>
      <c r="C23" s="297">
        <f>'主表1（成本）'!B113</f>
        <v>404</v>
      </c>
      <c r="D23" s="309">
        <f>C23/$C$24</f>
        <v>1.2999999999999999E-3</v>
      </c>
      <c r="E23" s="297">
        <f>ROUND(C23/规划指标!$G$24*10000,0)</f>
        <v>21</v>
      </c>
      <c r="G23" s="766"/>
      <c r="H23" s="298" t="s">
        <v>368</v>
      </c>
      <c r="I23" s="569">
        <f>'主表1（成本）'!L14</f>
        <v>7302</v>
      </c>
      <c r="J23" s="310">
        <f t="shared" si="1"/>
        <v>2.41E-2</v>
      </c>
      <c r="K23" s="770"/>
      <c r="M23" s="302">
        <f>规划指标!F13</f>
        <v>0</v>
      </c>
      <c r="N23" s="303" t="e">
        <f>'底表1（销售计划）'!C72</f>
        <v>#DIV/0!</v>
      </c>
      <c r="O23" s="304">
        <f>规划指标!G13</f>
        <v>0</v>
      </c>
      <c r="P23" s="305">
        <f>'底表1（销售计划）'!C73</f>
        <v>0</v>
      </c>
      <c r="Q23" s="303">
        <f>'底表1（销售计划）'!C69</f>
        <v>0</v>
      </c>
      <c r="S23" s="767" t="str">
        <f>G34</f>
        <v>2026年</v>
      </c>
      <c r="T23" s="300" t="s">
        <v>364</v>
      </c>
      <c r="U23" s="307" t="s">
        <v>367</v>
      </c>
      <c r="V23" s="308" t="s">
        <v>368</v>
      </c>
      <c r="W23" s="308" t="s">
        <v>369</v>
      </c>
      <c r="X23" s="308" t="s">
        <v>370</v>
      </c>
      <c r="Z23" s="777" t="str">
        <f>S23</f>
        <v>2026年</v>
      </c>
      <c r="AA23" s="300" t="s">
        <v>364</v>
      </c>
      <c r="AB23" s="307" t="s">
        <v>367</v>
      </c>
      <c r="AC23" s="308" t="s">
        <v>368</v>
      </c>
      <c r="AD23" s="308" t="s">
        <v>369</v>
      </c>
      <c r="AE23" s="308" t="s">
        <v>370</v>
      </c>
    </row>
    <row r="24" spans="2:31" s="174" customFormat="1" ht="21" hidden="1" customHeight="1" x14ac:dyDescent="0.25">
      <c r="B24" s="301" t="s">
        <v>158</v>
      </c>
      <c r="C24" s="297">
        <f>SUM(C14:C23)-C17</f>
        <v>302593</v>
      </c>
      <c r="D24" s="309">
        <f>SUM(D14:D23)-D17</f>
        <v>1</v>
      </c>
      <c r="E24" s="297">
        <f>ROUND(C24/规划指标!$G$24*10000,0)</f>
        <v>15416</v>
      </c>
      <c r="G24" s="766"/>
      <c r="H24" s="298" t="s">
        <v>369</v>
      </c>
      <c r="I24" s="569">
        <f>'主表1（成本）'!M14</f>
        <v>5413</v>
      </c>
      <c r="J24" s="310">
        <f t="shared" si="1"/>
        <v>1.7899999999999999E-2</v>
      </c>
      <c r="K24" s="770"/>
      <c r="M24" s="302">
        <f>规划指标!F14</f>
        <v>0</v>
      </c>
      <c r="N24" s="303" t="e">
        <f>'底表1（销售计划）'!C79</f>
        <v>#DIV/0!</v>
      </c>
      <c r="O24" s="304">
        <f>规划指标!G14</f>
        <v>0</v>
      </c>
      <c r="P24" s="305">
        <f>'底表1（销售计划）'!C80</f>
        <v>0</v>
      </c>
      <c r="Q24" s="303">
        <f>'底表1（销售计划）'!C76</f>
        <v>0</v>
      </c>
      <c r="S24" s="768"/>
      <c r="T24" s="300" t="s">
        <v>380</v>
      </c>
      <c r="U24" s="311">
        <f>'底表1（销售计划）'!X5</f>
        <v>0</v>
      </c>
      <c r="V24" s="311">
        <f>'底表1（销售计划）'!Y5</f>
        <v>0</v>
      </c>
      <c r="W24" s="311">
        <f>'底表1（销售计划）'!Z5</f>
        <v>0</v>
      </c>
      <c r="X24" s="311">
        <f>'底表1（销售计划）'!AA5</f>
        <v>0</v>
      </c>
      <c r="Z24" s="778"/>
      <c r="AA24" s="300" t="s">
        <v>380</v>
      </c>
      <c r="AB24" s="311">
        <f>'底表1（销售计划）'!K15</f>
        <v>46</v>
      </c>
      <c r="AC24" s="312">
        <f>'底表1（销售计划）'!L15</f>
        <v>46</v>
      </c>
      <c r="AD24" s="312">
        <f>'底表1（销售计划）'!M15</f>
        <v>36</v>
      </c>
      <c r="AE24" s="312">
        <f>'底表1（销售计划）'!N15</f>
        <v>27</v>
      </c>
    </row>
    <row r="25" spans="2:31" s="174" customFormat="1" ht="21" hidden="1" customHeight="1" x14ac:dyDescent="0.25">
      <c r="G25" s="766"/>
      <c r="H25" s="298" t="s">
        <v>370</v>
      </c>
      <c r="I25" s="569">
        <f>'主表1（成本）'!N14</f>
        <v>5381</v>
      </c>
      <c r="J25" s="310">
        <f t="shared" si="1"/>
        <v>1.78E-2</v>
      </c>
      <c r="K25" s="770"/>
      <c r="M25" s="302">
        <f>规划指标!F15</f>
        <v>0</v>
      </c>
      <c r="N25" s="303" t="e">
        <f>'底表1（销售计划）'!C86</f>
        <v>#DIV/0!</v>
      </c>
      <c r="O25" s="304">
        <f>规划指标!G15</f>
        <v>0</v>
      </c>
      <c r="P25" s="305">
        <f>'底表1（销售计划）'!C87</f>
        <v>0</v>
      </c>
      <c r="Q25" s="303">
        <f>'底表1（销售计划）'!C83</f>
        <v>0</v>
      </c>
      <c r="S25" s="767" t="str">
        <f>G38</f>
        <v>2027年</v>
      </c>
      <c r="T25" s="300" t="s">
        <v>364</v>
      </c>
      <c r="U25" s="307" t="s">
        <v>367</v>
      </c>
      <c r="V25" s="308" t="s">
        <v>368</v>
      </c>
      <c r="W25" s="308" t="s">
        <v>369</v>
      </c>
      <c r="X25" s="308" t="s">
        <v>370</v>
      </c>
      <c r="Z25" s="777" t="str">
        <f>S25</f>
        <v>2027年</v>
      </c>
      <c r="AA25" s="300" t="s">
        <v>364</v>
      </c>
      <c r="AB25" s="307" t="s">
        <v>367</v>
      </c>
      <c r="AC25" s="308" t="s">
        <v>368</v>
      </c>
      <c r="AD25" s="308" t="s">
        <v>369</v>
      </c>
      <c r="AE25" s="308" t="s">
        <v>370</v>
      </c>
    </row>
    <row r="26" spans="2:31" s="174" customFormat="1" ht="21" hidden="1" customHeight="1" x14ac:dyDescent="0.25">
      <c r="G26" s="766" t="str">
        <f>'主表1（成本）'!O3</f>
        <v>2024年</v>
      </c>
      <c r="H26" s="298" t="s">
        <v>367</v>
      </c>
      <c r="I26" s="569">
        <f>'主表1（成本）'!O14</f>
        <v>4367</v>
      </c>
      <c r="J26" s="310">
        <f t="shared" si="1"/>
        <v>1.44E-2</v>
      </c>
      <c r="K26" s="770" t="s">
        <v>371</v>
      </c>
      <c r="M26" s="302">
        <f>规划指标!F16</f>
        <v>0</v>
      </c>
      <c r="N26" s="303" t="e">
        <f>'底表1（销售计划）'!C93</f>
        <v>#DIV/0!</v>
      </c>
      <c r="O26" s="304">
        <f>规划指标!G16</f>
        <v>0</v>
      </c>
      <c r="P26" s="305">
        <f>'底表1（销售计划）'!C94</f>
        <v>0</v>
      </c>
      <c r="Q26" s="303">
        <f>'底表1（销售计划）'!C90</f>
        <v>0</v>
      </c>
      <c r="S26" s="768"/>
      <c r="T26" s="300" t="s">
        <v>380</v>
      </c>
      <c r="U26" s="311">
        <f>'底表1（销售计划）'!AB5</f>
        <v>0</v>
      </c>
      <c r="V26" s="311">
        <f>'底表1（销售计划）'!AC5</f>
        <v>0</v>
      </c>
      <c r="W26" s="311">
        <f>'底表1（销售计划）'!AD5</f>
        <v>0</v>
      </c>
      <c r="X26" s="311">
        <f>'底表1（销售计划）'!AE5</f>
        <v>0</v>
      </c>
      <c r="Z26" s="778"/>
      <c r="AA26" s="300" t="s">
        <v>380</v>
      </c>
      <c r="AB26" s="311">
        <f>'底表1（销售计划）'!O15</f>
        <v>27</v>
      </c>
      <c r="AC26" s="311">
        <f>'底表1（销售计划）'!P15</f>
        <v>0</v>
      </c>
      <c r="AD26" s="311">
        <f>'底表1（销售计划）'!Q15</f>
        <v>0</v>
      </c>
      <c r="AE26" s="311">
        <f>'底表1（销售计划）'!R15</f>
        <v>0</v>
      </c>
    </row>
    <row r="27" spans="2:31" s="174" customFormat="1" ht="21" hidden="1" customHeight="1" x14ac:dyDescent="0.25">
      <c r="G27" s="766"/>
      <c r="H27" s="298" t="s">
        <v>368</v>
      </c>
      <c r="I27" s="569">
        <f>'主表1（成本）'!P14</f>
        <v>4285</v>
      </c>
      <c r="J27" s="310">
        <f t="shared" si="1"/>
        <v>1.4200000000000001E-2</v>
      </c>
      <c r="K27" s="770"/>
      <c r="M27" s="302">
        <f>规划指标!F17</f>
        <v>0</v>
      </c>
      <c r="N27" s="303" t="e">
        <f>'底表1（销售计划）'!C100</f>
        <v>#DIV/0!</v>
      </c>
      <c r="O27" s="304">
        <f>规划指标!G17</f>
        <v>0</v>
      </c>
      <c r="P27" s="305">
        <f>'底表1（销售计划）'!C101</f>
        <v>0</v>
      </c>
      <c r="Q27" s="303">
        <f>'底表1（销售计划）'!C97</f>
        <v>0</v>
      </c>
      <c r="S27" s="769" t="str">
        <f>G42</f>
        <v>2028年</v>
      </c>
      <c r="T27" s="300" t="s">
        <v>364</v>
      </c>
      <c r="U27" s="307" t="s">
        <v>367</v>
      </c>
      <c r="V27" s="308" t="s">
        <v>368</v>
      </c>
      <c r="W27" s="308" t="s">
        <v>369</v>
      </c>
      <c r="X27" s="308" t="s">
        <v>370</v>
      </c>
      <c r="Z27" s="777" t="str">
        <f>S27</f>
        <v>2028年</v>
      </c>
      <c r="AA27" s="300" t="s">
        <v>364</v>
      </c>
      <c r="AB27" s="307" t="s">
        <v>367</v>
      </c>
      <c r="AC27" s="308" t="s">
        <v>368</v>
      </c>
      <c r="AD27" s="308" t="s">
        <v>369</v>
      </c>
      <c r="AE27" s="308" t="s">
        <v>370</v>
      </c>
    </row>
    <row r="28" spans="2:31" s="174" customFormat="1" ht="21" hidden="1" customHeight="1" x14ac:dyDescent="0.25">
      <c r="G28" s="766"/>
      <c r="H28" s="298" t="s">
        <v>369</v>
      </c>
      <c r="I28" s="569">
        <f>'主表1（成本）'!Q14</f>
        <v>0</v>
      </c>
      <c r="J28" s="310">
        <f t="shared" si="1"/>
        <v>0</v>
      </c>
      <c r="K28" s="770"/>
      <c r="M28" s="302">
        <f>规划指标!F18</f>
        <v>0</v>
      </c>
      <c r="N28" s="303" t="e">
        <f>'底表1（销售计划）'!C107</f>
        <v>#DIV/0!</v>
      </c>
      <c r="O28" s="304">
        <f>规划指标!G18</f>
        <v>0</v>
      </c>
      <c r="P28" s="305">
        <f>'底表1（销售计划）'!C108</f>
        <v>1</v>
      </c>
      <c r="Q28" s="303">
        <f>'底表1（销售计划）'!C104</f>
        <v>0</v>
      </c>
      <c r="S28" s="768"/>
      <c r="T28" s="300" t="s">
        <v>380</v>
      </c>
      <c r="U28" s="311">
        <f>'底表1（销售计划）'!AF5</f>
        <v>0</v>
      </c>
      <c r="V28" s="311">
        <f>'底表1（销售计划）'!AG5</f>
        <v>0</v>
      </c>
      <c r="W28" s="311">
        <f>'底表1（销售计划）'!AH5</f>
        <v>0</v>
      </c>
      <c r="X28" s="311">
        <f>'底表1（销售计划）'!AI5</f>
        <v>0</v>
      </c>
      <c r="Z28" s="778"/>
      <c r="AA28" s="300" t="s">
        <v>380</v>
      </c>
      <c r="AB28" s="311">
        <f>'底表1（销售计划）'!S15</f>
        <v>0</v>
      </c>
      <c r="AC28" s="311">
        <f>'底表1（销售计划）'!T15</f>
        <v>0</v>
      </c>
      <c r="AD28" s="311">
        <f>'底表1（销售计划）'!U15</f>
        <v>0</v>
      </c>
      <c r="AE28" s="311">
        <f>'底表1（销售计划）'!V15</f>
        <v>0</v>
      </c>
    </row>
    <row r="29" spans="2:31" s="174" customFormat="1" ht="21" hidden="1" customHeight="1" x14ac:dyDescent="0.25">
      <c r="G29" s="766"/>
      <c r="H29" s="298" t="s">
        <v>370</v>
      </c>
      <c r="I29" s="569">
        <f>'主表1（成本）'!R14</f>
        <v>0</v>
      </c>
      <c r="J29" s="310">
        <f t="shared" si="1"/>
        <v>0</v>
      </c>
      <c r="K29" s="770"/>
      <c r="M29" s="299" t="s">
        <v>378</v>
      </c>
      <c r="N29" s="303" t="s">
        <v>379</v>
      </c>
      <c r="O29" s="304" t="s">
        <v>379</v>
      </c>
      <c r="P29" s="305">
        <v>1</v>
      </c>
      <c r="Q29" s="303">
        <f>SUM(Q14:Q28)</f>
        <v>354121</v>
      </c>
      <c r="S29" s="769" t="str">
        <f>G46</f>
        <v>2029年</v>
      </c>
      <c r="T29" s="300" t="s">
        <v>364</v>
      </c>
      <c r="U29" s="307" t="s">
        <v>367</v>
      </c>
      <c r="V29" s="308" t="s">
        <v>368</v>
      </c>
      <c r="W29" s="308" t="s">
        <v>369</v>
      </c>
      <c r="X29" s="308" t="s">
        <v>370</v>
      </c>
      <c r="Z29" s="777" t="str">
        <f>S29</f>
        <v>2029年</v>
      </c>
      <c r="AA29" s="300" t="s">
        <v>364</v>
      </c>
      <c r="AB29" s="307" t="s">
        <v>367</v>
      </c>
      <c r="AC29" s="308" t="s">
        <v>368</v>
      </c>
      <c r="AD29" s="308" t="s">
        <v>369</v>
      </c>
      <c r="AE29" s="308" t="s">
        <v>370</v>
      </c>
    </row>
    <row r="30" spans="2:31" s="174" customFormat="1" ht="21" hidden="1" customHeight="1" x14ac:dyDescent="0.25">
      <c r="G30" s="766" t="str">
        <f>'主表1（成本）'!S3</f>
        <v>2025年</v>
      </c>
      <c r="H30" s="298" t="s">
        <v>367</v>
      </c>
      <c r="I30" s="569">
        <f>'主表1（成本）'!S14</f>
        <v>0</v>
      </c>
      <c r="J30" s="310">
        <f t="shared" si="1"/>
        <v>0</v>
      </c>
      <c r="K30" s="770" t="s">
        <v>371</v>
      </c>
      <c r="S30" s="768"/>
      <c r="T30" s="300" t="s">
        <v>380</v>
      </c>
      <c r="U30" s="311">
        <f>'底表1（销售计划）'!AJ5</f>
        <v>0</v>
      </c>
      <c r="V30" s="311">
        <f>'底表1（销售计划）'!AK5</f>
        <v>0</v>
      </c>
      <c r="W30" s="311">
        <f>'底表1（销售计划）'!AL5</f>
        <v>0</v>
      </c>
      <c r="X30" s="311">
        <f>'底表1（销售计划）'!AM5</f>
        <v>0</v>
      </c>
      <c r="Z30" s="778"/>
      <c r="AA30" s="300" t="s">
        <v>380</v>
      </c>
      <c r="AB30" s="311">
        <f>'底表1（销售计划）'!W15</f>
        <v>0</v>
      </c>
      <c r="AC30" s="311">
        <f>'底表1（销售计划）'!X15</f>
        <v>0</v>
      </c>
      <c r="AD30" s="311">
        <f>'底表1（销售计划）'!Y15</f>
        <v>0</v>
      </c>
      <c r="AE30" s="311">
        <f>'底表1（销售计划）'!Z15</f>
        <v>0</v>
      </c>
    </row>
    <row r="31" spans="2:31" s="174" customFormat="1" ht="21" hidden="1" customHeight="1" x14ac:dyDescent="0.25">
      <c r="G31" s="766"/>
      <c r="H31" s="298" t="s">
        <v>368</v>
      </c>
      <c r="I31" s="569">
        <f>'主表1（成本）'!T14</f>
        <v>0</v>
      </c>
      <c r="J31" s="310">
        <f t="shared" si="1"/>
        <v>0</v>
      </c>
      <c r="K31" s="770"/>
      <c r="S31" s="769" t="str">
        <f>G50</f>
        <v>2030年</v>
      </c>
      <c r="T31" s="300" t="s">
        <v>364</v>
      </c>
      <c r="U31" s="300" t="s">
        <v>367</v>
      </c>
      <c r="V31" s="300" t="s">
        <v>368</v>
      </c>
      <c r="W31" s="300" t="s">
        <v>369</v>
      </c>
      <c r="X31" s="300" t="s">
        <v>370</v>
      </c>
      <c r="Z31" s="777" t="str">
        <f>S31</f>
        <v>2030年</v>
      </c>
      <c r="AA31" s="300" t="s">
        <v>364</v>
      </c>
      <c r="AB31" s="300" t="s">
        <v>367</v>
      </c>
      <c r="AC31" s="300" t="s">
        <v>368</v>
      </c>
      <c r="AD31" s="300" t="s">
        <v>369</v>
      </c>
      <c r="AE31" s="300" t="s">
        <v>370</v>
      </c>
    </row>
    <row r="32" spans="2:31" s="174" customFormat="1" ht="21" hidden="1" customHeight="1" x14ac:dyDescent="0.25">
      <c r="G32" s="766"/>
      <c r="H32" s="298" t="s">
        <v>369</v>
      </c>
      <c r="I32" s="569">
        <f>'主表1（成本）'!U14</f>
        <v>0</v>
      </c>
      <c r="J32" s="310">
        <f t="shared" si="1"/>
        <v>0</v>
      </c>
      <c r="K32" s="770"/>
      <c r="S32" s="768"/>
      <c r="T32" s="300" t="s">
        <v>380</v>
      </c>
      <c r="U32" s="570">
        <f>'底表1（销售计划）'!AN5</f>
        <v>0</v>
      </c>
      <c r="V32" s="570">
        <f>'底表1（销售计划）'!AO5</f>
        <v>0</v>
      </c>
      <c r="W32" s="570">
        <f>'底表1（销售计划）'!AP5</f>
        <v>0</v>
      </c>
      <c r="X32" s="570">
        <f>'底表1（销售计划）'!AQ5</f>
        <v>0</v>
      </c>
      <c r="Z32" s="778"/>
      <c r="AA32" s="300" t="s">
        <v>380</v>
      </c>
      <c r="AB32" s="300">
        <f>'底表1（销售计划）'!AA15</f>
        <v>0</v>
      </c>
      <c r="AC32" s="300">
        <f>'底表1（销售计划）'!AB15</f>
        <v>0</v>
      </c>
      <c r="AD32" s="300">
        <f>'底表1（销售计划）'!AC15</f>
        <v>0</v>
      </c>
      <c r="AE32" s="300">
        <f>'底表1（销售计划）'!AD15</f>
        <v>0</v>
      </c>
    </row>
    <row r="33" spans="3:24" s="174" customFormat="1" ht="21" hidden="1" customHeight="1" x14ac:dyDescent="0.25">
      <c r="G33" s="766"/>
      <c r="H33" s="298" t="s">
        <v>370</v>
      </c>
      <c r="I33" s="569">
        <f>'主表1（成本）'!V14</f>
        <v>0</v>
      </c>
      <c r="J33" s="310">
        <f t="shared" si="1"/>
        <v>0</v>
      </c>
      <c r="K33" s="770"/>
    </row>
    <row r="34" spans="3:24" s="174" customFormat="1" ht="21" hidden="1" customHeight="1" x14ac:dyDescent="0.25">
      <c r="G34" s="766" t="str">
        <f>'主表1（成本）'!W3</f>
        <v>2026年</v>
      </c>
      <c r="H34" s="298" t="s">
        <v>367</v>
      </c>
      <c r="I34" s="569">
        <f>'主表1（成本）'!W14</f>
        <v>0</v>
      </c>
      <c r="J34" s="310">
        <f t="shared" si="1"/>
        <v>0</v>
      </c>
      <c r="K34" s="770" t="s">
        <v>371</v>
      </c>
    </row>
    <row r="35" spans="3:24" s="174" customFormat="1" ht="21" hidden="1" customHeight="1" x14ac:dyDescent="0.25">
      <c r="G35" s="766"/>
      <c r="H35" s="298" t="s">
        <v>368</v>
      </c>
      <c r="I35" s="569">
        <f>'主表1（成本）'!X14</f>
        <v>0</v>
      </c>
      <c r="J35" s="310">
        <f t="shared" si="1"/>
        <v>0</v>
      </c>
      <c r="K35" s="770"/>
    </row>
    <row r="36" spans="3:24" s="174" customFormat="1" ht="21" hidden="1" customHeight="1" x14ac:dyDescent="0.25">
      <c r="G36" s="766"/>
      <c r="H36" s="298" t="s">
        <v>369</v>
      </c>
      <c r="I36" s="569">
        <f>'主表1（成本）'!Y14</f>
        <v>0</v>
      </c>
      <c r="J36" s="310">
        <f t="shared" si="1"/>
        <v>0</v>
      </c>
      <c r="K36" s="770"/>
    </row>
    <row r="37" spans="3:24" s="174" customFormat="1" ht="21" hidden="1" customHeight="1" x14ac:dyDescent="0.25">
      <c r="G37" s="766"/>
      <c r="H37" s="298" t="s">
        <v>370</v>
      </c>
      <c r="I37" s="569">
        <f>'主表1（成本）'!Z14</f>
        <v>0</v>
      </c>
      <c r="J37" s="310">
        <f t="shared" si="1"/>
        <v>0</v>
      </c>
      <c r="K37" s="770"/>
    </row>
    <row r="38" spans="3:24" s="174" customFormat="1" ht="21" hidden="1" customHeight="1" x14ac:dyDescent="0.25">
      <c r="G38" s="766" t="str">
        <f>'主表1（成本）'!AA3</f>
        <v>2027年</v>
      </c>
      <c r="H38" s="298" t="s">
        <v>367</v>
      </c>
      <c r="I38" s="569">
        <f>'主表1（成本）'!AA14</f>
        <v>0</v>
      </c>
      <c r="J38" s="310">
        <f t="shared" si="1"/>
        <v>0</v>
      </c>
      <c r="K38" s="770" t="s">
        <v>371</v>
      </c>
    </row>
    <row r="39" spans="3:24" s="210" customFormat="1" ht="18" hidden="1" customHeight="1" x14ac:dyDescent="0.25">
      <c r="C39" s="243"/>
      <c r="D39" s="243"/>
      <c r="G39" s="766"/>
      <c r="H39" s="298" t="s">
        <v>368</v>
      </c>
      <c r="I39" s="569">
        <f>'主表1（成本）'!AB14</f>
        <v>0</v>
      </c>
      <c r="J39" s="310">
        <f t="shared" si="1"/>
        <v>0</v>
      </c>
      <c r="K39" s="770"/>
      <c r="M39" s="174"/>
      <c r="N39" s="174"/>
      <c r="O39" s="174"/>
      <c r="P39" s="174"/>
      <c r="Q39" s="174"/>
      <c r="S39" s="174"/>
      <c r="T39" s="174"/>
      <c r="U39" s="174"/>
      <c r="V39" s="174"/>
      <c r="W39" s="174"/>
      <c r="X39" s="174"/>
    </row>
    <row r="40" spans="3:24" s="210" customFormat="1" ht="18" hidden="1" customHeight="1" x14ac:dyDescent="0.25">
      <c r="C40" s="243"/>
      <c r="D40" s="243"/>
      <c r="G40" s="766"/>
      <c r="H40" s="298" t="s">
        <v>369</v>
      </c>
      <c r="I40" s="569">
        <f>'主表1（成本）'!AC14</f>
        <v>0</v>
      </c>
      <c r="J40" s="310">
        <f t="shared" si="1"/>
        <v>0</v>
      </c>
      <c r="K40" s="770"/>
      <c r="M40" s="174"/>
      <c r="N40" s="174"/>
      <c r="O40" s="174"/>
      <c r="P40" s="174"/>
      <c r="Q40" s="174"/>
      <c r="S40" s="174"/>
      <c r="T40" s="174"/>
      <c r="U40" s="174"/>
      <c r="V40" s="174"/>
      <c r="W40" s="174"/>
      <c r="X40" s="174"/>
    </row>
    <row r="41" spans="3:24" ht="18" hidden="1" customHeight="1" x14ac:dyDescent="0.25">
      <c r="G41" s="766"/>
      <c r="H41" s="298" t="s">
        <v>370</v>
      </c>
      <c r="I41" s="569">
        <f>'主表1（成本）'!AD14</f>
        <v>0</v>
      </c>
      <c r="J41" s="310">
        <f t="shared" si="1"/>
        <v>0</v>
      </c>
      <c r="K41" s="770"/>
      <c r="M41" s="174"/>
      <c r="N41" s="174"/>
      <c r="O41" s="174"/>
      <c r="P41" s="174"/>
      <c r="Q41" s="174"/>
      <c r="S41" s="174"/>
      <c r="T41" s="174"/>
      <c r="U41" s="174"/>
      <c r="V41" s="174"/>
      <c r="W41" s="174"/>
      <c r="X41" s="174"/>
    </row>
    <row r="42" spans="3:24" ht="18" hidden="1" customHeight="1" x14ac:dyDescent="0.25">
      <c r="G42" s="766" t="str">
        <f>'主表1（成本）'!AE3</f>
        <v>2028年</v>
      </c>
      <c r="H42" s="298" t="s">
        <v>367</v>
      </c>
      <c r="I42" s="569">
        <f>'主表1（成本）'!AE14</f>
        <v>0</v>
      </c>
      <c r="J42" s="310">
        <f t="shared" si="1"/>
        <v>0</v>
      </c>
      <c r="K42" s="770" t="s">
        <v>371</v>
      </c>
      <c r="M42" s="174"/>
      <c r="N42" s="174"/>
      <c r="O42" s="174"/>
      <c r="P42" s="174"/>
      <c r="Q42" s="174"/>
      <c r="S42" s="174"/>
      <c r="T42" s="174"/>
      <c r="U42" s="174"/>
      <c r="V42" s="174"/>
      <c r="W42" s="174"/>
      <c r="X42" s="174"/>
    </row>
    <row r="43" spans="3:24" ht="18" hidden="1" customHeight="1" x14ac:dyDescent="0.25">
      <c r="G43" s="766"/>
      <c r="H43" s="298" t="s">
        <v>368</v>
      </c>
      <c r="I43" s="569">
        <f>'主表1（成本）'!AF14</f>
        <v>0</v>
      </c>
      <c r="J43" s="310">
        <f t="shared" si="1"/>
        <v>0</v>
      </c>
      <c r="K43" s="770"/>
      <c r="M43" s="210"/>
      <c r="N43" s="210"/>
      <c r="O43" s="210"/>
      <c r="P43" s="210"/>
      <c r="Q43" s="210"/>
      <c r="S43" s="174"/>
      <c r="T43" s="174"/>
      <c r="U43" s="174"/>
      <c r="V43" s="174"/>
      <c r="W43" s="174"/>
      <c r="X43" s="174"/>
    </row>
    <row r="44" spans="3:24" ht="18" hidden="1" customHeight="1" x14ac:dyDescent="0.25">
      <c r="G44" s="766"/>
      <c r="H44" s="298" t="s">
        <v>369</v>
      </c>
      <c r="I44" s="569">
        <f>'主表1（成本）'!AG14</f>
        <v>0</v>
      </c>
      <c r="J44" s="310">
        <f t="shared" si="1"/>
        <v>0</v>
      </c>
      <c r="K44" s="770"/>
      <c r="M44" s="210"/>
      <c r="N44" s="210"/>
      <c r="O44" s="210"/>
      <c r="P44" s="210"/>
      <c r="Q44" s="210"/>
      <c r="S44" s="174"/>
      <c r="T44" s="174"/>
      <c r="U44" s="174"/>
      <c r="V44" s="174"/>
      <c r="W44" s="174"/>
      <c r="X44" s="174"/>
    </row>
    <row r="45" spans="3:24" ht="18" hidden="1" customHeight="1" x14ac:dyDescent="0.25">
      <c r="G45" s="766"/>
      <c r="H45" s="298" t="s">
        <v>370</v>
      </c>
      <c r="I45" s="569">
        <f>'主表1（成本）'!AH14</f>
        <v>0</v>
      </c>
      <c r="J45" s="310">
        <f t="shared" si="1"/>
        <v>0</v>
      </c>
      <c r="K45" s="770"/>
      <c r="S45" s="174"/>
      <c r="T45" s="174"/>
      <c r="U45" s="174"/>
      <c r="V45" s="174"/>
      <c r="W45" s="174"/>
      <c r="X45" s="174"/>
    </row>
    <row r="46" spans="3:24" ht="18" hidden="1" customHeight="1" x14ac:dyDescent="0.25">
      <c r="G46" s="766" t="str">
        <f>'主表1（成本）'!AI3</f>
        <v>2029年</v>
      </c>
      <c r="H46" s="298" t="s">
        <v>367</v>
      </c>
      <c r="I46" s="569">
        <f>'主表1（成本）'!AI14</f>
        <v>0</v>
      </c>
      <c r="J46" s="310">
        <f t="shared" si="1"/>
        <v>0</v>
      </c>
      <c r="K46" s="770" t="s">
        <v>371</v>
      </c>
      <c r="S46" s="174"/>
      <c r="T46" s="174"/>
      <c r="U46" s="174"/>
      <c r="V46" s="174"/>
      <c r="W46" s="174"/>
      <c r="X46" s="174"/>
    </row>
    <row r="47" spans="3:24" ht="18" hidden="1" customHeight="1" x14ac:dyDescent="0.15">
      <c r="G47" s="766"/>
      <c r="H47" s="298" t="s">
        <v>368</v>
      </c>
      <c r="I47" s="569">
        <f>'主表1（成本）'!AJ14</f>
        <v>0</v>
      </c>
      <c r="J47" s="310">
        <f t="shared" si="1"/>
        <v>0</v>
      </c>
      <c r="K47" s="770"/>
      <c r="S47" s="210"/>
      <c r="T47" s="210"/>
      <c r="U47" s="210"/>
      <c r="V47" s="210"/>
      <c r="W47" s="210"/>
      <c r="X47" s="210"/>
    </row>
    <row r="48" spans="3:24" ht="18" hidden="1" customHeight="1" x14ac:dyDescent="0.15">
      <c r="G48" s="766"/>
      <c r="H48" s="298" t="s">
        <v>369</v>
      </c>
      <c r="I48" s="569">
        <f>'主表1（成本）'!AK14</f>
        <v>0</v>
      </c>
      <c r="J48" s="310">
        <f t="shared" si="1"/>
        <v>0</v>
      </c>
      <c r="K48" s="770"/>
      <c r="S48" s="210"/>
      <c r="T48" s="210"/>
      <c r="U48" s="210"/>
      <c r="V48" s="210"/>
      <c r="W48" s="210"/>
      <c r="X48" s="210"/>
    </row>
    <row r="49" spans="7:11" ht="18" hidden="1" customHeight="1" x14ac:dyDescent="0.15">
      <c r="G49" s="766"/>
      <c r="H49" s="298" t="s">
        <v>370</v>
      </c>
      <c r="I49" s="569">
        <f>'主表1（成本）'!AL14</f>
        <v>0</v>
      </c>
      <c r="J49" s="310">
        <f t="shared" si="1"/>
        <v>0</v>
      </c>
      <c r="K49" s="770"/>
    </row>
    <row r="50" spans="7:11" ht="18" hidden="1" customHeight="1" x14ac:dyDescent="0.15">
      <c r="G50" s="766" t="str">
        <f>'主表1（成本）'!AM3</f>
        <v>2030年</v>
      </c>
      <c r="H50" s="298" t="s">
        <v>367</v>
      </c>
      <c r="I50" s="569">
        <f>'主表1（成本）'!AM14</f>
        <v>0</v>
      </c>
      <c r="J50" s="310">
        <f t="shared" si="1"/>
        <v>0</v>
      </c>
      <c r="K50" s="770" t="s">
        <v>371</v>
      </c>
    </row>
    <row r="51" spans="7:11" ht="18" hidden="1" customHeight="1" x14ac:dyDescent="0.15">
      <c r="G51" s="766"/>
      <c r="H51" s="298" t="s">
        <v>368</v>
      </c>
      <c r="I51" s="569">
        <f>'主表1（成本）'!AN14</f>
        <v>0</v>
      </c>
      <c r="J51" s="310">
        <f t="shared" si="1"/>
        <v>0</v>
      </c>
      <c r="K51" s="770"/>
    </row>
    <row r="52" spans="7:11" ht="18" hidden="1" customHeight="1" x14ac:dyDescent="0.15">
      <c r="G52" s="766"/>
      <c r="H52" s="298" t="s">
        <v>369</v>
      </c>
      <c r="I52" s="569">
        <f>'主表1（成本）'!AO14</f>
        <v>0</v>
      </c>
      <c r="J52" s="310">
        <f t="shared" si="1"/>
        <v>0</v>
      </c>
      <c r="K52" s="770"/>
    </row>
    <row r="53" spans="7:11" ht="18" hidden="1" customHeight="1" x14ac:dyDescent="0.15">
      <c r="G53" s="766"/>
      <c r="H53" s="298" t="s">
        <v>370</v>
      </c>
      <c r="I53" s="569">
        <f>'主表1（成本）'!AP14</f>
        <v>0</v>
      </c>
      <c r="J53" s="310">
        <f t="shared" si="1"/>
        <v>0</v>
      </c>
      <c r="K53" s="770"/>
    </row>
    <row r="54" spans="7:11" ht="18" hidden="1" customHeight="1" x14ac:dyDescent="0.15">
      <c r="G54" s="766" t="s">
        <v>158</v>
      </c>
      <c r="H54" s="766"/>
      <c r="I54" s="306">
        <f>SUM(I14:I53)</f>
        <v>302593</v>
      </c>
      <c r="J54" s="310">
        <f>SUM(J14:J53)</f>
        <v>0.99990000000000001</v>
      </c>
      <c r="K54" s="307"/>
    </row>
    <row r="55" spans="7:11" ht="18" hidden="1" customHeight="1" x14ac:dyDescent="0.15">
      <c r="G55" s="210"/>
      <c r="H55" s="210"/>
      <c r="I55" s="210"/>
      <c r="J55" s="210"/>
      <c r="K55" s="210"/>
    </row>
    <row r="56" spans="7:11" ht="18" hidden="1" customHeight="1" x14ac:dyDescent="0.15">
      <c r="G56" s="210"/>
      <c r="H56" s="210"/>
      <c r="I56" s="210"/>
      <c r="J56" s="210"/>
      <c r="K56" s="210"/>
    </row>
  </sheetData>
  <mergeCells count="64">
    <mergeCell ref="B5:C5"/>
    <mergeCell ref="B10:C10"/>
    <mergeCell ref="Z31:Z32"/>
    <mergeCell ref="G34:G37"/>
    <mergeCell ref="K34:K37"/>
    <mergeCell ref="G22:G25"/>
    <mergeCell ref="K22:K25"/>
    <mergeCell ref="G26:G29"/>
    <mergeCell ref="G30:G33"/>
    <mergeCell ref="K30:K33"/>
    <mergeCell ref="Z23:Z24"/>
    <mergeCell ref="Z25:Z26"/>
    <mergeCell ref="Z27:Z28"/>
    <mergeCell ref="Z29:Z30"/>
    <mergeCell ref="Z13:Z14"/>
    <mergeCell ref="S13:S14"/>
    <mergeCell ref="A7:A11"/>
    <mergeCell ref="A3:A6"/>
    <mergeCell ref="B8:C8"/>
    <mergeCell ref="E9:F9"/>
    <mergeCell ref="E10:F10"/>
    <mergeCell ref="B6:C6"/>
    <mergeCell ref="B7:C7"/>
    <mergeCell ref="E6:F6"/>
    <mergeCell ref="B4:C4"/>
    <mergeCell ref="B9:C9"/>
    <mergeCell ref="B3:C3"/>
    <mergeCell ref="E3:F3"/>
    <mergeCell ref="E7:F7"/>
    <mergeCell ref="E4:F4"/>
    <mergeCell ref="E8:F8"/>
    <mergeCell ref="E5:F5"/>
    <mergeCell ref="G54:H54"/>
    <mergeCell ref="G38:G41"/>
    <mergeCell ref="K38:K41"/>
    <mergeCell ref="G46:G49"/>
    <mergeCell ref="K46:K49"/>
    <mergeCell ref="G50:G53"/>
    <mergeCell ref="K50:K53"/>
    <mergeCell ref="G42:G45"/>
    <mergeCell ref="K42:K45"/>
    <mergeCell ref="S15:S16"/>
    <mergeCell ref="K18:K21"/>
    <mergeCell ref="H6:I6"/>
    <mergeCell ref="Z19:Z20"/>
    <mergeCell ref="Z21:Z22"/>
    <mergeCell ref="S19:S20"/>
    <mergeCell ref="S21:S22"/>
    <mergeCell ref="N2:AC2"/>
    <mergeCell ref="G18:G21"/>
    <mergeCell ref="S17:S18"/>
    <mergeCell ref="S31:S32"/>
    <mergeCell ref="S29:S30"/>
    <mergeCell ref="S27:S28"/>
    <mergeCell ref="S25:S26"/>
    <mergeCell ref="S23:S24"/>
    <mergeCell ref="K26:K29"/>
    <mergeCell ref="G14:G17"/>
    <mergeCell ref="H3:I3"/>
    <mergeCell ref="H4:I4"/>
    <mergeCell ref="H5:I5"/>
    <mergeCell ref="Z15:Z16"/>
    <mergeCell ref="Z17:Z18"/>
    <mergeCell ref="K14:K17"/>
  </mergeCells>
  <phoneticPr fontId="2" type="noConversion"/>
  <printOptions horizontalCentered="1" verticalCentered="1"/>
  <pageMargins left="0.74803149606299213" right="0.74803149606299213" top="0.66" bottom="0.81" header="0.33" footer="0.51181102362204722"/>
  <pageSetup paperSize="9" scale="8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9"/>
  </sheetPr>
  <dimension ref="A1:CC48"/>
  <sheetViews>
    <sheetView zoomScale="85" zoomScaleNormal="85" zoomScaleSheetLayoutView="85" workbookViewId="0">
      <pane xSplit="3" ySplit="6" topLeftCell="AE7" activePane="bottomRight" state="frozen"/>
      <selection activeCell="S4" sqref="S4"/>
      <selection pane="topRight" activeCell="S4" sqref="S4"/>
      <selection pane="bottomLeft" activeCell="S4" sqref="S4"/>
      <selection pane="bottomRight" activeCell="BS17" sqref="BS17"/>
    </sheetView>
  </sheetViews>
  <sheetFormatPr defaultColWidth="11" defaultRowHeight="18" x14ac:dyDescent="0.3"/>
  <cols>
    <col min="1" max="1" width="6.375" style="54" customWidth="1"/>
    <col min="2" max="2" width="9.125" style="54" customWidth="1"/>
    <col min="3" max="3" width="18" style="54" customWidth="1"/>
    <col min="4" max="4" width="10" style="54" customWidth="1"/>
    <col min="5" max="5" width="10.125" style="54" customWidth="1"/>
    <col min="6" max="36" width="12.125" style="54" customWidth="1"/>
    <col min="37" max="37" width="13.125" style="54" customWidth="1"/>
    <col min="38" max="69" width="13.125" style="54" hidden="1" customWidth="1"/>
    <col min="70" max="71" width="13.125" style="54" customWidth="1"/>
    <col min="72" max="72" width="13.125" style="95" customWidth="1"/>
    <col min="73" max="73" width="14" style="54" customWidth="1"/>
    <col min="74" max="74" width="11" style="54" hidden="1" customWidth="1"/>
    <col min="75" max="75" width="12.625" style="54" hidden="1" customWidth="1"/>
    <col min="76" max="76" width="12.125" style="54" hidden="1" customWidth="1"/>
    <col min="77" max="77" width="18.125" style="54" bestFit="1" customWidth="1"/>
    <col min="78" max="78" width="11" style="54" customWidth="1"/>
    <col min="79" max="79" width="11" style="54" bestFit="1" customWidth="1"/>
    <col min="80" max="16384" width="11" style="54"/>
  </cols>
  <sheetData>
    <row r="1" spans="1:81" ht="24" customHeight="1" x14ac:dyDescent="0.3">
      <c r="A1" s="795" t="s">
        <v>63</v>
      </c>
      <c r="B1" s="795"/>
      <c r="C1" s="795"/>
      <c r="D1" s="795"/>
      <c r="E1" s="795"/>
      <c r="F1" s="795"/>
      <c r="G1" s="795"/>
      <c r="H1" s="795"/>
      <c r="I1" s="795"/>
      <c r="J1" s="795"/>
      <c r="K1" s="795"/>
      <c r="L1" s="795"/>
      <c r="M1" s="795"/>
      <c r="N1" s="795"/>
      <c r="O1" s="795"/>
      <c r="P1" s="795"/>
      <c r="Q1" s="795"/>
      <c r="R1" s="795"/>
      <c r="S1" s="795"/>
      <c r="T1" s="795"/>
      <c r="U1" s="795"/>
      <c r="V1" s="795"/>
      <c r="W1" s="795"/>
      <c r="X1" s="795"/>
      <c r="Y1" s="795"/>
      <c r="Z1" s="795"/>
      <c r="AA1" s="795"/>
      <c r="AB1" s="795"/>
      <c r="AC1" s="795"/>
      <c r="AD1" s="795"/>
      <c r="AE1" s="795"/>
      <c r="AF1" s="795"/>
      <c r="AG1" s="795"/>
      <c r="AH1" s="795"/>
      <c r="AI1" s="795"/>
      <c r="AJ1" s="795"/>
      <c r="AK1" s="795"/>
      <c r="AL1" s="795"/>
      <c r="AM1" s="795"/>
      <c r="AN1" s="795"/>
      <c r="AO1" s="795"/>
      <c r="AP1" s="795"/>
      <c r="AQ1" s="795"/>
      <c r="AR1" s="795"/>
      <c r="AS1" s="795"/>
      <c r="AT1" s="795"/>
      <c r="AU1" s="795"/>
      <c r="AV1" s="795"/>
      <c r="AW1" s="795"/>
      <c r="AX1" s="795"/>
      <c r="AY1" s="795"/>
      <c r="AZ1" s="795"/>
      <c r="BA1" s="795"/>
      <c r="BB1" s="795"/>
      <c r="BC1" s="795"/>
      <c r="BD1" s="795"/>
      <c r="BE1" s="795"/>
      <c r="BF1" s="795"/>
      <c r="BG1" s="795"/>
      <c r="BH1" s="795"/>
      <c r="BI1" s="795"/>
      <c r="BJ1" s="795"/>
      <c r="BK1" s="795"/>
      <c r="BL1" s="795"/>
      <c r="BM1" s="795"/>
      <c r="BN1" s="795"/>
      <c r="BO1" s="795"/>
      <c r="BP1" s="795"/>
      <c r="BQ1" s="795"/>
      <c r="BR1" s="795"/>
      <c r="BS1" s="795"/>
    </row>
    <row r="2" spans="1:81" ht="37.5" customHeight="1" x14ac:dyDescent="0.3">
      <c r="A2" s="55" t="s">
        <v>84</v>
      </c>
      <c r="B2" s="55"/>
      <c r="C2" s="55"/>
      <c r="D2" s="799" t="str">
        <f>基础数据!C5</f>
        <v>北京市密云区檀营乡6005地块R2二类居住用地（编号：京土整储挂（密）[2021]026号）居住项目</v>
      </c>
      <c r="E2" s="799"/>
      <c r="F2" s="799"/>
      <c r="G2" s="799"/>
      <c r="H2" s="799"/>
      <c r="I2" s="799"/>
      <c r="P2" s="44" t="s">
        <v>273</v>
      </c>
      <c r="Q2" s="45">
        <v>1</v>
      </c>
      <c r="R2" s="44" t="s">
        <v>274</v>
      </c>
      <c r="S2" s="45">
        <v>1</v>
      </c>
      <c r="AF2" s="54" t="s">
        <v>190</v>
      </c>
      <c r="AI2" s="54" t="s">
        <v>64</v>
      </c>
    </row>
    <row r="3" spans="1:81" ht="24" customHeight="1" x14ac:dyDescent="0.3">
      <c r="A3" s="796" t="s">
        <v>9</v>
      </c>
      <c r="B3" s="806" t="s">
        <v>85</v>
      </c>
      <c r="C3" s="807"/>
      <c r="D3" s="796" t="s">
        <v>65</v>
      </c>
      <c r="E3" s="796" t="s">
        <v>166</v>
      </c>
      <c r="F3" s="803" t="str">
        <f>CONCATENATE(TEXT(基础数据!C8,"@"),"年")</f>
        <v>2021年</v>
      </c>
      <c r="G3" s="801"/>
      <c r="H3" s="801"/>
      <c r="I3" s="801"/>
      <c r="J3" s="801"/>
      <c r="K3" s="801"/>
      <c r="L3" s="801"/>
      <c r="M3" s="802"/>
      <c r="N3" s="800" t="str">
        <f>CONCATENATE(TEXT(基础数据!C8+1,"@"),"年")</f>
        <v>2022年</v>
      </c>
      <c r="O3" s="801"/>
      <c r="P3" s="801"/>
      <c r="Q3" s="801"/>
      <c r="R3" s="801"/>
      <c r="S3" s="801"/>
      <c r="T3" s="801"/>
      <c r="U3" s="802"/>
      <c r="V3" s="803" t="str">
        <f>CONCATENATE(TEXT(基础数据!C8+2,"@"),"年")</f>
        <v>2023年</v>
      </c>
      <c r="W3" s="801"/>
      <c r="X3" s="801"/>
      <c r="Y3" s="801"/>
      <c r="Z3" s="801"/>
      <c r="AA3" s="801"/>
      <c r="AB3" s="801"/>
      <c r="AC3" s="802"/>
      <c r="AD3" s="794" t="str">
        <f>CONCATENATE(TEXT(基础数据!C8+3,"@"),"年")</f>
        <v>2024年</v>
      </c>
      <c r="AE3" s="794"/>
      <c r="AF3" s="794"/>
      <c r="AG3" s="794"/>
      <c r="AH3" s="794"/>
      <c r="AI3" s="794"/>
      <c r="AJ3" s="794"/>
      <c r="AK3" s="794"/>
      <c r="AL3" s="794" t="str">
        <f>CONCATENATE(TEXT(基础数据!C8+4,"@"),"年")</f>
        <v>2025年</v>
      </c>
      <c r="AM3" s="794"/>
      <c r="AN3" s="794"/>
      <c r="AO3" s="794"/>
      <c r="AP3" s="794"/>
      <c r="AQ3" s="794"/>
      <c r="AR3" s="794"/>
      <c r="AS3" s="794"/>
      <c r="AT3" s="794" t="str">
        <f>CONCATENATE(TEXT(基础数据!C8+5,"@"),"年")</f>
        <v>2026年</v>
      </c>
      <c r="AU3" s="794"/>
      <c r="AV3" s="794"/>
      <c r="AW3" s="794"/>
      <c r="AX3" s="794"/>
      <c r="AY3" s="794"/>
      <c r="AZ3" s="794"/>
      <c r="BA3" s="794"/>
      <c r="BB3" s="794" t="str">
        <f>CONCATENATE(TEXT(基础数据!C8+6,"@"),"年")</f>
        <v>2027年</v>
      </c>
      <c r="BC3" s="794"/>
      <c r="BD3" s="794"/>
      <c r="BE3" s="794"/>
      <c r="BF3" s="794"/>
      <c r="BG3" s="794"/>
      <c r="BH3" s="794"/>
      <c r="BI3" s="794"/>
      <c r="BJ3" s="794" t="str">
        <f>CONCATENATE(TEXT(基础数据!C8+7,"@"),"年")</f>
        <v>2028年</v>
      </c>
      <c r="BK3" s="794"/>
      <c r="BL3" s="794"/>
      <c r="BM3" s="794"/>
      <c r="BN3" s="794"/>
      <c r="BO3" s="794"/>
      <c r="BP3" s="794"/>
      <c r="BQ3" s="794"/>
      <c r="BR3" s="803" t="s">
        <v>86</v>
      </c>
      <c r="BS3" s="802"/>
      <c r="BT3" s="812" t="s">
        <v>75</v>
      </c>
      <c r="BW3" s="54" t="s">
        <v>156</v>
      </c>
      <c r="BX3" s="54" t="s">
        <v>157</v>
      </c>
    </row>
    <row r="4" spans="1:81" ht="24" customHeight="1" x14ac:dyDescent="0.3">
      <c r="A4" s="797"/>
      <c r="B4" s="808"/>
      <c r="C4" s="809"/>
      <c r="D4" s="797"/>
      <c r="E4" s="797"/>
      <c r="F4" s="803" t="s">
        <v>179</v>
      </c>
      <c r="G4" s="802"/>
      <c r="H4" s="803" t="s">
        <v>180</v>
      </c>
      <c r="I4" s="802"/>
      <c r="J4" s="803" t="s">
        <v>181</v>
      </c>
      <c r="K4" s="802"/>
      <c r="L4" s="803" t="s">
        <v>182</v>
      </c>
      <c r="M4" s="802"/>
      <c r="N4" s="794" t="s">
        <v>179</v>
      </c>
      <c r="O4" s="794"/>
      <c r="P4" s="794" t="s">
        <v>180</v>
      </c>
      <c r="Q4" s="794"/>
      <c r="R4" s="794" t="s">
        <v>181</v>
      </c>
      <c r="S4" s="794"/>
      <c r="T4" s="794" t="s">
        <v>182</v>
      </c>
      <c r="U4" s="794"/>
      <c r="V4" s="794" t="s">
        <v>179</v>
      </c>
      <c r="W4" s="794"/>
      <c r="X4" s="794" t="s">
        <v>180</v>
      </c>
      <c r="Y4" s="794"/>
      <c r="Z4" s="794" t="s">
        <v>181</v>
      </c>
      <c r="AA4" s="794"/>
      <c r="AB4" s="794" t="s">
        <v>182</v>
      </c>
      <c r="AC4" s="794"/>
      <c r="AD4" s="794" t="s">
        <v>179</v>
      </c>
      <c r="AE4" s="794"/>
      <c r="AF4" s="794" t="s">
        <v>180</v>
      </c>
      <c r="AG4" s="794"/>
      <c r="AH4" s="794" t="s">
        <v>181</v>
      </c>
      <c r="AI4" s="794"/>
      <c r="AJ4" s="794" t="s">
        <v>182</v>
      </c>
      <c r="AK4" s="794"/>
      <c r="AL4" s="794" t="s">
        <v>179</v>
      </c>
      <c r="AM4" s="794"/>
      <c r="AN4" s="794" t="s">
        <v>180</v>
      </c>
      <c r="AO4" s="794"/>
      <c r="AP4" s="794" t="s">
        <v>181</v>
      </c>
      <c r="AQ4" s="794"/>
      <c r="AR4" s="794" t="s">
        <v>182</v>
      </c>
      <c r="AS4" s="794"/>
      <c r="AT4" s="794" t="s">
        <v>179</v>
      </c>
      <c r="AU4" s="794"/>
      <c r="AV4" s="794" t="s">
        <v>180</v>
      </c>
      <c r="AW4" s="794"/>
      <c r="AX4" s="794" t="s">
        <v>181</v>
      </c>
      <c r="AY4" s="794"/>
      <c r="AZ4" s="794" t="s">
        <v>182</v>
      </c>
      <c r="BA4" s="794"/>
      <c r="BB4" s="794" t="s">
        <v>179</v>
      </c>
      <c r="BC4" s="794"/>
      <c r="BD4" s="794" t="s">
        <v>180</v>
      </c>
      <c r="BE4" s="794"/>
      <c r="BF4" s="794" t="s">
        <v>181</v>
      </c>
      <c r="BG4" s="794"/>
      <c r="BH4" s="794" t="s">
        <v>182</v>
      </c>
      <c r="BI4" s="794"/>
      <c r="BJ4" s="794" t="s">
        <v>179</v>
      </c>
      <c r="BK4" s="794"/>
      <c r="BL4" s="794" t="s">
        <v>180</v>
      </c>
      <c r="BM4" s="794"/>
      <c r="BN4" s="794" t="s">
        <v>181</v>
      </c>
      <c r="BO4" s="794"/>
      <c r="BP4" s="794" t="s">
        <v>182</v>
      </c>
      <c r="BQ4" s="794"/>
      <c r="BR4" s="113"/>
      <c r="BS4" s="109"/>
      <c r="BT4" s="813"/>
    </row>
    <row r="5" spans="1:81" ht="24" customHeight="1" x14ac:dyDescent="0.3">
      <c r="A5" s="798"/>
      <c r="B5" s="810"/>
      <c r="C5" s="811"/>
      <c r="D5" s="798"/>
      <c r="E5" s="798"/>
      <c r="F5" s="82" t="s">
        <v>52</v>
      </c>
      <c r="G5" s="83" t="s">
        <v>2</v>
      </c>
      <c r="H5" s="82" t="s">
        <v>52</v>
      </c>
      <c r="I5" s="83" t="s">
        <v>2</v>
      </c>
      <c r="J5" s="82" t="s">
        <v>52</v>
      </c>
      <c r="K5" s="83" t="s">
        <v>2</v>
      </c>
      <c r="L5" s="82" t="s">
        <v>52</v>
      </c>
      <c r="M5" s="83" t="s">
        <v>2</v>
      </c>
      <c r="N5" s="107" t="s">
        <v>52</v>
      </c>
      <c r="O5" s="107" t="s">
        <v>2</v>
      </c>
      <c r="P5" s="107" t="s">
        <v>52</v>
      </c>
      <c r="Q5" s="107" t="s">
        <v>2</v>
      </c>
      <c r="R5" s="107" t="s">
        <v>52</v>
      </c>
      <c r="S5" s="107" t="s">
        <v>2</v>
      </c>
      <c r="T5" s="107" t="s">
        <v>52</v>
      </c>
      <c r="U5" s="107" t="s">
        <v>2</v>
      </c>
      <c r="V5" s="107" t="s">
        <v>52</v>
      </c>
      <c r="W5" s="107" t="s">
        <v>2</v>
      </c>
      <c r="X5" s="107" t="s">
        <v>52</v>
      </c>
      <c r="Y5" s="107" t="s">
        <v>2</v>
      </c>
      <c r="Z5" s="107" t="s">
        <v>52</v>
      </c>
      <c r="AA5" s="107" t="s">
        <v>2</v>
      </c>
      <c r="AB5" s="107" t="s">
        <v>52</v>
      </c>
      <c r="AC5" s="107" t="s">
        <v>2</v>
      </c>
      <c r="AD5" s="107" t="s">
        <v>52</v>
      </c>
      <c r="AE5" s="107" t="s">
        <v>2</v>
      </c>
      <c r="AF5" s="107" t="s">
        <v>52</v>
      </c>
      <c r="AG5" s="107" t="s">
        <v>2</v>
      </c>
      <c r="AH5" s="107" t="s">
        <v>52</v>
      </c>
      <c r="AI5" s="107" t="s">
        <v>2</v>
      </c>
      <c r="AJ5" s="107" t="s">
        <v>52</v>
      </c>
      <c r="AK5" s="107" t="s">
        <v>2</v>
      </c>
      <c r="AL5" s="107" t="s">
        <v>52</v>
      </c>
      <c r="AM5" s="107" t="s">
        <v>2</v>
      </c>
      <c r="AN5" s="107" t="s">
        <v>52</v>
      </c>
      <c r="AO5" s="107" t="s">
        <v>2</v>
      </c>
      <c r="AP5" s="107" t="s">
        <v>52</v>
      </c>
      <c r="AQ5" s="107" t="s">
        <v>2</v>
      </c>
      <c r="AR5" s="107" t="s">
        <v>52</v>
      </c>
      <c r="AS5" s="107" t="s">
        <v>2</v>
      </c>
      <c r="AT5" s="107" t="s">
        <v>52</v>
      </c>
      <c r="AU5" s="107" t="s">
        <v>2</v>
      </c>
      <c r="AV5" s="107" t="s">
        <v>52</v>
      </c>
      <c r="AW5" s="107" t="s">
        <v>2</v>
      </c>
      <c r="AX5" s="107" t="s">
        <v>52</v>
      </c>
      <c r="AY5" s="107" t="s">
        <v>2</v>
      </c>
      <c r="AZ5" s="107" t="s">
        <v>52</v>
      </c>
      <c r="BA5" s="107" t="s">
        <v>2</v>
      </c>
      <c r="BB5" s="107" t="s">
        <v>52</v>
      </c>
      <c r="BC5" s="107" t="s">
        <v>2</v>
      </c>
      <c r="BD5" s="107" t="s">
        <v>52</v>
      </c>
      <c r="BE5" s="107" t="s">
        <v>2</v>
      </c>
      <c r="BF5" s="107" t="s">
        <v>52</v>
      </c>
      <c r="BG5" s="107" t="s">
        <v>2</v>
      </c>
      <c r="BH5" s="107" t="s">
        <v>52</v>
      </c>
      <c r="BI5" s="107" t="s">
        <v>2</v>
      </c>
      <c r="BJ5" s="107" t="s">
        <v>52</v>
      </c>
      <c r="BK5" s="107" t="s">
        <v>2</v>
      </c>
      <c r="BL5" s="107" t="s">
        <v>52</v>
      </c>
      <c r="BM5" s="107" t="s">
        <v>2</v>
      </c>
      <c r="BN5" s="107" t="s">
        <v>52</v>
      </c>
      <c r="BO5" s="107" t="s">
        <v>2</v>
      </c>
      <c r="BP5" s="107" t="s">
        <v>52</v>
      </c>
      <c r="BQ5" s="107" t="s">
        <v>2</v>
      </c>
      <c r="BR5" s="82" t="s">
        <v>183</v>
      </c>
      <c r="BS5" s="107" t="s">
        <v>2</v>
      </c>
      <c r="BT5" s="814"/>
      <c r="BZ5" s="56"/>
      <c r="CA5" s="56"/>
      <c r="CB5" s="56"/>
      <c r="CC5" s="56"/>
    </row>
    <row r="6" spans="1:81" ht="24" customHeight="1" x14ac:dyDescent="0.3">
      <c r="A6" s="108">
        <v>1</v>
      </c>
      <c r="B6" s="804" t="s">
        <v>2</v>
      </c>
      <c r="C6" s="805"/>
      <c r="D6" s="108" t="s">
        <v>66</v>
      </c>
      <c r="E6" s="57"/>
      <c r="F6" s="84"/>
      <c r="G6" s="84" t="e">
        <f>SUM(G7:G12)</f>
        <v>#REF!</v>
      </c>
      <c r="H6" s="84"/>
      <c r="I6" s="84" t="e">
        <f>SUM(I7:I12)</f>
        <v>#REF!</v>
      </c>
      <c r="J6" s="84"/>
      <c r="K6" s="84" t="e">
        <f>SUM(K7:K12)</f>
        <v>#REF!</v>
      </c>
      <c r="L6" s="84"/>
      <c r="M6" s="84" t="e">
        <f>SUM(M7:M12)</f>
        <v>#REF!</v>
      </c>
      <c r="N6" s="84"/>
      <c r="O6" s="84" t="e">
        <f t="shared" ref="O6:AK6" si="0">SUM(O7:O12)</f>
        <v>#REF!</v>
      </c>
      <c r="P6" s="84"/>
      <c r="Q6" s="84" t="e">
        <f t="shared" si="0"/>
        <v>#REF!</v>
      </c>
      <c r="R6" s="84"/>
      <c r="S6" s="84" t="e">
        <f t="shared" si="0"/>
        <v>#REF!</v>
      </c>
      <c r="T6" s="84"/>
      <c r="U6" s="129" t="e">
        <f t="shared" si="0"/>
        <v>#REF!</v>
      </c>
      <c r="V6" s="129"/>
      <c r="W6" s="129" t="e">
        <f t="shared" si="0"/>
        <v>#REF!</v>
      </c>
      <c r="X6" s="129"/>
      <c r="Y6" s="129" t="e">
        <f t="shared" si="0"/>
        <v>#REF!</v>
      </c>
      <c r="Z6" s="129"/>
      <c r="AA6" s="129" t="e">
        <f t="shared" si="0"/>
        <v>#REF!</v>
      </c>
      <c r="AB6" s="129"/>
      <c r="AC6" s="84" t="e">
        <f t="shared" si="0"/>
        <v>#REF!</v>
      </c>
      <c r="AD6" s="84"/>
      <c r="AE6" s="84" t="e">
        <f t="shared" si="0"/>
        <v>#REF!</v>
      </c>
      <c r="AF6" s="84"/>
      <c r="AG6" s="84" t="e">
        <f t="shared" si="0"/>
        <v>#REF!</v>
      </c>
      <c r="AH6" s="84"/>
      <c r="AI6" s="84" t="e">
        <f t="shared" si="0"/>
        <v>#REF!</v>
      </c>
      <c r="AJ6" s="84"/>
      <c r="AK6" s="84" t="e">
        <f t="shared" si="0"/>
        <v>#REF!</v>
      </c>
      <c r="AL6" s="84"/>
      <c r="AM6" s="84" t="e">
        <f t="shared" ref="AM6:BQ6" si="1">SUM(AM7:AM12)</f>
        <v>#REF!</v>
      </c>
      <c r="AN6" s="84"/>
      <c r="AO6" s="84" t="e">
        <f t="shared" si="1"/>
        <v>#REF!</v>
      </c>
      <c r="AP6" s="84"/>
      <c r="AQ6" s="84" t="e">
        <f t="shared" si="1"/>
        <v>#REF!</v>
      </c>
      <c r="AR6" s="84"/>
      <c r="AS6" s="84" t="e">
        <f t="shared" si="1"/>
        <v>#REF!</v>
      </c>
      <c r="AT6" s="84"/>
      <c r="AU6" s="84" t="e">
        <f t="shared" si="1"/>
        <v>#REF!</v>
      </c>
      <c r="AV6" s="84"/>
      <c r="AW6" s="84" t="e">
        <f t="shared" si="1"/>
        <v>#REF!</v>
      </c>
      <c r="AX6" s="84"/>
      <c r="AY6" s="84" t="e">
        <f t="shared" si="1"/>
        <v>#REF!</v>
      </c>
      <c r="AZ6" s="84"/>
      <c r="BA6" s="84" t="e">
        <f t="shared" si="1"/>
        <v>#REF!</v>
      </c>
      <c r="BB6" s="84"/>
      <c r="BC6" s="84" t="e">
        <f t="shared" si="1"/>
        <v>#REF!</v>
      </c>
      <c r="BD6" s="84"/>
      <c r="BE6" s="84" t="e">
        <f t="shared" si="1"/>
        <v>#REF!</v>
      </c>
      <c r="BF6" s="84"/>
      <c r="BG6" s="84" t="e">
        <f t="shared" si="1"/>
        <v>#REF!</v>
      </c>
      <c r="BH6" s="84"/>
      <c r="BI6" s="84" t="e">
        <f t="shared" si="1"/>
        <v>#REF!</v>
      </c>
      <c r="BJ6" s="84"/>
      <c r="BK6" s="84" t="e">
        <f t="shared" si="1"/>
        <v>#REF!</v>
      </c>
      <c r="BL6" s="84"/>
      <c r="BM6" s="84" t="e">
        <f t="shared" si="1"/>
        <v>#REF!</v>
      </c>
      <c r="BN6" s="84"/>
      <c r="BO6" s="84" t="e">
        <f t="shared" si="1"/>
        <v>#REF!</v>
      </c>
      <c r="BP6" s="84"/>
      <c r="BQ6" s="84" t="e">
        <f t="shared" si="1"/>
        <v>#REF!</v>
      </c>
      <c r="BR6" s="85"/>
      <c r="BS6" s="86" t="e">
        <f>SUMIF($F$5:$BQ$5,$BS$5,F6:BQ6)</f>
        <v>#REF!</v>
      </c>
      <c r="BT6" s="96"/>
      <c r="BU6" s="58"/>
      <c r="BV6" s="58"/>
      <c r="BW6" s="59"/>
      <c r="BX6" s="56"/>
    </row>
    <row r="7" spans="1:81" ht="24" customHeight="1" x14ac:dyDescent="0.3">
      <c r="A7" s="114">
        <v>2</v>
      </c>
      <c r="B7" s="110" t="s">
        <v>70</v>
      </c>
      <c r="C7" s="111" t="str">
        <f>规划指标!F4</f>
        <v>小高层</v>
      </c>
      <c r="D7" s="114" t="s">
        <v>66</v>
      </c>
      <c r="E7" s="25">
        <f t="shared" ref="E7:E12" si="2">G31</f>
        <v>28000</v>
      </c>
      <c r="F7" s="84">
        <f t="shared" ref="F7:F12" si="3">ROUND($BT7*F31,0)</f>
        <v>0</v>
      </c>
      <c r="G7" s="84">
        <f t="shared" ref="G7:G12" si="4">ROUND($G31*F7/10000,0)</f>
        <v>0</v>
      </c>
      <c r="H7" s="84">
        <f t="shared" ref="H7:H12" si="5">ROUND($BT7*H31,0)</f>
        <v>0</v>
      </c>
      <c r="I7" s="84">
        <f>ROUND($I31*H7/10000,0)</f>
        <v>0</v>
      </c>
      <c r="J7" s="84">
        <f t="shared" ref="J7:J12" si="6">ROUND($BT7*J31,0)</f>
        <v>0</v>
      </c>
      <c r="K7" s="84">
        <f>ROUND($K31*J7/10000,0)</f>
        <v>0</v>
      </c>
      <c r="L7" s="84">
        <f t="shared" ref="L7:L12" si="7">ROUND($BT7*L31,0)</f>
        <v>0</v>
      </c>
      <c r="M7" s="84">
        <f>ROUND($M31*L7/10000,0)</f>
        <v>0</v>
      </c>
      <c r="N7" s="84">
        <f t="shared" ref="N7:N12" si="8">ROUND($BT7*N31,0)</f>
        <v>11538</v>
      </c>
      <c r="O7" s="84">
        <f>ROUND($O31*N7/10000,0)</f>
        <v>32306</v>
      </c>
      <c r="P7" s="84">
        <f t="shared" ref="P7:P12" si="9">ROUND($BT7*P31,0)</f>
        <v>14422</v>
      </c>
      <c r="Q7" s="84">
        <f>ROUND($Q31*P7/10000,0)*$Q$2</f>
        <v>40382</v>
      </c>
      <c r="R7" s="128">
        <f t="shared" ref="R7:R12" si="10">ROUND($BT7*R31,0)</f>
        <v>8653</v>
      </c>
      <c r="S7" s="84">
        <f>ROUND($Q31*R7/10000,0)*$Q$2</f>
        <v>24228</v>
      </c>
      <c r="T7" s="84">
        <f t="shared" ref="T7:T12" si="11">ROUND($BT7*T31,0)</f>
        <v>13845</v>
      </c>
      <c r="U7" s="129">
        <f>ROUND($Q31*T7/10000,0)*$Q$2</f>
        <v>38766</v>
      </c>
      <c r="V7" s="130">
        <f t="shared" ref="V7:V12" si="12">ROUND($BT7*V31,0)</f>
        <v>9230</v>
      </c>
      <c r="W7" s="129">
        <f>ROUND($Q31*V7/10000,0)*$Q$2</f>
        <v>25844</v>
      </c>
      <c r="X7" s="131">
        <f t="shared" ref="X7:X12" si="13">ROUND($BT7*X31,0)</f>
        <v>0</v>
      </c>
      <c r="Y7" s="130">
        <f>ROUND($Y31*X7/10000,0)*Q2</f>
        <v>0</v>
      </c>
      <c r="Z7" s="129">
        <f t="shared" ref="Z7:Z12" si="14">ROUND($BT7*Z31,0)</f>
        <v>0</v>
      </c>
      <c r="AA7" s="129">
        <f>ROUND($AA31*Z7/10000,0)</f>
        <v>0</v>
      </c>
      <c r="AB7" s="129">
        <f t="shared" ref="AB7:AB12" si="15">ROUND($BT7*AB31,0)</f>
        <v>0</v>
      </c>
      <c r="AC7" s="84">
        <f>ROUND($AC31*AB7/10000,0)</f>
        <v>0</v>
      </c>
      <c r="AD7" s="84">
        <f t="shared" ref="AD7:AD12" si="16">ROUND($BT7*AD31,0)</f>
        <v>0</v>
      </c>
      <c r="AE7" s="84">
        <f>ROUND($AE31*AD7/10000,0)</f>
        <v>0</v>
      </c>
      <c r="AF7" s="84">
        <f t="shared" ref="AF7:AF12" si="17">ROUND($BT7*AF31,0)</f>
        <v>0</v>
      </c>
      <c r="AG7" s="84">
        <f>ROUND($AG31*AF7/10000,0)</f>
        <v>0</v>
      </c>
      <c r="AH7" s="84">
        <f t="shared" ref="AH7:AH12" si="18">ROUND($BT7*AH31,0)</f>
        <v>0</v>
      </c>
      <c r="AI7" s="84">
        <f>ROUND($AI31*AH7/10000,0)</f>
        <v>0</v>
      </c>
      <c r="AJ7" s="84">
        <f t="shared" ref="AJ7:AJ12" si="19">ROUND($BT7*AJ31,0)</f>
        <v>0</v>
      </c>
      <c r="AK7" s="84">
        <f>ROUND(AK31*AJ7/10000,0)</f>
        <v>0</v>
      </c>
      <c r="AL7" s="84">
        <f t="shared" ref="AL7:AL12" si="20">ROUND($BT7*AL31,0)</f>
        <v>0</v>
      </c>
      <c r="AM7" s="84">
        <f>ROUND(AM31*AL7/10000,0)</f>
        <v>0</v>
      </c>
      <c r="AN7" s="84">
        <f t="shared" ref="AN7:AN12" si="21">ROUND($BT7*AN31,0)</f>
        <v>0</v>
      </c>
      <c r="AO7" s="84">
        <f>ROUND(AO31*AN7/10000,0)</f>
        <v>0</v>
      </c>
      <c r="AP7" s="84">
        <f t="shared" ref="AP7:AP12" si="22">ROUND($BT7*AP31,0)</f>
        <v>0</v>
      </c>
      <c r="AQ7" s="84">
        <f>ROUND(AQ31*AP7/10000,0)</f>
        <v>0</v>
      </c>
      <c r="AR7" s="84">
        <f t="shared" ref="AR7:AR12" si="23">ROUND($BT7*AR31,0)</f>
        <v>0</v>
      </c>
      <c r="AS7" s="84">
        <f>ROUND(AS31*AR7/10000,0)</f>
        <v>0</v>
      </c>
      <c r="AT7" s="84">
        <f t="shared" ref="AT7:AT12" si="24">ROUND($BT7*AT31,0)</f>
        <v>0</v>
      </c>
      <c r="AU7" s="84">
        <f>ROUND(AU31*AT7/10000,0)</f>
        <v>0</v>
      </c>
      <c r="AV7" s="84">
        <f t="shared" ref="AV7:AV12" si="25">ROUND($BT7*AV31,0)</f>
        <v>0</v>
      </c>
      <c r="AW7" s="84">
        <f>ROUND(AW31*AV7/10000,0)</f>
        <v>0</v>
      </c>
      <c r="AX7" s="84">
        <f t="shared" ref="AX7:AX12" si="26">ROUND($BT7*AX31,0)</f>
        <v>0</v>
      </c>
      <c r="AY7" s="84">
        <f>ROUND(AY31*AX7/10000,0)</f>
        <v>0</v>
      </c>
      <c r="AZ7" s="84">
        <f t="shared" ref="AZ7:AZ12" si="27">ROUND($BT7*AZ31,0)</f>
        <v>0</v>
      </c>
      <c r="BA7" s="84">
        <f>ROUND(BA31*AZ7/10000,0)</f>
        <v>0</v>
      </c>
      <c r="BB7" s="84">
        <f t="shared" ref="BB7:BB12" si="28">ROUND($BT7*BB31,0)</f>
        <v>0</v>
      </c>
      <c r="BC7" s="84">
        <f>ROUND(BC31*BB7/10000,0)</f>
        <v>0</v>
      </c>
      <c r="BD7" s="84">
        <f t="shared" ref="BD7:BD12" si="29">ROUND($BT7*BD31,0)</f>
        <v>0</v>
      </c>
      <c r="BE7" s="84">
        <f>ROUND(BE31*BD7/10000,0)</f>
        <v>0</v>
      </c>
      <c r="BF7" s="84">
        <f t="shared" ref="BF7:BF12" si="30">ROUND($BT7*BF31,0)</f>
        <v>0</v>
      </c>
      <c r="BG7" s="84">
        <f>ROUND(BG31*BF7/10000,0)</f>
        <v>0</v>
      </c>
      <c r="BH7" s="84">
        <f t="shared" ref="BH7:BH12" si="31">ROUND($BT7*BH31,0)</f>
        <v>0</v>
      </c>
      <c r="BI7" s="84">
        <f>ROUND(BI31*BH7/10000,0)</f>
        <v>0</v>
      </c>
      <c r="BJ7" s="84">
        <f t="shared" ref="BJ7:BJ12" si="32">ROUND($BT7*BJ31,0)</f>
        <v>0</v>
      </c>
      <c r="BK7" s="84">
        <f>ROUND(BK31*BJ7/10000,0)</f>
        <v>0</v>
      </c>
      <c r="BL7" s="84">
        <f t="shared" ref="BL7:BL12" si="33">ROUND($BT7*BL31,0)</f>
        <v>0</v>
      </c>
      <c r="BM7" s="84">
        <f>ROUND(BM31*BL7/10000,0)</f>
        <v>0</v>
      </c>
      <c r="BN7" s="84">
        <f t="shared" ref="BN7:BN12" si="34">ROUND($BT7*BN31,0)</f>
        <v>0</v>
      </c>
      <c r="BO7" s="84">
        <f>ROUND(BO31*BN7/10000,0)</f>
        <v>0</v>
      </c>
      <c r="BP7" s="84">
        <f t="shared" ref="BP7:BP12" si="35">ROUND($BT7*BP31,0)</f>
        <v>0</v>
      </c>
      <c r="BQ7" s="84">
        <f>ROUND(BQ31*BP7/10000,0)</f>
        <v>0</v>
      </c>
      <c r="BR7" s="106">
        <f t="shared" ref="BR7:BR12" si="36">SUMIF($F$5:$BQ$5,$BR$5,F7:BQ7)</f>
        <v>57688</v>
      </c>
      <c r="BS7" s="86">
        <f>SUMIF($F$5:$BQ$5,$BS$5,F7:BQ7)</f>
        <v>161526</v>
      </c>
      <c r="BT7" s="97">
        <f>规划指标!G4</f>
        <v>57688</v>
      </c>
      <c r="BU7" s="60"/>
      <c r="BV7" s="61" t="e">
        <f t="shared" ref="BV7:BV12" si="37">ROUND(BS7/$BS$6,4)</f>
        <v>#REF!</v>
      </c>
      <c r="BW7" s="54" t="e">
        <f>ROUND(E7*'主表4（敏感性分析）'!#REF!,0)</f>
        <v>#REF!</v>
      </c>
      <c r="BX7" s="54" t="e">
        <f t="shared" ref="BX7:BX12" si="38">ROUND(BW7*BT7/10000,0)</f>
        <v>#REF!</v>
      </c>
      <c r="BY7" s="61"/>
    </row>
    <row r="8" spans="1:81" ht="24" customHeight="1" x14ac:dyDescent="0.3">
      <c r="A8" s="108">
        <v>3</v>
      </c>
      <c r="B8" s="112"/>
      <c r="C8" s="111" t="str">
        <f>规划指标!F5</f>
        <v>洋房</v>
      </c>
      <c r="D8" s="114" t="s">
        <v>66</v>
      </c>
      <c r="E8" s="25">
        <f t="shared" si="2"/>
        <v>29500</v>
      </c>
      <c r="F8" s="84">
        <f t="shared" si="3"/>
        <v>0</v>
      </c>
      <c r="G8" s="84">
        <f t="shared" si="4"/>
        <v>0</v>
      </c>
      <c r="H8" s="84">
        <f t="shared" si="5"/>
        <v>0</v>
      </c>
      <c r="I8" s="84">
        <f>ROUND($I32*H8/10000,0)</f>
        <v>0</v>
      </c>
      <c r="J8" s="84">
        <f t="shared" si="6"/>
        <v>0</v>
      </c>
      <c r="K8" s="84">
        <f>ROUND($K32*J8/10000,0)</f>
        <v>0</v>
      </c>
      <c r="L8" s="84">
        <f t="shared" si="7"/>
        <v>0</v>
      </c>
      <c r="M8" s="84">
        <f>ROUND($M32*L8/10000,0)</f>
        <v>0</v>
      </c>
      <c r="N8" s="84">
        <f t="shared" si="8"/>
        <v>8256</v>
      </c>
      <c r="O8" s="84">
        <f>ROUND($O32*N8/10000,0)</f>
        <v>24355</v>
      </c>
      <c r="P8" s="84">
        <f t="shared" si="9"/>
        <v>16511</v>
      </c>
      <c r="Q8" s="84">
        <f>ROUND($Q32*P8/10000,0)</f>
        <v>48707</v>
      </c>
      <c r="R8" s="84">
        <f t="shared" si="10"/>
        <v>15410</v>
      </c>
      <c r="S8" s="84">
        <f>ROUND($S32*R8/10000,0)</f>
        <v>45460</v>
      </c>
      <c r="T8" s="84">
        <f>ROUND($BT8*T32,0)</f>
        <v>8256</v>
      </c>
      <c r="U8" s="129">
        <f>ROUND($U32*T8/10000,0)</f>
        <v>24355</v>
      </c>
      <c r="V8" s="131">
        <f>ROUND($BT8*V32,0)+0.4</f>
        <v>6604.4</v>
      </c>
      <c r="W8" s="129">
        <f>ROUND($W32*V8/10000,0)</f>
        <v>19483</v>
      </c>
      <c r="X8" s="129">
        <f t="shared" si="13"/>
        <v>0</v>
      </c>
      <c r="Y8" s="129">
        <f>ROUND($Y32*X8/10000,0)</f>
        <v>0</v>
      </c>
      <c r="Z8" s="129">
        <f t="shared" si="14"/>
        <v>0</v>
      </c>
      <c r="AA8" s="129">
        <f>ROUND($AA32*Z8/10000,0)</f>
        <v>0</v>
      </c>
      <c r="AB8" s="129">
        <f t="shared" si="15"/>
        <v>0</v>
      </c>
      <c r="AC8" s="84">
        <f>ROUND($AC32*AB8/10000,0)</f>
        <v>0</v>
      </c>
      <c r="AD8" s="84">
        <f t="shared" si="16"/>
        <v>0</v>
      </c>
      <c r="AE8" s="84">
        <f>ROUND($AE32*AD8/10000,0)</f>
        <v>0</v>
      </c>
      <c r="AF8" s="84">
        <f t="shared" si="17"/>
        <v>0</v>
      </c>
      <c r="AG8" s="84">
        <f>ROUND($AG32*AF8/10000,0)</f>
        <v>0</v>
      </c>
      <c r="AH8" s="84">
        <f t="shared" si="18"/>
        <v>0</v>
      </c>
      <c r="AI8" s="84">
        <f>ROUND($AI32*AH8/10000,0)</f>
        <v>0</v>
      </c>
      <c r="AJ8" s="84">
        <f t="shared" si="19"/>
        <v>0</v>
      </c>
      <c r="AK8" s="84">
        <f>ROUND(AK32*AJ8/10000,0)</f>
        <v>0</v>
      </c>
      <c r="AL8" s="84">
        <f t="shared" si="20"/>
        <v>0</v>
      </c>
      <c r="AM8" s="84">
        <f>ROUND(AM32*AL8/10000,0)</f>
        <v>0</v>
      </c>
      <c r="AN8" s="84">
        <f t="shared" si="21"/>
        <v>0</v>
      </c>
      <c r="AO8" s="84">
        <f>ROUND(AO32*AN8/10000,0)</f>
        <v>0</v>
      </c>
      <c r="AP8" s="84">
        <f t="shared" si="22"/>
        <v>0</v>
      </c>
      <c r="AQ8" s="84">
        <f>ROUND(AQ32*AP8/10000,0)</f>
        <v>0</v>
      </c>
      <c r="AR8" s="84">
        <f t="shared" si="23"/>
        <v>0</v>
      </c>
      <c r="AS8" s="84">
        <f>ROUND(AS32*AR8/10000,0)</f>
        <v>0</v>
      </c>
      <c r="AT8" s="84">
        <f t="shared" si="24"/>
        <v>0</v>
      </c>
      <c r="AU8" s="84">
        <f>ROUND(AU32*AT8/10000,0)</f>
        <v>0</v>
      </c>
      <c r="AV8" s="84">
        <f t="shared" si="25"/>
        <v>0</v>
      </c>
      <c r="AW8" s="84">
        <f>ROUND(AW32*AV8/10000,0)</f>
        <v>0</v>
      </c>
      <c r="AX8" s="84">
        <f t="shared" si="26"/>
        <v>0</v>
      </c>
      <c r="AY8" s="84">
        <f>ROUND(AY32*AX8/10000,0)</f>
        <v>0</v>
      </c>
      <c r="AZ8" s="84">
        <f t="shared" si="27"/>
        <v>0</v>
      </c>
      <c r="BA8" s="84">
        <f>ROUND(BA32*AZ8/10000,0)</f>
        <v>0</v>
      </c>
      <c r="BB8" s="84">
        <f t="shared" si="28"/>
        <v>0</v>
      </c>
      <c r="BC8" s="84">
        <f>ROUND(BC32*BB8/10000,0)</f>
        <v>0</v>
      </c>
      <c r="BD8" s="84">
        <f t="shared" si="29"/>
        <v>0</v>
      </c>
      <c r="BE8" s="84">
        <f>ROUND(BE32*BD8/10000,0)</f>
        <v>0</v>
      </c>
      <c r="BF8" s="84">
        <f t="shared" si="30"/>
        <v>0</v>
      </c>
      <c r="BG8" s="84">
        <f>ROUND(BG32*BF8/10000,0)</f>
        <v>0</v>
      </c>
      <c r="BH8" s="84">
        <f t="shared" si="31"/>
        <v>0</v>
      </c>
      <c r="BI8" s="84">
        <f>ROUND(BI32*BH8/10000,0)</f>
        <v>0</v>
      </c>
      <c r="BJ8" s="84">
        <f t="shared" si="32"/>
        <v>0</v>
      </c>
      <c r="BK8" s="84">
        <f>ROUND(BK32*BJ8/10000,0)</f>
        <v>0</v>
      </c>
      <c r="BL8" s="84">
        <f t="shared" si="33"/>
        <v>0</v>
      </c>
      <c r="BM8" s="84">
        <f>ROUND(BM32*BL8/10000,0)</f>
        <v>0</v>
      </c>
      <c r="BN8" s="84">
        <f t="shared" si="34"/>
        <v>0</v>
      </c>
      <c r="BO8" s="84">
        <f>ROUND(BO32*BN8/10000,0)</f>
        <v>0</v>
      </c>
      <c r="BP8" s="84">
        <f t="shared" si="35"/>
        <v>0</v>
      </c>
      <c r="BQ8" s="84">
        <f>ROUND(BQ32*BP8/10000,0)</f>
        <v>0</v>
      </c>
      <c r="BR8" s="106">
        <f t="shared" si="36"/>
        <v>55037.4</v>
      </c>
      <c r="BS8" s="86">
        <f>SUMIF($F$5:$BQ$5,$BS$5,F8:BQ8)</f>
        <v>162360</v>
      </c>
      <c r="BT8" s="97">
        <f>规划指标!G5</f>
        <v>55037</v>
      </c>
      <c r="BU8" s="60"/>
      <c r="BV8" s="61" t="e">
        <f t="shared" si="37"/>
        <v>#REF!</v>
      </c>
      <c r="BW8" s="54" t="e">
        <f>ROUND(E8*'主表4（敏感性分析）'!#REF!,0)</f>
        <v>#REF!</v>
      </c>
      <c r="BX8" s="54" t="e">
        <f t="shared" si="38"/>
        <v>#REF!</v>
      </c>
      <c r="BY8" s="61"/>
    </row>
    <row r="9" spans="1:81" ht="24" customHeight="1" x14ac:dyDescent="0.3">
      <c r="A9" s="114">
        <v>4</v>
      </c>
      <c r="B9" s="110"/>
      <c r="C9" s="111" t="str">
        <f>规划指标!F6</f>
        <v>商业</v>
      </c>
      <c r="D9" s="114" t="s">
        <v>66</v>
      </c>
      <c r="E9" s="25">
        <f t="shared" si="2"/>
        <v>35000</v>
      </c>
      <c r="F9" s="84">
        <f t="shared" si="3"/>
        <v>0</v>
      </c>
      <c r="G9" s="84">
        <f t="shared" si="4"/>
        <v>0</v>
      </c>
      <c r="H9" s="84">
        <f t="shared" si="5"/>
        <v>0</v>
      </c>
      <c r="I9" s="84">
        <f>ROUND($I33*H9/10000,0)</f>
        <v>0</v>
      </c>
      <c r="J9" s="84">
        <f t="shared" si="6"/>
        <v>0</v>
      </c>
      <c r="K9" s="84">
        <f>ROUND($K33*J9/10000,0)</f>
        <v>0</v>
      </c>
      <c r="L9" s="84">
        <f t="shared" si="7"/>
        <v>0</v>
      </c>
      <c r="M9" s="84">
        <f>ROUND($M33*L9/10000,0)</f>
        <v>0</v>
      </c>
      <c r="N9" s="84">
        <f t="shared" si="8"/>
        <v>0</v>
      </c>
      <c r="O9" s="84">
        <f>ROUND($O33*N9/10000,0)</f>
        <v>0</v>
      </c>
      <c r="P9" s="84">
        <f t="shared" si="9"/>
        <v>311</v>
      </c>
      <c r="Q9" s="84">
        <f>ROUND($Q33*P9/10000,0)</f>
        <v>1089</v>
      </c>
      <c r="R9" s="128">
        <f>ROUND($BT9*R33,0)+0.94-2</f>
        <v>621.94000000000005</v>
      </c>
      <c r="S9" s="84">
        <f>ROUND($S33*R9/10000,0)</f>
        <v>2177</v>
      </c>
      <c r="T9" s="84">
        <f>ROUND($BT9*T33,0)</f>
        <v>623</v>
      </c>
      <c r="U9" s="129">
        <f>ROUND($U33*T9/10000,0)</f>
        <v>2181</v>
      </c>
      <c r="V9" s="129">
        <f>ROUND($BT9*V33,0)+1</f>
        <v>520</v>
      </c>
      <c r="W9" s="129">
        <f>ROUND($W33*V9/10000,0)</f>
        <v>1820</v>
      </c>
      <c r="X9" s="129">
        <f t="shared" si="13"/>
        <v>0</v>
      </c>
      <c r="Y9" s="129">
        <f>ROUND($Y33*X9/10000,0)</f>
        <v>0</v>
      </c>
      <c r="Z9" s="129">
        <f t="shared" si="14"/>
        <v>0</v>
      </c>
      <c r="AA9" s="129">
        <f>ROUND($AA33*Z9/10000,0)</f>
        <v>0</v>
      </c>
      <c r="AB9" s="129">
        <f t="shared" si="15"/>
        <v>0</v>
      </c>
      <c r="AC9" s="84">
        <f>ROUND($AC33*AB9/10000,0)</f>
        <v>0</v>
      </c>
      <c r="AD9" s="84">
        <f t="shared" si="16"/>
        <v>0</v>
      </c>
      <c r="AE9" s="84">
        <f>ROUND($AE33*AD9/10000,0)</f>
        <v>0</v>
      </c>
      <c r="AF9" s="84">
        <f t="shared" si="17"/>
        <v>0</v>
      </c>
      <c r="AG9" s="84">
        <f>ROUND($AG33*AF9/10000,0)</f>
        <v>0</v>
      </c>
      <c r="AH9" s="84">
        <f t="shared" si="18"/>
        <v>0</v>
      </c>
      <c r="AI9" s="84">
        <f>ROUND($AI33*AH9/10000,0)</f>
        <v>0</v>
      </c>
      <c r="AJ9" s="84">
        <f>ROUND($BT9*AJ33,0)</f>
        <v>0</v>
      </c>
      <c r="AK9" s="84">
        <f>ROUND(AK33*AJ9/10000,0)</f>
        <v>0</v>
      </c>
      <c r="AL9" s="84">
        <f t="shared" si="20"/>
        <v>0</v>
      </c>
      <c r="AM9" s="84">
        <f>ROUND(AM33*AL9/10000,0)</f>
        <v>0</v>
      </c>
      <c r="AN9" s="84">
        <f t="shared" si="21"/>
        <v>0</v>
      </c>
      <c r="AO9" s="84">
        <f>ROUND(AO33*AN9/10000,0)</f>
        <v>0</v>
      </c>
      <c r="AP9" s="84">
        <f t="shared" si="22"/>
        <v>0</v>
      </c>
      <c r="AQ9" s="84">
        <f>ROUND(AQ33*AP9/10000,0)</f>
        <v>0</v>
      </c>
      <c r="AR9" s="84">
        <f t="shared" si="23"/>
        <v>0</v>
      </c>
      <c r="AS9" s="84">
        <f>ROUND(AS33*AR9/10000,0)</f>
        <v>0</v>
      </c>
      <c r="AT9" s="84">
        <f t="shared" si="24"/>
        <v>0</v>
      </c>
      <c r="AU9" s="84">
        <f>ROUND(AU33*AT9/10000,0)</f>
        <v>0</v>
      </c>
      <c r="AV9" s="84">
        <f t="shared" si="25"/>
        <v>0</v>
      </c>
      <c r="AW9" s="84">
        <f>ROUND(AW33*AV9/10000,0)</f>
        <v>0</v>
      </c>
      <c r="AX9" s="84">
        <f t="shared" si="26"/>
        <v>0</v>
      </c>
      <c r="AY9" s="84">
        <f>ROUND(AY33*AX9/10000,0)</f>
        <v>0</v>
      </c>
      <c r="AZ9" s="84">
        <f t="shared" si="27"/>
        <v>0</v>
      </c>
      <c r="BA9" s="84">
        <f>ROUND(BA33*AZ9/10000,0)</f>
        <v>0</v>
      </c>
      <c r="BB9" s="84">
        <f t="shared" si="28"/>
        <v>0</v>
      </c>
      <c r="BC9" s="84">
        <f>ROUND(BC33*BB9/10000,0)</f>
        <v>0</v>
      </c>
      <c r="BD9" s="84">
        <f t="shared" si="29"/>
        <v>0</v>
      </c>
      <c r="BE9" s="84">
        <f>ROUND(BE33*BD9/10000,0)</f>
        <v>0</v>
      </c>
      <c r="BF9" s="84">
        <f t="shared" si="30"/>
        <v>0</v>
      </c>
      <c r="BG9" s="84">
        <f>ROUND(BG33*BF9/10000,0)</f>
        <v>0</v>
      </c>
      <c r="BH9" s="84">
        <f t="shared" si="31"/>
        <v>0</v>
      </c>
      <c r="BI9" s="84">
        <f>ROUND(BI33*BH9/10000,0)</f>
        <v>0</v>
      </c>
      <c r="BJ9" s="84">
        <f t="shared" si="32"/>
        <v>0</v>
      </c>
      <c r="BK9" s="84">
        <f>ROUND(BK33*BJ9/10000,0)</f>
        <v>0</v>
      </c>
      <c r="BL9" s="84">
        <f t="shared" si="33"/>
        <v>0</v>
      </c>
      <c r="BM9" s="84">
        <f>ROUND(BM33*BL9/10000,0)</f>
        <v>0</v>
      </c>
      <c r="BN9" s="84">
        <f t="shared" si="34"/>
        <v>0</v>
      </c>
      <c r="BO9" s="84">
        <f>ROUND(BO33*BN9/10000,0)</f>
        <v>0</v>
      </c>
      <c r="BP9" s="84">
        <f t="shared" si="35"/>
        <v>0</v>
      </c>
      <c r="BQ9" s="84">
        <f>ROUND(BQ33*BP9/10000,0)</f>
        <v>0</v>
      </c>
      <c r="BR9" s="106">
        <f t="shared" si="36"/>
        <v>2075.94</v>
      </c>
      <c r="BS9" s="86">
        <f>SUMIF($F$5:$BQ$5,$BS$5,F9:BQ9)</f>
        <v>7267</v>
      </c>
      <c r="BT9" s="97">
        <f>规划指标!G6</f>
        <v>2075</v>
      </c>
      <c r="BV9" s="61" t="e">
        <f t="shared" si="37"/>
        <v>#REF!</v>
      </c>
      <c r="BW9" s="54" t="e">
        <f>ROUND(E9*'主表4（敏感性分析）'!#REF!,0)</f>
        <v>#REF!</v>
      </c>
      <c r="BX9" s="54" t="e">
        <f t="shared" si="38"/>
        <v>#REF!</v>
      </c>
      <c r="BY9" s="62"/>
    </row>
    <row r="10" spans="1:81" ht="24" customHeight="1" x14ac:dyDescent="0.3">
      <c r="A10" s="108">
        <v>5</v>
      </c>
      <c r="B10" s="112"/>
      <c r="C10" s="132" t="str">
        <f>规划指标!F21</f>
        <v>非人防地下车库</v>
      </c>
      <c r="D10" s="114" t="s">
        <v>66</v>
      </c>
      <c r="E10" s="25">
        <f t="shared" si="2"/>
        <v>6000</v>
      </c>
      <c r="F10" s="84">
        <f t="shared" si="3"/>
        <v>0</v>
      </c>
      <c r="G10" s="84">
        <f t="shared" si="4"/>
        <v>0</v>
      </c>
      <c r="H10" s="84">
        <f t="shared" si="5"/>
        <v>0</v>
      </c>
      <c r="I10" s="84">
        <f>ROUND($I34*H10/10000,0)</f>
        <v>0</v>
      </c>
      <c r="J10" s="84">
        <f t="shared" si="6"/>
        <v>0</v>
      </c>
      <c r="K10" s="84">
        <f>ROUND($K34*J10/10000,0)</f>
        <v>0</v>
      </c>
      <c r="L10" s="84">
        <f t="shared" si="7"/>
        <v>0</v>
      </c>
      <c r="M10" s="84">
        <f>ROUND($M34*L10/10000,0)</f>
        <v>0</v>
      </c>
      <c r="N10" s="84">
        <f t="shared" si="8"/>
        <v>0</v>
      </c>
      <c r="O10" s="84">
        <f>ROUND($O34*N10/10000,0)</f>
        <v>0</v>
      </c>
      <c r="P10" s="84">
        <f t="shared" si="9"/>
        <v>0</v>
      </c>
      <c r="Q10" s="84">
        <f>ROUND($Q34*P10/10000,0)</f>
        <v>0</v>
      </c>
      <c r="R10" s="84">
        <f t="shared" si="10"/>
        <v>0</v>
      </c>
      <c r="S10" s="84">
        <f>ROUND($S34*R10/10000,0)</f>
        <v>0</v>
      </c>
      <c r="T10" s="84">
        <f t="shared" si="11"/>
        <v>0</v>
      </c>
      <c r="U10" s="129">
        <f>ROUND($U34*T10/10000,0)</f>
        <v>0</v>
      </c>
      <c r="V10" s="129">
        <f t="shared" si="12"/>
        <v>0</v>
      </c>
      <c r="W10" s="129">
        <f>ROUND($W34*V10/10000,0)</f>
        <v>0</v>
      </c>
      <c r="X10" s="129">
        <f t="shared" si="13"/>
        <v>0</v>
      </c>
      <c r="Y10" s="129">
        <f>ROUND($Y34*X10/10000,0)</f>
        <v>0</v>
      </c>
      <c r="Z10" s="129">
        <f t="shared" si="14"/>
        <v>0</v>
      </c>
      <c r="AA10" s="129">
        <f>ROUND($AA34*Z10/10000,0)</f>
        <v>0</v>
      </c>
      <c r="AB10" s="129">
        <f t="shared" si="15"/>
        <v>0</v>
      </c>
      <c r="AC10" s="84">
        <f>ROUND($AC34*AB10/10000,0)</f>
        <v>0</v>
      </c>
      <c r="AD10" s="84">
        <f t="shared" si="16"/>
        <v>27920</v>
      </c>
      <c r="AE10" s="84">
        <f>ROUND($AE34*AD10/10000,0)</f>
        <v>16752</v>
      </c>
      <c r="AF10" s="84">
        <f t="shared" si="17"/>
        <v>16752</v>
      </c>
      <c r="AG10" s="84">
        <f>ROUND($AG34*AF10/10000,0)</f>
        <v>10051</v>
      </c>
      <c r="AH10" s="84">
        <f t="shared" si="18"/>
        <v>8376</v>
      </c>
      <c r="AI10" s="84">
        <f>ROUND($AI34*AH10/10000,0)</f>
        <v>5026</v>
      </c>
      <c r="AJ10" s="128">
        <f>ROUND($BT10*AJ34,0)-0.97</f>
        <v>2791.03</v>
      </c>
      <c r="AK10" s="84">
        <f>ROUND(AK34*AJ10/10000,0)</f>
        <v>1675</v>
      </c>
      <c r="AL10" s="84">
        <f t="shared" si="20"/>
        <v>0</v>
      </c>
      <c r="AM10" s="84">
        <f>ROUND(AM34*AL10/10000,0)</f>
        <v>0</v>
      </c>
      <c r="AN10" s="84">
        <f t="shared" si="21"/>
        <v>0</v>
      </c>
      <c r="AO10" s="84">
        <f>ROUND(AO34*AN10/10000,0)</f>
        <v>0</v>
      </c>
      <c r="AP10" s="84">
        <f t="shared" si="22"/>
        <v>0</v>
      </c>
      <c r="AQ10" s="84">
        <f>ROUND(AQ34*AP10/10000,0)</f>
        <v>0</v>
      </c>
      <c r="AR10" s="84">
        <f t="shared" si="23"/>
        <v>0</v>
      </c>
      <c r="AS10" s="84">
        <f>ROUND(AS34*AR10/10000,0)</f>
        <v>0</v>
      </c>
      <c r="AT10" s="84">
        <f t="shared" si="24"/>
        <v>0</v>
      </c>
      <c r="AU10" s="84">
        <f>ROUND(AU34*AT10/10000,0)</f>
        <v>0</v>
      </c>
      <c r="AV10" s="84">
        <f t="shared" si="25"/>
        <v>0</v>
      </c>
      <c r="AW10" s="84">
        <f>ROUND(AW34*AV10/10000,0)</f>
        <v>0</v>
      </c>
      <c r="AX10" s="84">
        <f t="shared" si="26"/>
        <v>0</v>
      </c>
      <c r="AY10" s="84">
        <f>ROUND(AY34*AX10/10000,0)</f>
        <v>0</v>
      </c>
      <c r="AZ10" s="84">
        <f t="shared" si="27"/>
        <v>0</v>
      </c>
      <c r="BA10" s="84">
        <f>ROUND(BA34*AZ10/10000,0)</f>
        <v>0</v>
      </c>
      <c r="BB10" s="84">
        <f t="shared" si="28"/>
        <v>0</v>
      </c>
      <c r="BC10" s="84">
        <f>ROUND(BC34*BB10/10000,0)</f>
        <v>0</v>
      </c>
      <c r="BD10" s="84">
        <f t="shared" si="29"/>
        <v>0</v>
      </c>
      <c r="BE10" s="84">
        <f>ROUND(BE34*BD10/10000,0)</f>
        <v>0</v>
      </c>
      <c r="BF10" s="84">
        <f t="shared" si="30"/>
        <v>0</v>
      </c>
      <c r="BG10" s="84">
        <f>ROUND(BG34*BF10/10000,0)</f>
        <v>0</v>
      </c>
      <c r="BH10" s="84">
        <f t="shared" si="31"/>
        <v>0</v>
      </c>
      <c r="BI10" s="84">
        <f>ROUND(BI34*BH10/10000,0)</f>
        <v>0</v>
      </c>
      <c r="BJ10" s="84">
        <f t="shared" si="32"/>
        <v>0</v>
      </c>
      <c r="BK10" s="84">
        <f>ROUND(BK34*BJ10/10000,0)</f>
        <v>0</v>
      </c>
      <c r="BL10" s="84">
        <f t="shared" si="33"/>
        <v>0</v>
      </c>
      <c r="BM10" s="84">
        <f>ROUND(BM34*BL10/10000,0)</f>
        <v>0</v>
      </c>
      <c r="BN10" s="84">
        <f t="shared" si="34"/>
        <v>0</v>
      </c>
      <c r="BO10" s="84">
        <f>ROUND(BO34*BN10/10000,0)</f>
        <v>0</v>
      </c>
      <c r="BP10" s="84">
        <f t="shared" si="35"/>
        <v>0</v>
      </c>
      <c r="BQ10" s="84">
        <f>ROUND(BQ34*BP10/10000,0)</f>
        <v>0</v>
      </c>
      <c r="BR10" s="106">
        <f t="shared" si="36"/>
        <v>55839.03</v>
      </c>
      <c r="BS10" s="86">
        <f>SUMIF($F$5:$BQ$5,$BS$5,F10:BQ10)</f>
        <v>33504</v>
      </c>
      <c r="BT10" s="97">
        <f>规划指标!G21</f>
        <v>55840</v>
      </c>
      <c r="BV10" s="61" t="e">
        <f t="shared" si="37"/>
        <v>#REF!</v>
      </c>
      <c r="BW10" s="54" t="e">
        <f>ROUND(E10*'主表4（敏感性分析）'!#REF!,0)</f>
        <v>#REF!</v>
      </c>
      <c r="BX10" s="54" t="e">
        <f t="shared" si="38"/>
        <v>#REF!</v>
      </c>
      <c r="BY10" s="61"/>
    </row>
    <row r="11" spans="1:81" ht="24" customHeight="1" x14ac:dyDescent="0.3">
      <c r="A11" s="108">
        <v>6</v>
      </c>
      <c r="B11" s="112"/>
      <c r="C11" s="111">
        <f>规划指标!F18</f>
        <v>0</v>
      </c>
      <c r="D11" s="114" t="s">
        <v>122</v>
      </c>
      <c r="E11" s="25">
        <f t="shared" si="2"/>
        <v>130000</v>
      </c>
      <c r="F11" s="84" t="e">
        <f t="shared" si="3"/>
        <v>#REF!</v>
      </c>
      <c r="G11" s="84" t="e">
        <f t="shared" si="4"/>
        <v>#REF!</v>
      </c>
      <c r="H11" s="84" t="e">
        <f t="shared" si="5"/>
        <v>#REF!</v>
      </c>
      <c r="I11" s="84" t="e">
        <f>ROUND($G35*H11/10000,0)</f>
        <v>#REF!</v>
      </c>
      <c r="J11" s="84" t="e">
        <f t="shared" si="6"/>
        <v>#REF!</v>
      </c>
      <c r="K11" s="84" t="e">
        <f>ROUND($G35*J11/10000,0)</f>
        <v>#REF!</v>
      </c>
      <c r="L11" s="84" t="e">
        <f t="shared" si="7"/>
        <v>#REF!</v>
      </c>
      <c r="M11" s="84" t="e">
        <f>ROUND($G35*L11/10000,0)</f>
        <v>#REF!</v>
      </c>
      <c r="N11" s="84" t="e">
        <f t="shared" si="8"/>
        <v>#REF!</v>
      </c>
      <c r="O11" s="84" t="e">
        <f>ROUND($G35*N11/10000,0)</f>
        <v>#REF!</v>
      </c>
      <c r="P11" s="84" t="e">
        <f t="shared" si="9"/>
        <v>#REF!</v>
      </c>
      <c r="Q11" s="84" t="e">
        <f>ROUND($G35*P11/10000,0)*$S$2</f>
        <v>#REF!</v>
      </c>
      <c r="R11" s="84" t="e">
        <f t="shared" si="10"/>
        <v>#REF!</v>
      </c>
      <c r="S11" s="84" t="e">
        <f>ROUND($G35*R11/10000,0)*$S$2</f>
        <v>#REF!</v>
      </c>
      <c r="T11" s="84" t="e">
        <f>ROUND($BT11*T35,0)</f>
        <v>#REF!</v>
      </c>
      <c r="U11" s="129" t="e">
        <f>ROUND($G35*T11/10000,0)*$S$2</f>
        <v>#REF!</v>
      </c>
      <c r="V11" s="129" t="e">
        <f t="shared" si="12"/>
        <v>#REF!</v>
      </c>
      <c r="W11" s="129" t="e">
        <f>ROUND($G35*V11/10000,0)*$S$2</f>
        <v>#REF!</v>
      </c>
      <c r="X11" s="129" t="e">
        <f t="shared" si="13"/>
        <v>#REF!</v>
      </c>
      <c r="Y11" s="129" t="e">
        <f>ROUND($G35*X11/10000,0)*$S$2</f>
        <v>#REF!</v>
      </c>
      <c r="Z11" s="130" t="e">
        <f>ROUND($BT11*Z35,0)</f>
        <v>#REF!</v>
      </c>
      <c r="AA11" s="129" t="e">
        <f>ROUND($G35*Z11/10000,0)*$S$2</f>
        <v>#REF!</v>
      </c>
      <c r="AB11" s="129" t="e">
        <f t="shared" si="15"/>
        <v>#REF!</v>
      </c>
      <c r="AC11" s="84" t="e">
        <f>ROUND($G35*AB11/10000,0)</f>
        <v>#REF!</v>
      </c>
      <c r="AD11" s="84" t="e">
        <f t="shared" si="16"/>
        <v>#REF!</v>
      </c>
      <c r="AE11" s="84" t="e">
        <f>ROUND($G35*AD11/10000,0)</f>
        <v>#REF!</v>
      </c>
      <c r="AF11" s="84" t="e">
        <f t="shared" si="17"/>
        <v>#REF!</v>
      </c>
      <c r="AG11" s="84" t="e">
        <f>ROUND($G35*AF11/10000,0)</f>
        <v>#REF!</v>
      </c>
      <c r="AH11" s="84" t="e">
        <f t="shared" si="18"/>
        <v>#REF!</v>
      </c>
      <c r="AI11" s="84" t="e">
        <f>ROUND($G35*AH11/10000,0)</f>
        <v>#REF!</v>
      </c>
      <c r="AJ11" s="84" t="e">
        <f>ROUND($BT11*AJ35,0)</f>
        <v>#REF!</v>
      </c>
      <c r="AK11" s="84" t="e">
        <f>ROUND($G35*AJ11/10000,0)</f>
        <v>#REF!</v>
      </c>
      <c r="AL11" s="84" t="e">
        <f t="shared" si="20"/>
        <v>#REF!</v>
      </c>
      <c r="AM11" s="84" t="e">
        <f>ROUND($G35*AL11/10000,0)</f>
        <v>#REF!</v>
      </c>
      <c r="AN11" s="84" t="e">
        <f t="shared" si="21"/>
        <v>#REF!</v>
      </c>
      <c r="AO11" s="84" t="e">
        <f>ROUND($G35*AN11/10000,0)</f>
        <v>#REF!</v>
      </c>
      <c r="AP11" s="84" t="e">
        <f t="shared" si="22"/>
        <v>#REF!</v>
      </c>
      <c r="AQ11" s="84" t="e">
        <f>ROUND($G35*AP11/10000,0)</f>
        <v>#REF!</v>
      </c>
      <c r="AR11" s="84" t="e">
        <f t="shared" si="23"/>
        <v>#REF!</v>
      </c>
      <c r="AS11" s="84" t="e">
        <f>ROUND($G35*AR11/10000,0)</f>
        <v>#REF!</v>
      </c>
      <c r="AT11" s="84" t="e">
        <f t="shared" si="24"/>
        <v>#REF!</v>
      </c>
      <c r="AU11" s="84" t="e">
        <f>ROUND($G35*AT11/10000,0)</f>
        <v>#REF!</v>
      </c>
      <c r="AV11" s="84" t="e">
        <f t="shared" si="25"/>
        <v>#REF!</v>
      </c>
      <c r="AW11" s="84" t="e">
        <f>ROUND($G35*AV11/10000,0)</f>
        <v>#REF!</v>
      </c>
      <c r="AX11" s="84" t="e">
        <f t="shared" si="26"/>
        <v>#REF!</v>
      </c>
      <c r="AY11" s="84" t="e">
        <f>ROUND($G35*AX11/10000,0)</f>
        <v>#REF!</v>
      </c>
      <c r="AZ11" s="84" t="e">
        <f t="shared" si="27"/>
        <v>#REF!</v>
      </c>
      <c r="BA11" s="84" t="e">
        <f>ROUND($G35*AZ11/10000,0)</f>
        <v>#REF!</v>
      </c>
      <c r="BB11" s="84" t="e">
        <f t="shared" si="28"/>
        <v>#REF!</v>
      </c>
      <c r="BC11" s="84" t="e">
        <f>ROUND($G35*BB11/10000,0)</f>
        <v>#REF!</v>
      </c>
      <c r="BD11" s="84" t="e">
        <f t="shared" si="29"/>
        <v>#REF!</v>
      </c>
      <c r="BE11" s="84" t="e">
        <f>ROUND($G35*BD11/10000,0)</f>
        <v>#REF!</v>
      </c>
      <c r="BF11" s="84" t="e">
        <f t="shared" si="30"/>
        <v>#REF!</v>
      </c>
      <c r="BG11" s="84" t="e">
        <f>ROUND($G35*BF11/10000,0)</f>
        <v>#REF!</v>
      </c>
      <c r="BH11" s="84" t="e">
        <f t="shared" si="31"/>
        <v>#REF!</v>
      </c>
      <c r="BI11" s="84" t="e">
        <f>ROUND($G35*BH11/10000,0)</f>
        <v>#REF!</v>
      </c>
      <c r="BJ11" s="84" t="e">
        <f t="shared" si="32"/>
        <v>#REF!</v>
      </c>
      <c r="BK11" s="84" t="e">
        <f>ROUND($G35*BJ11/10000,0)</f>
        <v>#REF!</v>
      </c>
      <c r="BL11" s="84" t="e">
        <f t="shared" si="33"/>
        <v>#REF!</v>
      </c>
      <c r="BM11" s="84" t="e">
        <f>ROUND($G35*BL11/10000,0)</f>
        <v>#REF!</v>
      </c>
      <c r="BN11" s="84" t="e">
        <f t="shared" si="34"/>
        <v>#REF!</v>
      </c>
      <c r="BO11" s="84" t="e">
        <f>ROUND($G35*BN11/10000,0)</f>
        <v>#REF!</v>
      </c>
      <c r="BP11" s="84" t="e">
        <f t="shared" si="35"/>
        <v>#REF!</v>
      </c>
      <c r="BQ11" s="84" t="e">
        <f>ROUND($G35*BP11/10000,0)</f>
        <v>#REF!</v>
      </c>
      <c r="BR11" s="106" t="e">
        <f t="shared" si="36"/>
        <v>#REF!</v>
      </c>
      <c r="BS11" s="86" t="e">
        <f>SUMIF($F$5:$AK$5,$BS$5,F11:BQ11)</f>
        <v>#REF!</v>
      </c>
      <c r="BT11" s="98" t="e">
        <f>规划指标!#REF!</f>
        <v>#REF!</v>
      </c>
      <c r="BV11" s="61" t="e">
        <f t="shared" si="37"/>
        <v>#REF!</v>
      </c>
      <c r="BW11" s="54" t="e">
        <f>ROUND(E11*'主表4（敏感性分析）'!#REF!,0)</f>
        <v>#REF!</v>
      </c>
      <c r="BX11" s="54" t="e">
        <f>ROUND(BW11*BT11/10000*0.8,0)</f>
        <v>#REF!</v>
      </c>
      <c r="BY11" s="61"/>
    </row>
    <row r="12" spans="1:81" ht="24" customHeight="1" x14ac:dyDescent="0.3">
      <c r="A12" s="108">
        <v>7</v>
      </c>
      <c r="B12" s="112"/>
      <c r="C12" s="111"/>
      <c r="D12" s="114" t="s">
        <v>66</v>
      </c>
      <c r="E12" s="25">
        <f t="shared" si="2"/>
        <v>0</v>
      </c>
      <c r="F12" s="84">
        <f t="shared" si="3"/>
        <v>0</v>
      </c>
      <c r="G12" s="84">
        <f t="shared" si="4"/>
        <v>0</v>
      </c>
      <c r="H12" s="84">
        <f t="shared" si="5"/>
        <v>0</v>
      </c>
      <c r="I12" s="84">
        <f>ROUND($G36*H12/10000,0)</f>
        <v>0</v>
      </c>
      <c r="J12" s="84">
        <f t="shared" si="6"/>
        <v>0</v>
      </c>
      <c r="K12" s="84">
        <f>ROUND($G36*J12/10000,0)</f>
        <v>0</v>
      </c>
      <c r="L12" s="84">
        <f t="shared" si="7"/>
        <v>0</v>
      </c>
      <c r="M12" s="84">
        <f>ROUND($G36*L12/10000,0)</f>
        <v>0</v>
      </c>
      <c r="N12" s="84">
        <f t="shared" si="8"/>
        <v>0</v>
      </c>
      <c r="O12" s="84">
        <f>ROUND($G36*N12/10000,0)</f>
        <v>0</v>
      </c>
      <c r="P12" s="84">
        <f t="shared" si="9"/>
        <v>0</v>
      </c>
      <c r="Q12" s="84">
        <f>ROUND($G36*P12/10000,0)</f>
        <v>0</v>
      </c>
      <c r="R12" s="84">
        <f t="shared" si="10"/>
        <v>0</v>
      </c>
      <c r="S12" s="84">
        <f>ROUND($G36*R12/10000,0)</f>
        <v>0</v>
      </c>
      <c r="T12" s="84">
        <f t="shared" si="11"/>
        <v>0</v>
      </c>
      <c r="U12" s="129">
        <f>ROUND($G36*T12/10000,0)</f>
        <v>0</v>
      </c>
      <c r="V12" s="129">
        <f t="shared" si="12"/>
        <v>0</v>
      </c>
      <c r="W12" s="129">
        <f>ROUND($G36*V12/10000,0)</f>
        <v>0</v>
      </c>
      <c r="X12" s="129">
        <f t="shared" si="13"/>
        <v>0</v>
      </c>
      <c r="Y12" s="129">
        <f>ROUND($G36*X12/10000,0)</f>
        <v>0</v>
      </c>
      <c r="Z12" s="129">
        <f t="shared" si="14"/>
        <v>0</v>
      </c>
      <c r="AA12" s="129">
        <f>ROUND($G36*Z12/10000,0)</f>
        <v>0</v>
      </c>
      <c r="AB12" s="129">
        <f t="shared" si="15"/>
        <v>0</v>
      </c>
      <c r="AC12" s="84">
        <f>ROUND($G36*AB12/10000,0)</f>
        <v>0</v>
      </c>
      <c r="AD12" s="84">
        <f t="shared" si="16"/>
        <v>0</v>
      </c>
      <c r="AE12" s="84">
        <f>ROUND($G36*AD12/10000,0)</f>
        <v>0</v>
      </c>
      <c r="AF12" s="84">
        <f t="shared" si="17"/>
        <v>0</v>
      </c>
      <c r="AG12" s="84">
        <f>ROUND($G36*AF12/10000,0)</f>
        <v>0</v>
      </c>
      <c r="AH12" s="84">
        <f t="shared" si="18"/>
        <v>0</v>
      </c>
      <c r="AI12" s="84">
        <f>ROUND($G36*AH12/10000,0)</f>
        <v>0</v>
      </c>
      <c r="AJ12" s="84">
        <f t="shared" si="19"/>
        <v>0</v>
      </c>
      <c r="AK12" s="84">
        <f>ROUND($G36*AJ12/10000,0)</f>
        <v>0</v>
      </c>
      <c r="AL12" s="84">
        <f t="shared" si="20"/>
        <v>0</v>
      </c>
      <c r="AM12" s="84">
        <f>ROUND($G36*AL12/10000,0)</f>
        <v>0</v>
      </c>
      <c r="AN12" s="84">
        <f t="shared" si="21"/>
        <v>0</v>
      </c>
      <c r="AO12" s="84">
        <f>ROUND($G36*AN12/10000,0)</f>
        <v>0</v>
      </c>
      <c r="AP12" s="84">
        <f t="shared" si="22"/>
        <v>0</v>
      </c>
      <c r="AQ12" s="84">
        <f>ROUND($G36*AP12/10000,0)</f>
        <v>0</v>
      </c>
      <c r="AR12" s="84">
        <f t="shared" si="23"/>
        <v>0</v>
      </c>
      <c r="AS12" s="84">
        <f>ROUND($G36*AR12/10000,0)</f>
        <v>0</v>
      </c>
      <c r="AT12" s="84">
        <f t="shared" si="24"/>
        <v>0</v>
      </c>
      <c r="AU12" s="84">
        <f>ROUND($G36*AT12/10000,0)</f>
        <v>0</v>
      </c>
      <c r="AV12" s="84">
        <f t="shared" si="25"/>
        <v>0</v>
      </c>
      <c r="AW12" s="84">
        <f>ROUND($G36*AV12/10000,0)</f>
        <v>0</v>
      </c>
      <c r="AX12" s="84">
        <f t="shared" si="26"/>
        <v>0</v>
      </c>
      <c r="AY12" s="84">
        <f>ROUND($G36*AX12/10000,0)</f>
        <v>0</v>
      </c>
      <c r="AZ12" s="84">
        <f t="shared" si="27"/>
        <v>0</v>
      </c>
      <c r="BA12" s="84">
        <f>ROUND($G36*AZ12/10000,0)</f>
        <v>0</v>
      </c>
      <c r="BB12" s="84">
        <f t="shared" si="28"/>
        <v>0</v>
      </c>
      <c r="BC12" s="84">
        <f>ROUND($G36*BB12/10000,0)</f>
        <v>0</v>
      </c>
      <c r="BD12" s="84">
        <f t="shared" si="29"/>
        <v>0</v>
      </c>
      <c r="BE12" s="84">
        <f>ROUND($G36*BD12/10000,0)</f>
        <v>0</v>
      </c>
      <c r="BF12" s="84">
        <f t="shared" si="30"/>
        <v>0</v>
      </c>
      <c r="BG12" s="84">
        <f>ROUND($G36*BF12/10000,0)</f>
        <v>0</v>
      </c>
      <c r="BH12" s="84">
        <f t="shared" si="31"/>
        <v>0</v>
      </c>
      <c r="BI12" s="84">
        <f>ROUND($G36*BH12/10000,0)</f>
        <v>0</v>
      </c>
      <c r="BJ12" s="84">
        <f t="shared" si="32"/>
        <v>0</v>
      </c>
      <c r="BK12" s="84">
        <f>ROUND($G36*BJ12/10000,0)</f>
        <v>0</v>
      </c>
      <c r="BL12" s="84">
        <f t="shared" si="33"/>
        <v>0</v>
      </c>
      <c r="BM12" s="84">
        <f>ROUND($G36*BL12/10000,0)</f>
        <v>0</v>
      </c>
      <c r="BN12" s="84">
        <f t="shared" si="34"/>
        <v>0</v>
      </c>
      <c r="BO12" s="84">
        <f>ROUND($G36*BN12/10000,0)</f>
        <v>0</v>
      </c>
      <c r="BP12" s="84">
        <f t="shared" si="35"/>
        <v>0</v>
      </c>
      <c r="BQ12" s="84">
        <f>ROUND($G36*BP12/10000,0)</f>
        <v>0</v>
      </c>
      <c r="BR12" s="106">
        <f t="shared" si="36"/>
        <v>0</v>
      </c>
      <c r="BS12" s="86">
        <f>SUMIF($F$5:$AK$5,$BS$5,F12:BQ12)</f>
        <v>0</v>
      </c>
      <c r="BT12" s="99"/>
      <c r="BV12" s="61" t="e">
        <f t="shared" si="37"/>
        <v>#REF!</v>
      </c>
      <c r="BW12" s="54" t="e">
        <f>ROUND(E12*'主表4（敏感性分析）'!#REF!,0)</f>
        <v>#REF!</v>
      </c>
      <c r="BX12" s="54" t="e">
        <f t="shared" si="38"/>
        <v>#REF!</v>
      </c>
      <c r="BY12" s="61"/>
    </row>
    <row r="13" spans="1:81" ht="24" customHeight="1" x14ac:dyDescent="0.3">
      <c r="A13" s="108">
        <v>8</v>
      </c>
      <c r="B13" s="804" t="s">
        <v>137</v>
      </c>
      <c r="C13" s="805"/>
      <c r="D13" s="114"/>
      <c r="E13" s="25"/>
      <c r="F13" s="84"/>
      <c r="G13" s="84" t="e">
        <f>SUM(G14:G17)</f>
        <v>#REF!</v>
      </c>
      <c r="H13" s="84"/>
      <c r="I13" s="84" t="e">
        <f>SUM(I14:I17)</f>
        <v>#REF!</v>
      </c>
      <c r="J13" s="84"/>
      <c r="K13" s="84" t="e">
        <f>SUM(K14:K17)</f>
        <v>#REF!</v>
      </c>
      <c r="L13" s="84"/>
      <c r="M13" s="84" t="e">
        <f>SUM(M14:M17)</f>
        <v>#REF!</v>
      </c>
      <c r="N13" s="84"/>
      <c r="O13" s="84" t="e">
        <f>SUM(O14:O17)</f>
        <v>#REF!</v>
      </c>
      <c r="P13" s="84"/>
      <c r="Q13" s="84" t="e">
        <f>SUM(Q14:Q17)</f>
        <v>#REF!</v>
      </c>
      <c r="R13" s="84"/>
      <c r="S13" s="84" t="e">
        <f>SUM(S14:S17)</f>
        <v>#REF!</v>
      </c>
      <c r="T13" s="84"/>
      <c r="U13" s="129" t="e">
        <f>SUM(U14:U17)</f>
        <v>#REF!</v>
      </c>
      <c r="V13" s="129"/>
      <c r="W13" s="129" t="e">
        <f>SUM(W14:W17)</f>
        <v>#REF!</v>
      </c>
      <c r="X13" s="129"/>
      <c r="Y13" s="129" t="e">
        <f>SUM(Y14:Y17)</f>
        <v>#REF!</v>
      </c>
      <c r="Z13" s="129"/>
      <c r="AA13" s="129" t="e">
        <f>SUM(AA14:AA17)</f>
        <v>#REF!</v>
      </c>
      <c r="AB13" s="129">
        <f t="shared" ref="AB13:AK13" si="39">SUM(AB14:AB17)</f>
        <v>0</v>
      </c>
      <c r="AC13" s="84" t="e">
        <f t="shared" si="39"/>
        <v>#REF!</v>
      </c>
      <c r="AD13" s="84"/>
      <c r="AE13" s="84" t="e">
        <f t="shared" si="39"/>
        <v>#REF!</v>
      </c>
      <c r="AF13" s="84"/>
      <c r="AG13" s="84" t="e">
        <f t="shared" si="39"/>
        <v>#REF!</v>
      </c>
      <c r="AH13" s="84"/>
      <c r="AI13" s="84" t="e">
        <f t="shared" si="39"/>
        <v>#REF!</v>
      </c>
      <c r="AJ13" s="84"/>
      <c r="AK13" s="84" t="e">
        <f t="shared" si="39"/>
        <v>#REF!</v>
      </c>
      <c r="AL13" s="84"/>
      <c r="AM13" s="84" t="e">
        <f>SUM(AM14:AM17)</f>
        <v>#REF!</v>
      </c>
      <c r="AN13" s="84"/>
      <c r="AO13" s="84" t="e">
        <f>SUM(AO14:AO17)</f>
        <v>#REF!</v>
      </c>
      <c r="AP13" s="84"/>
      <c r="AQ13" s="84" t="e">
        <f>SUM(AQ14:AQ17)</f>
        <v>#REF!</v>
      </c>
      <c r="AR13" s="84"/>
      <c r="AS13" s="84" t="e">
        <f>SUM(AS14:AS17)</f>
        <v>#REF!</v>
      </c>
      <c r="AT13" s="84"/>
      <c r="AU13" s="84" t="e">
        <f>SUM(AU14:AU17)</f>
        <v>#REF!</v>
      </c>
      <c r="AV13" s="84"/>
      <c r="AW13" s="84" t="e">
        <f>SUM(AW14:AW17)</f>
        <v>#REF!</v>
      </c>
      <c r="AX13" s="84"/>
      <c r="AY13" s="84" t="e">
        <f>SUM(AY14:AY17)</f>
        <v>#REF!</v>
      </c>
      <c r="AZ13" s="84"/>
      <c r="BA13" s="84" t="e">
        <f>SUM(BA14:BA17)</f>
        <v>#REF!</v>
      </c>
      <c r="BB13" s="84"/>
      <c r="BC13" s="84" t="e">
        <f>SUM(BC14:BC17)</f>
        <v>#REF!</v>
      </c>
      <c r="BD13" s="84"/>
      <c r="BE13" s="84" t="e">
        <f t="shared" ref="BE13:BQ13" si="40">SUM(BE14:BE17)</f>
        <v>#REF!</v>
      </c>
      <c r="BF13" s="84"/>
      <c r="BG13" s="84" t="e">
        <f t="shared" si="40"/>
        <v>#REF!</v>
      </c>
      <c r="BH13" s="84"/>
      <c r="BI13" s="84" t="e">
        <f t="shared" si="40"/>
        <v>#REF!</v>
      </c>
      <c r="BJ13" s="84"/>
      <c r="BK13" s="84" t="e">
        <f t="shared" si="40"/>
        <v>#REF!</v>
      </c>
      <c r="BL13" s="84"/>
      <c r="BM13" s="84" t="e">
        <f t="shared" si="40"/>
        <v>#REF!</v>
      </c>
      <c r="BN13" s="84"/>
      <c r="BO13" s="84" t="e">
        <f t="shared" si="40"/>
        <v>#REF!</v>
      </c>
      <c r="BP13" s="84"/>
      <c r="BQ13" s="84" t="e">
        <f t="shared" si="40"/>
        <v>#REF!</v>
      </c>
      <c r="BR13" s="84"/>
      <c r="BS13" s="86" t="e">
        <f>SUMIF($F$5:$BQ$5,$BS$5,F13:BQ13)</f>
        <v>#REF!</v>
      </c>
      <c r="BT13" s="96"/>
    </row>
    <row r="14" spans="1:81" ht="24" customHeight="1" x14ac:dyDescent="0.3">
      <c r="A14" s="108">
        <v>9</v>
      </c>
      <c r="B14" s="112" t="s">
        <v>163</v>
      </c>
      <c r="C14" s="111" t="s">
        <v>162</v>
      </c>
      <c r="D14" s="63">
        <v>0.09</v>
      </c>
      <c r="E14" s="25"/>
      <c r="F14" s="84"/>
      <c r="G14" s="84" t="e">
        <f>ROUND(G6/(1+10%)*0.03,0)</f>
        <v>#REF!</v>
      </c>
      <c r="H14" s="84"/>
      <c r="I14" s="84" t="e">
        <f>ROUND(I6/(1+9%)*0.03,0)</f>
        <v>#REF!</v>
      </c>
      <c r="J14" s="84"/>
      <c r="K14" s="84" t="e">
        <f>ROUND(K6/(1+9%)*0.03,0)</f>
        <v>#REF!</v>
      </c>
      <c r="L14" s="84"/>
      <c r="M14" s="84" t="e">
        <f>ROUND(M6/(1+9%)*0.03,0)</f>
        <v>#REF!</v>
      </c>
      <c r="N14" s="84"/>
      <c r="O14" s="84" t="e">
        <f>ROUND(O6/(1+9%)*0.03,0)</f>
        <v>#REF!</v>
      </c>
      <c r="P14" s="84"/>
      <c r="Q14" s="84" t="e">
        <f>ROUND(Q6/(1+9%)*0.03,0)</f>
        <v>#REF!</v>
      </c>
      <c r="R14" s="84"/>
      <c r="S14" s="84" t="e">
        <f>ROUND(S6/(1+9%)*0.03,0)</f>
        <v>#REF!</v>
      </c>
      <c r="T14" s="84"/>
      <c r="U14" s="84" t="e">
        <f>ROUND(U6/(1+9%)*0.03,0)</f>
        <v>#REF!</v>
      </c>
      <c r="V14" s="84"/>
      <c r="W14" s="84" t="e">
        <f>ROUND(W6/(1+9%)*0.03,0)</f>
        <v>#REF!</v>
      </c>
      <c r="X14" s="84"/>
      <c r="Y14" s="84" t="e">
        <f>ROUND(Y6/(1+9%)*0.03,0)</f>
        <v>#REF!</v>
      </c>
      <c r="Z14" s="84"/>
      <c r="AA14" s="84" t="e">
        <f>ROUND(AA6/(1+9%)*0.03,0)</f>
        <v>#REF!</v>
      </c>
      <c r="AB14" s="84"/>
      <c r="AC14" s="84" t="e">
        <f>ROUND(AC6/(1+9%)*0.03,0)</f>
        <v>#REF!</v>
      </c>
      <c r="AD14" s="84"/>
      <c r="AE14" s="84" t="e">
        <f>ROUND(AE6/(1+9%)*0.03,0)</f>
        <v>#REF!</v>
      </c>
      <c r="AF14" s="84"/>
      <c r="AG14" s="84" t="e">
        <f>ROUND(AG6/(1+9%)*0.03,0)</f>
        <v>#REF!</v>
      </c>
      <c r="AH14" s="84"/>
      <c r="AI14" s="84" t="e">
        <f>ROUND(AI6/(1+9%)*0.03,0)</f>
        <v>#REF!</v>
      </c>
      <c r="AJ14" s="84"/>
      <c r="AK14" s="84" t="e">
        <f>'底表2（增值税、土地增值税）'!G15-SUM('底表1（销售）'!F14:AI14)</f>
        <v>#REF!</v>
      </c>
      <c r="AL14" s="84"/>
      <c r="AM14" s="84" t="e">
        <f>ROUND(AM6/(1+9%)*0.03,0)</f>
        <v>#REF!</v>
      </c>
      <c r="AN14" s="84"/>
      <c r="AO14" s="84" t="e">
        <f>ROUND(AO6/(1+9%)*0.03,0)</f>
        <v>#REF!</v>
      </c>
      <c r="AP14" s="84"/>
      <c r="AQ14" s="84" t="e">
        <f>ROUND(AQ6/(1+9%)*0.03,0)</f>
        <v>#REF!</v>
      </c>
      <c r="AR14" s="84"/>
      <c r="AS14" s="84" t="e">
        <f>ROUND(AS6/(1+9%)*0.03,0)</f>
        <v>#REF!</v>
      </c>
      <c r="AT14" s="84"/>
      <c r="AU14" s="84" t="e">
        <f>ROUND(AU6/(1+9%)*0.03,0)</f>
        <v>#REF!</v>
      </c>
      <c r="AV14" s="84"/>
      <c r="AW14" s="84" t="e">
        <f>ROUND(AU6/(1+9%)*0.03,0)</f>
        <v>#REF!</v>
      </c>
      <c r="AX14" s="84"/>
      <c r="AY14" s="84" t="e">
        <f>ROUND(AU6/(1+9%)*0.03,0)</f>
        <v>#REF!</v>
      </c>
      <c r="AZ14" s="84"/>
      <c r="BA14" s="84" t="e">
        <f>ROUND(AU6/(1+9%)*0.03,0)</f>
        <v>#REF!</v>
      </c>
      <c r="BB14" s="84"/>
      <c r="BC14" s="84" t="e">
        <f>ROUND(AU6/(1+9%)*0.03,0)</f>
        <v>#REF!</v>
      </c>
      <c r="BD14" s="84"/>
      <c r="BE14" s="84" t="e">
        <f>ROUND(AU6/(1+9%)*0.03,0)</f>
        <v>#REF!</v>
      </c>
      <c r="BF14" s="84"/>
      <c r="BG14" s="84" t="e">
        <f>ROUND(AU6/(1+9%)*0.03,0)</f>
        <v>#REF!</v>
      </c>
      <c r="BH14" s="84"/>
      <c r="BI14" s="84" t="e">
        <f>ROUND(AU6/(1+9%)*0.03,0)</f>
        <v>#REF!</v>
      </c>
      <c r="BJ14" s="84"/>
      <c r="BK14" s="84" t="e">
        <f>IF(SUM(F14:BI14)&gt;'底表2（增值税、土地增值税）'!G15,0,'底表2（增值税、土地增值税）'!G15-SUM(F14:BI14))</f>
        <v>#REF!</v>
      </c>
      <c r="BL14" s="84"/>
      <c r="BM14" s="84" t="e">
        <f>IF(SUM(F14:BK14)&gt;'底表2（增值税、土地增值税）'!G15,0,'底表2（增值税、土地增值税）'!G15-SUM(F14:BK14))</f>
        <v>#REF!</v>
      </c>
      <c r="BN14" s="84"/>
      <c r="BO14" s="84" t="e">
        <f>IF(SUM(F14:BM14)&gt;'底表2（增值税、土地增值税）'!G15,0,'底表2（增值税、土地增值税）'!G15-SUM(F14:BM14))</f>
        <v>#REF!</v>
      </c>
      <c r="BP14" s="84"/>
      <c r="BQ14" s="84" t="e">
        <f>IF(SUM(F14:BO14)&gt;'底表2（增值税、土地增值税）'!G15,0,'底表2（增值税、土地增值税）'!G15-SUM(F14:BO14))</f>
        <v>#REF!</v>
      </c>
      <c r="BR14" s="84"/>
      <c r="BS14" s="86" t="e">
        <f>SUMIF($F$5:$BQ$5,$BS$5,F14:BQ14)</f>
        <v>#REF!</v>
      </c>
      <c r="BT14" s="96"/>
    </row>
    <row r="15" spans="1:81" ht="24" customHeight="1" x14ac:dyDescent="0.3">
      <c r="A15" s="108">
        <v>10</v>
      </c>
      <c r="B15" s="112"/>
      <c r="C15" s="111" t="s">
        <v>88</v>
      </c>
      <c r="D15" s="63">
        <f>基础数据!C23</f>
        <v>0.03</v>
      </c>
      <c r="E15" s="25"/>
      <c r="F15" s="84"/>
      <c r="G15" s="84" t="e">
        <f>G14*D15</f>
        <v>#REF!</v>
      </c>
      <c r="H15" s="84"/>
      <c r="I15" s="84" t="e">
        <f>ROUND(I14*D15,0)</f>
        <v>#REF!</v>
      </c>
      <c r="J15" s="84"/>
      <c r="K15" s="84" t="e">
        <f>ROUND(K14*D15,0)</f>
        <v>#REF!</v>
      </c>
      <c r="L15" s="84"/>
      <c r="M15" s="84" t="e">
        <f>ROUND(M14*D15,0)</f>
        <v>#REF!</v>
      </c>
      <c r="N15" s="84"/>
      <c r="O15" s="84" t="e">
        <f>ROUND(O14*$D$15,0)</f>
        <v>#REF!</v>
      </c>
      <c r="P15" s="84"/>
      <c r="Q15" s="84" t="e">
        <f t="shared" ref="Q15:AK15" si="41">ROUND(Q14*$D$15,0)</f>
        <v>#REF!</v>
      </c>
      <c r="R15" s="84"/>
      <c r="S15" s="84" t="e">
        <f t="shared" si="41"/>
        <v>#REF!</v>
      </c>
      <c r="T15" s="84"/>
      <c r="U15" s="84" t="e">
        <f t="shared" si="41"/>
        <v>#REF!</v>
      </c>
      <c r="V15" s="84"/>
      <c r="W15" s="84" t="e">
        <f t="shared" si="41"/>
        <v>#REF!</v>
      </c>
      <c r="X15" s="84"/>
      <c r="Y15" s="84" t="e">
        <f t="shared" si="41"/>
        <v>#REF!</v>
      </c>
      <c r="Z15" s="84"/>
      <c r="AA15" s="84" t="e">
        <f>ROUND(AA14*$D$15,0)</f>
        <v>#REF!</v>
      </c>
      <c r="AB15" s="84"/>
      <c r="AC15" s="84" t="e">
        <f t="shared" si="41"/>
        <v>#REF!</v>
      </c>
      <c r="AD15" s="84"/>
      <c r="AE15" s="84" t="e">
        <f t="shared" si="41"/>
        <v>#REF!</v>
      </c>
      <c r="AF15" s="84"/>
      <c r="AG15" s="84" t="e">
        <f t="shared" si="41"/>
        <v>#REF!</v>
      </c>
      <c r="AH15" s="84"/>
      <c r="AI15" s="84" t="e">
        <f t="shared" si="41"/>
        <v>#REF!</v>
      </c>
      <c r="AJ15" s="84"/>
      <c r="AK15" s="84" t="e">
        <f t="shared" si="41"/>
        <v>#REF!</v>
      </c>
      <c r="AL15" s="84"/>
      <c r="AM15" s="84" t="e">
        <f>ROUND(AM14*$D$15,0)</f>
        <v>#REF!</v>
      </c>
      <c r="AN15" s="84"/>
      <c r="AO15" s="84" t="e">
        <f>ROUND(AO14*$D$15,0)</f>
        <v>#REF!</v>
      </c>
      <c r="AP15" s="84"/>
      <c r="AQ15" s="84" t="e">
        <f>ROUND(AQ14*$D$15,0)</f>
        <v>#REF!</v>
      </c>
      <c r="AR15" s="84"/>
      <c r="AS15" s="84" t="e">
        <f>ROUND(AS14*$D$15,0)</f>
        <v>#REF!</v>
      </c>
      <c r="AT15" s="84"/>
      <c r="AU15" s="84" t="e">
        <f>ROUND(AU14*$D$15,0)</f>
        <v>#REF!</v>
      </c>
      <c r="AV15" s="84"/>
      <c r="AW15" s="84" t="e">
        <f>ROUND(AW14*$D$15,0)</f>
        <v>#REF!</v>
      </c>
      <c r="AX15" s="84"/>
      <c r="AY15" s="84" t="e">
        <f>ROUND(AY14*$D$15,0)</f>
        <v>#REF!</v>
      </c>
      <c r="AZ15" s="84"/>
      <c r="BA15" s="84" t="e">
        <f>ROUND(BA14*$D$15,0)</f>
        <v>#REF!</v>
      </c>
      <c r="BB15" s="84"/>
      <c r="BC15" s="84" t="e">
        <f t="shared" ref="BC15:BQ15" si="42">ROUND(BC14*$D$15,0)</f>
        <v>#REF!</v>
      </c>
      <c r="BD15" s="84"/>
      <c r="BE15" s="84" t="e">
        <f t="shared" si="42"/>
        <v>#REF!</v>
      </c>
      <c r="BF15" s="84"/>
      <c r="BG15" s="84" t="e">
        <f t="shared" si="42"/>
        <v>#REF!</v>
      </c>
      <c r="BH15" s="84"/>
      <c r="BI15" s="84" t="e">
        <f t="shared" si="42"/>
        <v>#REF!</v>
      </c>
      <c r="BJ15" s="84"/>
      <c r="BK15" s="84" t="e">
        <f t="shared" si="42"/>
        <v>#REF!</v>
      </c>
      <c r="BL15" s="84"/>
      <c r="BM15" s="84" t="e">
        <f t="shared" si="42"/>
        <v>#REF!</v>
      </c>
      <c r="BN15" s="84"/>
      <c r="BO15" s="84" t="e">
        <f t="shared" si="42"/>
        <v>#REF!</v>
      </c>
      <c r="BP15" s="84"/>
      <c r="BQ15" s="84" t="e">
        <f t="shared" si="42"/>
        <v>#REF!</v>
      </c>
      <c r="BR15" s="84"/>
      <c r="BS15" s="86" t="e">
        <f>SUMIF($F$5:$BQ$5,$BS$5,F15:BQ15)</f>
        <v>#REF!</v>
      </c>
      <c r="BT15" s="96"/>
    </row>
    <row r="16" spans="1:81" ht="24" customHeight="1" x14ac:dyDescent="0.3">
      <c r="A16" s="108">
        <v>11</v>
      </c>
      <c r="B16" s="112"/>
      <c r="C16" s="111" t="s">
        <v>258</v>
      </c>
      <c r="D16" s="63">
        <f>基础数据!C24</f>
        <v>0.02</v>
      </c>
      <c r="E16" s="25"/>
      <c r="F16" s="84"/>
      <c r="G16" s="84" t="e">
        <f>G14*D16</f>
        <v>#REF!</v>
      </c>
      <c r="H16" s="84"/>
      <c r="I16" s="84" t="e">
        <f>ROUND(I14*D16,0)</f>
        <v>#REF!</v>
      </c>
      <c r="J16" s="84"/>
      <c r="K16" s="84" t="e">
        <f>ROUND(K14*D16,0)</f>
        <v>#REF!</v>
      </c>
      <c r="L16" s="84"/>
      <c r="M16" s="84" t="e">
        <f>ROUND(M14*D16,0)</f>
        <v>#REF!</v>
      </c>
      <c r="N16" s="84"/>
      <c r="O16" s="84" t="e">
        <f>ROUND(O14*$D$16,0)</f>
        <v>#REF!</v>
      </c>
      <c r="P16" s="84"/>
      <c r="Q16" s="84" t="e">
        <f t="shared" ref="Q16:AK16" si="43">ROUND(Q14*$D$16,0)</f>
        <v>#REF!</v>
      </c>
      <c r="R16" s="84"/>
      <c r="S16" s="84" t="e">
        <f t="shared" si="43"/>
        <v>#REF!</v>
      </c>
      <c r="T16" s="84"/>
      <c r="U16" s="84" t="e">
        <f t="shared" si="43"/>
        <v>#REF!</v>
      </c>
      <c r="V16" s="84"/>
      <c r="W16" s="84" t="e">
        <f t="shared" si="43"/>
        <v>#REF!</v>
      </c>
      <c r="X16" s="84"/>
      <c r="Y16" s="84" t="e">
        <f t="shared" si="43"/>
        <v>#REF!</v>
      </c>
      <c r="Z16" s="84"/>
      <c r="AA16" s="84" t="e">
        <f>ROUND(AA14*$D$16,0)</f>
        <v>#REF!</v>
      </c>
      <c r="AB16" s="84"/>
      <c r="AC16" s="84" t="e">
        <f t="shared" si="43"/>
        <v>#REF!</v>
      </c>
      <c r="AD16" s="84"/>
      <c r="AE16" s="84" t="e">
        <f t="shared" si="43"/>
        <v>#REF!</v>
      </c>
      <c r="AF16" s="84"/>
      <c r="AG16" s="84" t="e">
        <f t="shared" si="43"/>
        <v>#REF!</v>
      </c>
      <c r="AH16" s="84"/>
      <c r="AI16" s="84" t="e">
        <f t="shared" si="43"/>
        <v>#REF!</v>
      </c>
      <c r="AJ16" s="84"/>
      <c r="AK16" s="84" t="e">
        <f t="shared" si="43"/>
        <v>#REF!</v>
      </c>
      <c r="AL16" s="84"/>
      <c r="AM16" s="84" t="e">
        <f>ROUND(AM14*$D$16,0)</f>
        <v>#REF!</v>
      </c>
      <c r="AN16" s="84"/>
      <c r="AO16" s="84" t="e">
        <f>ROUND(AO14*$D$16,0)</f>
        <v>#REF!</v>
      </c>
      <c r="AP16" s="84"/>
      <c r="AQ16" s="84" t="e">
        <f>ROUND(AQ14*$D$16,0)</f>
        <v>#REF!</v>
      </c>
      <c r="AR16" s="84"/>
      <c r="AS16" s="84" t="e">
        <f>ROUND(AS14*$D$16,0)</f>
        <v>#REF!</v>
      </c>
      <c r="AT16" s="84"/>
      <c r="AU16" s="84" t="e">
        <f>ROUND(AU14*$D$16,0)</f>
        <v>#REF!</v>
      </c>
      <c r="AV16" s="84"/>
      <c r="AW16" s="84" t="e">
        <f>ROUND(AW14*$D$16,0)</f>
        <v>#REF!</v>
      </c>
      <c r="AX16" s="84"/>
      <c r="AY16" s="84" t="e">
        <f>ROUND(AY14*$D$16,0)</f>
        <v>#REF!</v>
      </c>
      <c r="AZ16" s="84"/>
      <c r="BA16" s="84" t="e">
        <f>ROUND(BA14*$D$16,0)</f>
        <v>#REF!</v>
      </c>
      <c r="BB16" s="84"/>
      <c r="BC16" s="84" t="e">
        <f t="shared" ref="BC16:BQ16" si="44">ROUND(BC14*$D$16,0)</f>
        <v>#REF!</v>
      </c>
      <c r="BD16" s="84"/>
      <c r="BE16" s="84" t="e">
        <f t="shared" si="44"/>
        <v>#REF!</v>
      </c>
      <c r="BF16" s="84"/>
      <c r="BG16" s="84" t="e">
        <f t="shared" si="44"/>
        <v>#REF!</v>
      </c>
      <c r="BH16" s="84"/>
      <c r="BI16" s="84" t="e">
        <f t="shared" si="44"/>
        <v>#REF!</v>
      </c>
      <c r="BJ16" s="84"/>
      <c r="BK16" s="84" t="e">
        <f t="shared" si="44"/>
        <v>#REF!</v>
      </c>
      <c r="BL16" s="84"/>
      <c r="BM16" s="84" t="e">
        <f t="shared" si="44"/>
        <v>#REF!</v>
      </c>
      <c r="BN16" s="84"/>
      <c r="BO16" s="84" t="e">
        <f t="shared" si="44"/>
        <v>#REF!</v>
      </c>
      <c r="BP16" s="84"/>
      <c r="BQ16" s="84" t="e">
        <f t="shared" si="44"/>
        <v>#REF!</v>
      </c>
      <c r="BR16" s="84"/>
      <c r="BS16" s="86" t="e">
        <f>SUMIF($F$5:$BQ$5,$BS$5,F16:BQ16)</f>
        <v>#REF!</v>
      </c>
      <c r="BT16" s="96"/>
      <c r="BU16" s="64"/>
      <c r="BV16" s="65"/>
      <c r="BW16" s="66"/>
    </row>
    <row r="17" spans="1:74" ht="24" customHeight="1" x14ac:dyDescent="0.3">
      <c r="A17" s="108">
        <v>12</v>
      </c>
      <c r="B17" s="112"/>
      <c r="C17" s="111" t="s">
        <v>89</v>
      </c>
      <c r="D17" s="63">
        <f>基础数据!C25</f>
        <v>7.0000000000000007E-2</v>
      </c>
      <c r="E17" s="25"/>
      <c r="F17" s="84"/>
      <c r="G17" s="84" t="e">
        <f>G14*D17</f>
        <v>#REF!</v>
      </c>
      <c r="H17" s="84"/>
      <c r="I17" s="84" t="e">
        <f>ROUND(I14*D17,0)</f>
        <v>#REF!</v>
      </c>
      <c r="J17" s="84"/>
      <c r="K17" s="84" t="e">
        <f>ROUND(K14*D17,0)</f>
        <v>#REF!</v>
      </c>
      <c r="L17" s="84"/>
      <c r="M17" s="84" t="e">
        <f>ROUND(M14*D17,0)</f>
        <v>#REF!</v>
      </c>
      <c r="N17" s="84"/>
      <c r="O17" s="84" t="e">
        <f>ROUND(O14*$D$17,0)</f>
        <v>#REF!</v>
      </c>
      <c r="P17" s="84"/>
      <c r="Q17" s="84" t="e">
        <f t="shared" ref="Q17:AK17" si="45">ROUND(Q14*$D$17,0)</f>
        <v>#REF!</v>
      </c>
      <c r="R17" s="84"/>
      <c r="S17" s="84" t="e">
        <f t="shared" si="45"/>
        <v>#REF!</v>
      </c>
      <c r="T17" s="84"/>
      <c r="U17" s="84" t="e">
        <f t="shared" si="45"/>
        <v>#REF!</v>
      </c>
      <c r="V17" s="84"/>
      <c r="W17" s="84" t="e">
        <f t="shared" si="45"/>
        <v>#REF!</v>
      </c>
      <c r="X17" s="84"/>
      <c r="Y17" s="84" t="e">
        <f t="shared" si="45"/>
        <v>#REF!</v>
      </c>
      <c r="Z17" s="84"/>
      <c r="AA17" s="84" t="e">
        <f>ROUND(AA14*$D$17,0)</f>
        <v>#REF!</v>
      </c>
      <c r="AB17" s="84"/>
      <c r="AC17" s="84" t="e">
        <f t="shared" si="45"/>
        <v>#REF!</v>
      </c>
      <c r="AD17" s="84"/>
      <c r="AE17" s="84" t="e">
        <f t="shared" si="45"/>
        <v>#REF!</v>
      </c>
      <c r="AF17" s="84"/>
      <c r="AG17" s="84" t="e">
        <f t="shared" si="45"/>
        <v>#REF!</v>
      </c>
      <c r="AH17" s="84"/>
      <c r="AI17" s="84" t="e">
        <f t="shared" si="45"/>
        <v>#REF!</v>
      </c>
      <c r="AJ17" s="84"/>
      <c r="AK17" s="84" t="e">
        <f t="shared" si="45"/>
        <v>#REF!</v>
      </c>
      <c r="AL17" s="84"/>
      <c r="AM17" s="84" t="e">
        <f>ROUND(AM14*$D$17,0)</f>
        <v>#REF!</v>
      </c>
      <c r="AN17" s="84"/>
      <c r="AO17" s="84" t="e">
        <f>ROUND(AO14*$D$17,0)</f>
        <v>#REF!</v>
      </c>
      <c r="AP17" s="84"/>
      <c r="AQ17" s="84" t="e">
        <f>ROUND(AQ14*$D$17,0)</f>
        <v>#REF!</v>
      </c>
      <c r="AR17" s="84"/>
      <c r="AS17" s="84" t="e">
        <f>ROUND(AS14*$D$17,0)</f>
        <v>#REF!</v>
      </c>
      <c r="AT17" s="84"/>
      <c r="AU17" s="84" t="e">
        <f>ROUND(AU14*$D$17,0)</f>
        <v>#REF!</v>
      </c>
      <c r="AV17" s="84"/>
      <c r="AW17" s="84" t="e">
        <f>ROUND(AW14*$D$17,0)</f>
        <v>#REF!</v>
      </c>
      <c r="AX17" s="84"/>
      <c r="AY17" s="84" t="e">
        <f>ROUND(AY14*$D$17,0)</f>
        <v>#REF!</v>
      </c>
      <c r="AZ17" s="84"/>
      <c r="BA17" s="84" t="e">
        <f>ROUND(BA14*$D$17,0)</f>
        <v>#REF!</v>
      </c>
      <c r="BB17" s="84"/>
      <c r="BC17" s="84" t="e">
        <f t="shared" ref="BC17:BQ17" si="46">ROUND(BC14*$D$17,0)</f>
        <v>#REF!</v>
      </c>
      <c r="BD17" s="84"/>
      <c r="BE17" s="84" t="e">
        <f t="shared" si="46"/>
        <v>#REF!</v>
      </c>
      <c r="BF17" s="84"/>
      <c r="BG17" s="84" t="e">
        <f t="shared" si="46"/>
        <v>#REF!</v>
      </c>
      <c r="BH17" s="84"/>
      <c r="BI17" s="84" t="e">
        <f t="shared" si="46"/>
        <v>#REF!</v>
      </c>
      <c r="BJ17" s="84"/>
      <c r="BK17" s="84" t="e">
        <f t="shared" si="46"/>
        <v>#REF!</v>
      </c>
      <c r="BL17" s="84"/>
      <c r="BM17" s="84" t="e">
        <f t="shared" si="46"/>
        <v>#REF!</v>
      </c>
      <c r="BN17" s="84"/>
      <c r="BO17" s="84" t="e">
        <f t="shared" si="46"/>
        <v>#REF!</v>
      </c>
      <c r="BP17" s="84"/>
      <c r="BQ17" s="84" t="e">
        <f t="shared" si="46"/>
        <v>#REF!</v>
      </c>
      <c r="BR17" s="84"/>
      <c r="BS17" s="86" t="e">
        <f>SUMIF($F$5:$BQ$5,$BS$5,F17:BQ17)</f>
        <v>#REF!</v>
      </c>
      <c r="BT17" s="96"/>
      <c r="BV17" s="65"/>
    </row>
    <row r="18" spans="1:74" ht="24" customHeight="1" x14ac:dyDescent="0.3">
      <c r="A18" s="108">
        <v>13</v>
      </c>
      <c r="B18" s="804" t="s">
        <v>18</v>
      </c>
      <c r="C18" s="805"/>
      <c r="D18" s="63"/>
      <c r="E18" s="25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96"/>
    </row>
    <row r="19" spans="1:74" ht="24" customHeight="1" x14ac:dyDescent="0.3">
      <c r="A19" s="67"/>
      <c r="B19" s="67"/>
      <c r="C19" s="67"/>
      <c r="D19" s="68"/>
      <c r="E19" s="69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87"/>
      <c r="BD19" s="87"/>
      <c r="BE19" s="87"/>
      <c r="BF19" s="87"/>
      <c r="BG19" s="87"/>
      <c r="BH19" s="87"/>
      <c r="BI19" s="87"/>
      <c r="BJ19" s="87"/>
      <c r="BK19" s="87"/>
      <c r="BL19" s="87"/>
      <c r="BM19" s="87"/>
      <c r="BN19" s="87"/>
      <c r="BO19" s="87"/>
      <c r="BP19" s="87"/>
      <c r="BQ19" s="87"/>
      <c r="BR19" s="87"/>
      <c r="BS19" s="87"/>
      <c r="BT19" s="100"/>
    </row>
    <row r="20" spans="1:74" ht="24" customHeight="1" x14ac:dyDescent="0.3">
      <c r="A20" s="67"/>
      <c r="B20" s="67"/>
      <c r="C20" s="67"/>
      <c r="D20" s="68"/>
      <c r="E20" s="69"/>
      <c r="F20" s="87" t="s">
        <v>260</v>
      </c>
      <c r="G20" s="87" t="s">
        <v>261</v>
      </c>
      <c r="H20" s="87" t="s">
        <v>191</v>
      </c>
      <c r="I20" s="87" t="s">
        <v>192</v>
      </c>
      <c r="J20" s="87" t="s">
        <v>193</v>
      </c>
      <c r="K20" s="87" t="s">
        <v>194</v>
      </c>
      <c r="L20" s="87" t="s">
        <v>195</v>
      </c>
      <c r="M20" s="87" t="s">
        <v>196</v>
      </c>
      <c r="N20" s="87" t="s">
        <v>197</v>
      </c>
      <c r="O20" s="87" t="s">
        <v>198</v>
      </c>
      <c r="P20" s="87" t="s">
        <v>199</v>
      </c>
      <c r="Q20" s="87" t="s">
        <v>200</v>
      </c>
      <c r="R20" s="87" t="s">
        <v>201</v>
      </c>
      <c r="S20" s="87" t="s">
        <v>202</v>
      </c>
      <c r="T20" s="87" t="s">
        <v>203</v>
      </c>
      <c r="U20" s="87" t="s">
        <v>204</v>
      </c>
      <c r="V20" s="87" t="s">
        <v>205</v>
      </c>
      <c r="W20" s="87" t="s">
        <v>206</v>
      </c>
      <c r="X20" s="87" t="s">
        <v>207</v>
      </c>
      <c r="Y20" s="87" t="s">
        <v>208</v>
      </c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87"/>
      <c r="BE20" s="87"/>
      <c r="BF20" s="87"/>
      <c r="BG20" s="87"/>
      <c r="BH20" s="87"/>
      <c r="BI20" s="87"/>
      <c r="BJ20" s="87"/>
      <c r="BK20" s="87"/>
      <c r="BL20" s="87"/>
      <c r="BM20" s="87"/>
      <c r="BN20" s="87"/>
      <c r="BO20" s="87"/>
      <c r="BP20" s="87"/>
      <c r="BQ20" s="87"/>
      <c r="BR20" s="87"/>
      <c r="BS20" s="87"/>
      <c r="BT20" s="100"/>
    </row>
    <row r="21" spans="1:74" ht="24" customHeight="1" x14ac:dyDescent="0.3">
      <c r="A21" s="67"/>
      <c r="B21" s="67"/>
      <c r="C21" s="67" t="str">
        <f t="shared" ref="C21:C26" si="47">C7</f>
        <v>小高层</v>
      </c>
      <c r="D21" s="68"/>
      <c r="E21" s="69"/>
      <c r="F21" s="88">
        <f>ROUND((TEXT(INDEX(7:7,COLUMN(A1)*2+5)&amp;"","0.00")),0)</f>
        <v>0</v>
      </c>
      <c r="G21" s="88">
        <f t="shared" ref="G21:AK21" si="48">ROUND((TEXT(INDEX(7:7,COLUMN(B1)*2+5)&amp;"","0.00")),0)</f>
        <v>0</v>
      </c>
      <c r="H21" s="88">
        <f t="shared" si="48"/>
        <v>0</v>
      </c>
      <c r="I21" s="88">
        <f t="shared" si="48"/>
        <v>0</v>
      </c>
      <c r="J21" s="88">
        <f t="shared" si="48"/>
        <v>32306</v>
      </c>
      <c r="K21" s="88">
        <f t="shared" si="48"/>
        <v>40382</v>
      </c>
      <c r="L21" s="88">
        <f t="shared" si="48"/>
        <v>24228</v>
      </c>
      <c r="M21" s="88">
        <f t="shared" si="48"/>
        <v>38766</v>
      </c>
      <c r="N21" s="88">
        <f t="shared" si="48"/>
        <v>25844</v>
      </c>
      <c r="O21" s="88">
        <f t="shared" si="48"/>
        <v>0</v>
      </c>
      <c r="P21" s="88">
        <f t="shared" si="48"/>
        <v>0</v>
      </c>
      <c r="Q21" s="88">
        <f t="shared" si="48"/>
        <v>0</v>
      </c>
      <c r="R21" s="88">
        <f t="shared" si="48"/>
        <v>0</v>
      </c>
      <c r="S21" s="88">
        <f t="shared" si="48"/>
        <v>0</v>
      </c>
      <c r="T21" s="88">
        <f t="shared" si="48"/>
        <v>0</v>
      </c>
      <c r="U21" s="88">
        <f t="shared" si="48"/>
        <v>0</v>
      </c>
      <c r="V21" s="88">
        <f t="shared" si="48"/>
        <v>0</v>
      </c>
      <c r="W21" s="88">
        <f t="shared" si="48"/>
        <v>0</v>
      </c>
      <c r="X21" s="88">
        <f t="shared" si="48"/>
        <v>0</v>
      </c>
      <c r="Y21" s="88">
        <f t="shared" si="48"/>
        <v>0</v>
      </c>
      <c r="Z21" s="88">
        <f t="shared" si="48"/>
        <v>0</v>
      </c>
      <c r="AA21" s="88">
        <f t="shared" si="48"/>
        <v>0</v>
      </c>
      <c r="AB21" s="88">
        <f t="shared" si="48"/>
        <v>0</v>
      </c>
      <c r="AC21" s="88">
        <f t="shared" si="48"/>
        <v>0</v>
      </c>
      <c r="AD21" s="88">
        <f t="shared" si="48"/>
        <v>0</v>
      </c>
      <c r="AE21" s="88">
        <f t="shared" si="48"/>
        <v>0</v>
      </c>
      <c r="AF21" s="88">
        <f t="shared" si="48"/>
        <v>0</v>
      </c>
      <c r="AG21" s="88">
        <f t="shared" si="48"/>
        <v>0</v>
      </c>
      <c r="AH21" s="88">
        <f t="shared" si="48"/>
        <v>0</v>
      </c>
      <c r="AI21" s="88">
        <f t="shared" si="48"/>
        <v>0</v>
      </c>
      <c r="AJ21" s="88">
        <f t="shared" si="48"/>
        <v>0</v>
      </c>
      <c r="AK21" s="88">
        <f t="shared" si="48"/>
        <v>0</v>
      </c>
      <c r="AL21" s="88"/>
      <c r="AM21" s="88"/>
      <c r="AN21" s="88"/>
      <c r="AO21" s="88" t="str">
        <f t="shared" ref="AO21:BI21" si="49">(TEXT(INDEX(7:7,COLUMN(AJ1)*2+5)&amp;"","0.00"))</f>
        <v/>
      </c>
      <c r="AP21" s="88" t="str">
        <f t="shared" si="49"/>
        <v/>
      </c>
      <c r="AQ21" s="88" t="str">
        <f t="shared" si="49"/>
        <v/>
      </c>
      <c r="AR21" s="88" t="str">
        <f t="shared" si="49"/>
        <v/>
      </c>
      <c r="AS21" s="88" t="str">
        <f t="shared" si="49"/>
        <v/>
      </c>
      <c r="AT21" s="88" t="str">
        <f t="shared" si="49"/>
        <v/>
      </c>
      <c r="AU21" s="88" t="str">
        <f t="shared" si="49"/>
        <v/>
      </c>
      <c r="AV21" s="88" t="str">
        <f t="shared" si="49"/>
        <v/>
      </c>
      <c r="AW21" s="88" t="str">
        <f t="shared" si="49"/>
        <v/>
      </c>
      <c r="AX21" s="88" t="str">
        <f t="shared" si="49"/>
        <v/>
      </c>
      <c r="AY21" s="88" t="str">
        <f t="shared" si="49"/>
        <v/>
      </c>
      <c r="AZ21" s="88" t="str">
        <f t="shared" si="49"/>
        <v/>
      </c>
      <c r="BA21" s="88" t="str">
        <f t="shared" si="49"/>
        <v/>
      </c>
      <c r="BB21" s="88" t="str">
        <f t="shared" si="49"/>
        <v/>
      </c>
      <c r="BC21" s="88" t="str">
        <f t="shared" si="49"/>
        <v/>
      </c>
      <c r="BD21" s="88" t="str">
        <f t="shared" si="49"/>
        <v/>
      </c>
      <c r="BE21" s="88" t="str">
        <f t="shared" si="49"/>
        <v/>
      </c>
      <c r="BF21" s="88" t="str">
        <f t="shared" si="49"/>
        <v/>
      </c>
      <c r="BG21" s="88" t="str">
        <f t="shared" si="49"/>
        <v/>
      </c>
      <c r="BH21" s="88" t="str">
        <f t="shared" si="49"/>
        <v/>
      </c>
      <c r="BI21" s="88" t="str">
        <f t="shared" si="49"/>
        <v/>
      </c>
      <c r="BJ21" s="88" t="str">
        <f t="shared" ref="BJ21:BS21" si="50">(TEXT(INDEX(8:8,COLUMN(BE1)*2+5)&amp;"","0.00"))</f>
        <v/>
      </c>
      <c r="BK21" s="88" t="str">
        <f t="shared" si="50"/>
        <v/>
      </c>
      <c r="BL21" s="88" t="str">
        <f t="shared" si="50"/>
        <v/>
      </c>
      <c r="BM21" s="88" t="str">
        <f t="shared" si="50"/>
        <v/>
      </c>
      <c r="BN21" s="88" t="str">
        <f t="shared" si="50"/>
        <v/>
      </c>
      <c r="BO21" s="88" t="str">
        <f t="shared" si="50"/>
        <v/>
      </c>
      <c r="BP21" s="88" t="str">
        <f t="shared" si="50"/>
        <v/>
      </c>
      <c r="BQ21" s="88" t="str">
        <f t="shared" si="50"/>
        <v/>
      </c>
      <c r="BR21" s="88" t="str">
        <f t="shared" si="50"/>
        <v/>
      </c>
      <c r="BS21" s="88" t="str">
        <f t="shared" si="50"/>
        <v/>
      </c>
      <c r="BT21" s="100"/>
    </row>
    <row r="22" spans="1:74" ht="24" customHeight="1" x14ac:dyDescent="0.3">
      <c r="A22" s="67"/>
      <c r="B22" s="67"/>
      <c r="C22" s="67" t="str">
        <f t="shared" si="47"/>
        <v>洋房</v>
      </c>
      <c r="D22" s="68"/>
      <c r="E22" s="69"/>
      <c r="F22" s="88">
        <f>ROUND((TEXT(INDEX(8:8,COLUMN(A1)*2+5)&amp;"","0.00")),0)</f>
        <v>0</v>
      </c>
      <c r="G22" s="88">
        <f t="shared" ref="G22:AK22" si="51">ROUND((TEXT(INDEX(8:8,COLUMN(B1)*2+5)&amp;"","0.00")),0)</f>
        <v>0</v>
      </c>
      <c r="H22" s="88">
        <f t="shared" si="51"/>
        <v>0</v>
      </c>
      <c r="I22" s="88">
        <f t="shared" si="51"/>
        <v>0</v>
      </c>
      <c r="J22" s="88">
        <f t="shared" si="51"/>
        <v>24355</v>
      </c>
      <c r="K22" s="88">
        <f t="shared" si="51"/>
        <v>48707</v>
      </c>
      <c r="L22" s="88">
        <f t="shared" si="51"/>
        <v>45460</v>
      </c>
      <c r="M22" s="88">
        <f t="shared" si="51"/>
        <v>24355</v>
      </c>
      <c r="N22" s="88">
        <f t="shared" si="51"/>
        <v>19483</v>
      </c>
      <c r="O22" s="88">
        <f t="shared" si="51"/>
        <v>0</v>
      </c>
      <c r="P22" s="88">
        <f t="shared" si="51"/>
        <v>0</v>
      </c>
      <c r="Q22" s="88">
        <f t="shared" si="51"/>
        <v>0</v>
      </c>
      <c r="R22" s="88">
        <f t="shared" si="51"/>
        <v>0</v>
      </c>
      <c r="S22" s="88">
        <f t="shared" si="51"/>
        <v>0</v>
      </c>
      <c r="T22" s="88">
        <f t="shared" si="51"/>
        <v>0</v>
      </c>
      <c r="U22" s="88">
        <f t="shared" si="51"/>
        <v>0</v>
      </c>
      <c r="V22" s="88">
        <f t="shared" si="51"/>
        <v>0</v>
      </c>
      <c r="W22" s="88">
        <f t="shared" si="51"/>
        <v>0</v>
      </c>
      <c r="X22" s="88">
        <f t="shared" si="51"/>
        <v>0</v>
      </c>
      <c r="Y22" s="88">
        <f t="shared" si="51"/>
        <v>0</v>
      </c>
      <c r="Z22" s="88">
        <f t="shared" si="51"/>
        <v>0</v>
      </c>
      <c r="AA22" s="88">
        <f t="shared" si="51"/>
        <v>0</v>
      </c>
      <c r="AB22" s="88">
        <f t="shared" si="51"/>
        <v>0</v>
      </c>
      <c r="AC22" s="88">
        <f t="shared" si="51"/>
        <v>0</v>
      </c>
      <c r="AD22" s="88">
        <f t="shared" si="51"/>
        <v>0</v>
      </c>
      <c r="AE22" s="88">
        <f t="shared" si="51"/>
        <v>0</v>
      </c>
      <c r="AF22" s="88">
        <f t="shared" si="51"/>
        <v>0</v>
      </c>
      <c r="AG22" s="88">
        <f t="shared" si="51"/>
        <v>0</v>
      </c>
      <c r="AH22" s="88">
        <f t="shared" si="51"/>
        <v>0</v>
      </c>
      <c r="AI22" s="88">
        <f t="shared" si="51"/>
        <v>0</v>
      </c>
      <c r="AJ22" s="88">
        <f t="shared" si="51"/>
        <v>0</v>
      </c>
      <c r="AK22" s="88">
        <f t="shared" si="51"/>
        <v>0</v>
      </c>
      <c r="AL22" s="88"/>
      <c r="AM22" s="88"/>
      <c r="AN22" s="88"/>
      <c r="AO22" s="88" t="str">
        <f t="shared" ref="AO22:BI22" si="52">(TEXT(INDEX(8:8,COLUMN(AJ1)*2+5)&amp;"","0.00"))</f>
        <v/>
      </c>
      <c r="AP22" s="88" t="str">
        <f t="shared" si="52"/>
        <v/>
      </c>
      <c r="AQ22" s="88" t="str">
        <f t="shared" si="52"/>
        <v/>
      </c>
      <c r="AR22" s="88" t="str">
        <f t="shared" si="52"/>
        <v/>
      </c>
      <c r="AS22" s="88" t="str">
        <f t="shared" si="52"/>
        <v/>
      </c>
      <c r="AT22" s="88" t="str">
        <f t="shared" si="52"/>
        <v/>
      </c>
      <c r="AU22" s="88" t="str">
        <f t="shared" si="52"/>
        <v/>
      </c>
      <c r="AV22" s="88" t="str">
        <f t="shared" si="52"/>
        <v/>
      </c>
      <c r="AW22" s="88" t="str">
        <f t="shared" si="52"/>
        <v/>
      </c>
      <c r="AX22" s="88" t="str">
        <f t="shared" si="52"/>
        <v/>
      </c>
      <c r="AY22" s="88" t="str">
        <f t="shared" si="52"/>
        <v/>
      </c>
      <c r="AZ22" s="88" t="str">
        <f t="shared" si="52"/>
        <v/>
      </c>
      <c r="BA22" s="88" t="str">
        <f t="shared" si="52"/>
        <v/>
      </c>
      <c r="BB22" s="88" t="str">
        <f t="shared" si="52"/>
        <v/>
      </c>
      <c r="BC22" s="88" t="str">
        <f t="shared" si="52"/>
        <v/>
      </c>
      <c r="BD22" s="88" t="str">
        <f t="shared" si="52"/>
        <v/>
      </c>
      <c r="BE22" s="88" t="str">
        <f t="shared" si="52"/>
        <v/>
      </c>
      <c r="BF22" s="88" t="str">
        <f t="shared" si="52"/>
        <v/>
      </c>
      <c r="BG22" s="88" t="str">
        <f t="shared" si="52"/>
        <v/>
      </c>
      <c r="BH22" s="88" t="str">
        <f t="shared" si="52"/>
        <v/>
      </c>
      <c r="BI22" s="88" t="str">
        <f t="shared" si="52"/>
        <v/>
      </c>
      <c r="BJ22" s="88" t="str">
        <f t="shared" ref="BJ22:BS22" si="53">(TEXT(INDEX(11:11,COLUMN(BE1)*2+5)&amp;"","0.00"))</f>
        <v/>
      </c>
      <c r="BK22" s="88" t="str">
        <f t="shared" si="53"/>
        <v/>
      </c>
      <c r="BL22" s="88" t="str">
        <f t="shared" si="53"/>
        <v/>
      </c>
      <c r="BM22" s="88" t="str">
        <f t="shared" si="53"/>
        <v/>
      </c>
      <c r="BN22" s="88" t="str">
        <f t="shared" si="53"/>
        <v/>
      </c>
      <c r="BO22" s="88" t="str">
        <f t="shared" si="53"/>
        <v/>
      </c>
      <c r="BP22" s="88" t="str">
        <f t="shared" si="53"/>
        <v/>
      </c>
      <c r="BQ22" s="88" t="str">
        <f t="shared" si="53"/>
        <v/>
      </c>
      <c r="BR22" s="88" t="str">
        <f t="shared" si="53"/>
        <v/>
      </c>
      <c r="BS22" s="88" t="str">
        <f t="shared" si="53"/>
        <v/>
      </c>
      <c r="BT22" s="100"/>
    </row>
    <row r="23" spans="1:74" ht="24" customHeight="1" x14ac:dyDescent="0.3">
      <c r="A23" s="67"/>
      <c r="B23" s="67"/>
      <c r="C23" s="67" t="str">
        <f t="shared" si="47"/>
        <v>商业</v>
      </c>
      <c r="D23" s="68"/>
      <c r="E23" s="69"/>
      <c r="F23" s="88">
        <f>ROUND((TEXT(INDEX(9:9,COLUMN(A1)*2+5)&amp;"","0.00")),0)</f>
        <v>0</v>
      </c>
      <c r="G23" s="88">
        <f t="shared" ref="G23:AK23" si="54">ROUND((TEXT(INDEX(9:9,COLUMN(B1)*2+5)&amp;"","0.00")),0)</f>
        <v>0</v>
      </c>
      <c r="H23" s="88">
        <f t="shared" si="54"/>
        <v>0</v>
      </c>
      <c r="I23" s="88">
        <f t="shared" si="54"/>
        <v>0</v>
      </c>
      <c r="J23" s="88">
        <f t="shared" si="54"/>
        <v>0</v>
      </c>
      <c r="K23" s="88">
        <f t="shared" si="54"/>
        <v>1089</v>
      </c>
      <c r="L23" s="88">
        <f t="shared" si="54"/>
        <v>2177</v>
      </c>
      <c r="M23" s="88">
        <f t="shared" si="54"/>
        <v>2181</v>
      </c>
      <c r="N23" s="88">
        <f t="shared" si="54"/>
        <v>1820</v>
      </c>
      <c r="O23" s="88">
        <f t="shared" si="54"/>
        <v>0</v>
      </c>
      <c r="P23" s="88">
        <f t="shared" si="54"/>
        <v>0</v>
      </c>
      <c r="Q23" s="88">
        <f t="shared" si="54"/>
        <v>0</v>
      </c>
      <c r="R23" s="88">
        <f t="shared" si="54"/>
        <v>0</v>
      </c>
      <c r="S23" s="88">
        <f t="shared" si="54"/>
        <v>0</v>
      </c>
      <c r="T23" s="88">
        <f t="shared" si="54"/>
        <v>0</v>
      </c>
      <c r="U23" s="88">
        <f t="shared" si="54"/>
        <v>0</v>
      </c>
      <c r="V23" s="88">
        <f t="shared" si="54"/>
        <v>0</v>
      </c>
      <c r="W23" s="88">
        <f t="shared" si="54"/>
        <v>0</v>
      </c>
      <c r="X23" s="88">
        <f t="shared" si="54"/>
        <v>0</v>
      </c>
      <c r="Y23" s="88">
        <f t="shared" si="54"/>
        <v>0</v>
      </c>
      <c r="Z23" s="88">
        <f t="shared" si="54"/>
        <v>0</v>
      </c>
      <c r="AA23" s="88">
        <f t="shared" si="54"/>
        <v>0</v>
      </c>
      <c r="AB23" s="88">
        <f t="shared" si="54"/>
        <v>0</v>
      </c>
      <c r="AC23" s="88">
        <f t="shared" si="54"/>
        <v>0</v>
      </c>
      <c r="AD23" s="88">
        <f t="shared" si="54"/>
        <v>0</v>
      </c>
      <c r="AE23" s="88">
        <f t="shared" si="54"/>
        <v>0</v>
      </c>
      <c r="AF23" s="88">
        <f t="shared" si="54"/>
        <v>0</v>
      </c>
      <c r="AG23" s="88">
        <f t="shared" si="54"/>
        <v>0</v>
      </c>
      <c r="AH23" s="88">
        <f t="shared" si="54"/>
        <v>0</v>
      </c>
      <c r="AI23" s="88">
        <f t="shared" si="54"/>
        <v>0</v>
      </c>
      <c r="AJ23" s="88">
        <f t="shared" si="54"/>
        <v>0</v>
      </c>
      <c r="AK23" s="88">
        <f t="shared" si="54"/>
        <v>0</v>
      </c>
      <c r="AL23" s="88"/>
      <c r="AM23" s="88"/>
      <c r="AN23" s="88"/>
      <c r="AO23" s="88" t="str">
        <f t="shared" ref="AO23:BS23" si="55">(TEXT(INDEX(9:9,COLUMN(AJ1)*2+5)&amp;"","0.00"))</f>
        <v/>
      </c>
      <c r="AP23" s="88" t="str">
        <f t="shared" si="55"/>
        <v/>
      </c>
      <c r="AQ23" s="88" t="str">
        <f t="shared" si="55"/>
        <v/>
      </c>
      <c r="AR23" s="88" t="str">
        <f t="shared" si="55"/>
        <v/>
      </c>
      <c r="AS23" s="88" t="str">
        <f t="shared" si="55"/>
        <v/>
      </c>
      <c r="AT23" s="88" t="str">
        <f t="shared" si="55"/>
        <v/>
      </c>
      <c r="AU23" s="88" t="str">
        <f t="shared" si="55"/>
        <v/>
      </c>
      <c r="AV23" s="88" t="str">
        <f t="shared" si="55"/>
        <v/>
      </c>
      <c r="AW23" s="88" t="str">
        <f t="shared" si="55"/>
        <v/>
      </c>
      <c r="AX23" s="88" t="str">
        <f t="shared" si="55"/>
        <v/>
      </c>
      <c r="AY23" s="88" t="str">
        <f t="shared" si="55"/>
        <v/>
      </c>
      <c r="AZ23" s="88" t="str">
        <f t="shared" si="55"/>
        <v/>
      </c>
      <c r="BA23" s="88" t="str">
        <f t="shared" si="55"/>
        <v/>
      </c>
      <c r="BB23" s="88" t="str">
        <f t="shared" si="55"/>
        <v/>
      </c>
      <c r="BC23" s="88" t="str">
        <f t="shared" si="55"/>
        <v/>
      </c>
      <c r="BD23" s="88" t="str">
        <f t="shared" si="55"/>
        <v/>
      </c>
      <c r="BE23" s="88" t="str">
        <f t="shared" si="55"/>
        <v/>
      </c>
      <c r="BF23" s="88" t="str">
        <f t="shared" si="55"/>
        <v/>
      </c>
      <c r="BG23" s="88" t="str">
        <f t="shared" si="55"/>
        <v/>
      </c>
      <c r="BH23" s="88" t="str">
        <f t="shared" si="55"/>
        <v/>
      </c>
      <c r="BI23" s="88" t="str">
        <f t="shared" si="55"/>
        <v/>
      </c>
      <c r="BJ23" s="88" t="str">
        <f t="shared" si="55"/>
        <v/>
      </c>
      <c r="BK23" s="88" t="str">
        <f t="shared" si="55"/>
        <v/>
      </c>
      <c r="BL23" s="88" t="str">
        <f t="shared" si="55"/>
        <v/>
      </c>
      <c r="BM23" s="88" t="str">
        <f t="shared" si="55"/>
        <v/>
      </c>
      <c r="BN23" s="88" t="str">
        <f t="shared" si="55"/>
        <v/>
      </c>
      <c r="BO23" s="88" t="str">
        <f t="shared" si="55"/>
        <v/>
      </c>
      <c r="BP23" s="88" t="str">
        <f t="shared" si="55"/>
        <v/>
      </c>
      <c r="BQ23" s="88" t="str">
        <f t="shared" si="55"/>
        <v/>
      </c>
      <c r="BR23" s="88" t="str">
        <f t="shared" si="55"/>
        <v/>
      </c>
      <c r="BS23" s="88" t="str">
        <f t="shared" si="55"/>
        <v/>
      </c>
      <c r="BT23" s="100"/>
    </row>
    <row r="24" spans="1:74" ht="24" customHeight="1" x14ac:dyDescent="0.3">
      <c r="A24" s="67"/>
      <c r="B24" s="67"/>
      <c r="C24" s="67" t="str">
        <f t="shared" si="47"/>
        <v>非人防地下车库</v>
      </c>
      <c r="D24" s="68"/>
      <c r="E24" s="69"/>
      <c r="F24" s="88">
        <f>ROUND((TEXT(INDEX(10:10,COLUMN(A1)*2+5)&amp;"","0.00")),0)</f>
        <v>0</v>
      </c>
      <c r="G24" s="88">
        <f t="shared" ref="G24:AK24" si="56">ROUND((TEXT(INDEX(10:10,COLUMN(B1)*2+5)&amp;"","0.00")),0)</f>
        <v>0</v>
      </c>
      <c r="H24" s="88">
        <f t="shared" si="56"/>
        <v>0</v>
      </c>
      <c r="I24" s="88">
        <f t="shared" si="56"/>
        <v>0</v>
      </c>
      <c r="J24" s="88">
        <f t="shared" si="56"/>
        <v>0</v>
      </c>
      <c r="K24" s="88">
        <f t="shared" si="56"/>
        <v>0</v>
      </c>
      <c r="L24" s="88">
        <f t="shared" si="56"/>
        <v>0</v>
      </c>
      <c r="M24" s="88">
        <f t="shared" si="56"/>
        <v>0</v>
      </c>
      <c r="N24" s="88">
        <f t="shared" si="56"/>
        <v>0</v>
      </c>
      <c r="O24" s="88">
        <f t="shared" si="56"/>
        <v>0</v>
      </c>
      <c r="P24" s="88">
        <f t="shared" si="56"/>
        <v>0</v>
      </c>
      <c r="Q24" s="88">
        <f t="shared" si="56"/>
        <v>0</v>
      </c>
      <c r="R24" s="88">
        <f t="shared" si="56"/>
        <v>16752</v>
      </c>
      <c r="S24" s="88">
        <f t="shared" si="56"/>
        <v>10051</v>
      </c>
      <c r="T24" s="88">
        <f t="shared" si="56"/>
        <v>5026</v>
      </c>
      <c r="U24" s="88">
        <f t="shared" si="56"/>
        <v>1675</v>
      </c>
      <c r="V24" s="88">
        <f t="shared" si="56"/>
        <v>0</v>
      </c>
      <c r="W24" s="88">
        <f t="shared" si="56"/>
        <v>0</v>
      </c>
      <c r="X24" s="88">
        <f t="shared" si="56"/>
        <v>0</v>
      </c>
      <c r="Y24" s="88">
        <f t="shared" si="56"/>
        <v>0</v>
      </c>
      <c r="Z24" s="88">
        <f t="shared" si="56"/>
        <v>0</v>
      </c>
      <c r="AA24" s="88">
        <f t="shared" si="56"/>
        <v>0</v>
      </c>
      <c r="AB24" s="88">
        <f t="shared" si="56"/>
        <v>0</v>
      </c>
      <c r="AC24" s="88">
        <f t="shared" si="56"/>
        <v>0</v>
      </c>
      <c r="AD24" s="88">
        <f t="shared" si="56"/>
        <v>0</v>
      </c>
      <c r="AE24" s="88">
        <f t="shared" si="56"/>
        <v>0</v>
      </c>
      <c r="AF24" s="88">
        <f t="shared" si="56"/>
        <v>0</v>
      </c>
      <c r="AG24" s="88">
        <f t="shared" si="56"/>
        <v>0</v>
      </c>
      <c r="AH24" s="88">
        <f t="shared" si="56"/>
        <v>0</v>
      </c>
      <c r="AI24" s="88">
        <f t="shared" si="56"/>
        <v>0</v>
      </c>
      <c r="AJ24" s="88">
        <f t="shared" si="56"/>
        <v>0</v>
      </c>
      <c r="AK24" s="88">
        <f t="shared" si="56"/>
        <v>0</v>
      </c>
      <c r="AL24" s="88"/>
      <c r="AM24" s="88"/>
      <c r="AN24" s="88"/>
      <c r="AO24" s="88" t="str">
        <f t="shared" ref="AO24:BI24" si="57">(TEXT(INDEX(10:10,COLUMN(AJ2)*2+5)&amp;"","0.00"))</f>
        <v/>
      </c>
      <c r="AP24" s="88" t="str">
        <f t="shared" si="57"/>
        <v/>
      </c>
      <c r="AQ24" s="88" t="str">
        <f t="shared" si="57"/>
        <v/>
      </c>
      <c r="AR24" s="88" t="str">
        <f t="shared" si="57"/>
        <v/>
      </c>
      <c r="AS24" s="88" t="str">
        <f t="shared" si="57"/>
        <v/>
      </c>
      <c r="AT24" s="88" t="str">
        <f t="shared" si="57"/>
        <v/>
      </c>
      <c r="AU24" s="88" t="str">
        <f t="shared" si="57"/>
        <v/>
      </c>
      <c r="AV24" s="88" t="str">
        <f t="shared" si="57"/>
        <v/>
      </c>
      <c r="AW24" s="88" t="str">
        <f t="shared" si="57"/>
        <v/>
      </c>
      <c r="AX24" s="88" t="str">
        <f t="shared" si="57"/>
        <v/>
      </c>
      <c r="AY24" s="88" t="str">
        <f t="shared" si="57"/>
        <v/>
      </c>
      <c r="AZ24" s="88" t="str">
        <f t="shared" si="57"/>
        <v/>
      </c>
      <c r="BA24" s="88" t="str">
        <f t="shared" si="57"/>
        <v/>
      </c>
      <c r="BB24" s="88" t="str">
        <f t="shared" si="57"/>
        <v/>
      </c>
      <c r="BC24" s="88" t="str">
        <f t="shared" si="57"/>
        <v/>
      </c>
      <c r="BD24" s="88" t="str">
        <f t="shared" si="57"/>
        <v/>
      </c>
      <c r="BE24" s="88" t="str">
        <f t="shared" si="57"/>
        <v/>
      </c>
      <c r="BF24" s="88" t="str">
        <f t="shared" si="57"/>
        <v/>
      </c>
      <c r="BG24" s="88" t="str">
        <f t="shared" si="57"/>
        <v/>
      </c>
      <c r="BH24" s="88" t="str">
        <f t="shared" si="57"/>
        <v/>
      </c>
      <c r="BI24" s="88" t="str">
        <f t="shared" si="57"/>
        <v/>
      </c>
      <c r="BJ24" s="88"/>
      <c r="BK24" s="88"/>
      <c r="BL24" s="88"/>
      <c r="BM24" s="88"/>
      <c r="BN24" s="88"/>
      <c r="BO24" s="88"/>
      <c r="BP24" s="88"/>
      <c r="BQ24" s="88"/>
      <c r="BR24" s="88"/>
      <c r="BS24" s="88"/>
      <c r="BT24" s="100"/>
    </row>
    <row r="25" spans="1:74" ht="24" customHeight="1" x14ac:dyDescent="0.3">
      <c r="A25" s="67"/>
      <c r="B25" s="67"/>
      <c r="C25" s="67">
        <f t="shared" si="47"/>
        <v>0</v>
      </c>
      <c r="D25" s="68"/>
      <c r="E25" s="69"/>
      <c r="F25" s="88" t="e">
        <f>ROUND((TEXT(INDEX(11:11,COLUMN(A1)*2+5)&amp;"","0.00")),)</f>
        <v>#REF!</v>
      </c>
      <c r="G25" s="88" t="e">
        <f t="shared" ref="G25:AK25" si="58">ROUND((TEXT(INDEX(11:11,COLUMN(B1)*2+5)&amp;"","0.00")),)</f>
        <v>#REF!</v>
      </c>
      <c r="H25" s="88" t="e">
        <f t="shared" si="58"/>
        <v>#REF!</v>
      </c>
      <c r="I25" s="88" t="e">
        <f t="shared" si="58"/>
        <v>#REF!</v>
      </c>
      <c r="J25" s="88" t="e">
        <f t="shared" si="58"/>
        <v>#REF!</v>
      </c>
      <c r="K25" s="88" t="e">
        <f t="shared" si="58"/>
        <v>#REF!</v>
      </c>
      <c r="L25" s="88" t="e">
        <f t="shared" si="58"/>
        <v>#REF!</v>
      </c>
      <c r="M25" s="88" t="e">
        <f t="shared" si="58"/>
        <v>#REF!</v>
      </c>
      <c r="N25" s="88" t="e">
        <f t="shared" si="58"/>
        <v>#REF!</v>
      </c>
      <c r="O25" s="88" t="e">
        <f t="shared" si="58"/>
        <v>#REF!</v>
      </c>
      <c r="P25" s="88" t="e">
        <f t="shared" si="58"/>
        <v>#REF!</v>
      </c>
      <c r="Q25" s="88" t="e">
        <f t="shared" si="58"/>
        <v>#REF!</v>
      </c>
      <c r="R25" s="88" t="e">
        <f t="shared" si="58"/>
        <v>#REF!</v>
      </c>
      <c r="S25" s="88" t="e">
        <f t="shared" si="58"/>
        <v>#REF!</v>
      </c>
      <c r="T25" s="88" t="e">
        <f t="shared" si="58"/>
        <v>#REF!</v>
      </c>
      <c r="U25" s="88" t="e">
        <f t="shared" si="58"/>
        <v>#REF!</v>
      </c>
      <c r="V25" s="88" t="e">
        <f t="shared" si="58"/>
        <v>#REF!</v>
      </c>
      <c r="W25" s="88" t="e">
        <f t="shared" si="58"/>
        <v>#REF!</v>
      </c>
      <c r="X25" s="88" t="e">
        <f t="shared" si="58"/>
        <v>#REF!</v>
      </c>
      <c r="Y25" s="88" t="e">
        <f t="shared" si="58"/>
        <v>#REF!</v>
      </c>
      <c r="Z25" s="88" t="e">
        <f t="shared" si="58"/>
        <v>#REF!</v>
      </c>
      <c r="AA25" s="88" t="e">
        <f t="shared" si="58"/>
        <v>#REF!</v>
      </c>
      <c r="AB25" s="88" t="e">
        <f t="shared" si="58"/>
        <v>#REF!</v>
      </c>
      <c r="AC25" s="88" t="e">
        <f t="shared" si="58"/>
        <v>#REF!</v>
      </c>
      <c r="AD25" s="88" t="e">
        <f t="shared" si="58"/>
        <v>#REF!</v>
      </c>
      <c r="AE25" s="88" t="e">
        <f t="shared" si="58"/>
        <v>#REF!</v>
      </c>
      <c r="AF25" s="88" t="e">
        <f t="shared" si="58"/>
        <v>#REF!</v>
      </c>
      <c r="AG25" s="88" t="e">
        <f t="shared" si="58"/>
        <v>#REF!</v>
      </c>
      <c r="AH25" s="88" t="e">
        <f t="shared" si="58"/>
        <v>#REF!</v>
      </c>
      <c r="AI25" s="88" t="e">
        <f t="shared" si="58"/>
        <v>#REF!</v>
      </c>
      <c r="AJ25" s="88" t="e">
        <f t="shared" si="58"/>
        <v>#REF!</v>
      </c>
      <c r="AK25" s="88" t="e">
        <f t="shared" si="58"/>
        <v>#REF!</v>
      </c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  <c r="BM25" s="88"/>
      <c r="BN25" s="88"/>
      <c r="BO25" s="88"/>
      <c r="BP25" s="88"/>
      <c r="BQ25" s="88"/>
      <c r="BR25" s="88"/>
      <c r="BS25" s="88"/>
      <c r="BT25" s="100"/>
    </row>
    <row r="26" spans="1:74" ht="24" customHeight="1" x14ac:dyDescent="0.3">
      <c r="A26" s="67"/>
      <c r="B26" s="67"/>
      <c r="C26" s="67">
        <f t="shared" si="47"/>
        <v>0</v>
      </c>
      <c r="D26" s="68"/>
      <c r="E26" s="69"/>
      <c r="F26" s="88">
        <f>ROUND((TEXT(INDEX(12:12,COLUMN(A1)*2+5)&amp;"","0.00")),0)</f>
        <v>0</v>
      </c>
      <c r="G26" s="88">
        <f t="shared" ref="G26:AK26" si="59">ROUND((TEXT(INDEX(12:12,COLUMN(B1)*2+5)&amp;"","0.00")),0)</f>
        <v>0</v>
      </c>
      <c r="H26" s="88">
        <f t="shared" si="59"/>
        <v>0</v>
      </c>
      <c r="I26" s="88">
        <f t="shared" si="59"/>
        <v>0</v>
      </c>
      <c r="J26" s="88">
        <f t="shared" si="59"/>
        <v>0</v>
      </c>
      <c r="K26" s="88">
        <f t="shared" si="59"/>
        <v>0</v>
      </c>
      <c r="L26" s="88">
        <f t="shared" si="59"/>
        <v>0</v>
      </c>
      <c r="M26" s="88">
        <f t="shared" si="59"/>
        <v>0</v>
      </c>
      <c r="N26" s="88">
        <f t="shared" si="59"/>
        <v>0</v>
      </c>
      <c r="O26" s="88">
        <f t="shared" si="59"/>
        <v>0</v>
      </c>
      <c r="P26" s="88">
        <f t="shared" si="59"/>
        <v>0</v>
      </c>
      <c r="Q26" s="88">
        <f t="shared" si="59"/>
        <v>0</v>
      </c>
      <c r="R26" s="88">
        <f t="shared" si="59"/>
        <v>0</v>
      </c>
      <c r="S26" s="88">
        <f t="shared" si="59"/>
        <v>0</v>
      </c>
      <c r="T26" s="88">
        <f t="shared" si="59"/>
        <v>0</v>
      </c>
      <c r="U26" s="88">
        <f t="shared" si="59"/>
        <v>0</v>
      </c>
      <c r="V26" s="88">
        <f t="shared" si="59"/>
        <v>0</v>
      </c>
      <c r="W26" s="88">
        <f t="shared" si="59"/>
        <v>0</v>
      </c>
      <c r="X26" s="88">
        <f t="shared" si="59"/>
        <v>0</v>
      </c>
      <c r="Y26" s="88">
        <f t="shared" si="59"/>
        <v>0</v>
      </c>
      <c r="Z26" s="88">
        <f t="shared" si="59"/>
        <v>0</v>
      </c>
      <c r="AA26" s="88">
        <f t="shared" si="59"/>
        <v>0</v>
      </c>
      <c r="AB26" s="88">
        <f t="shared" si="59"/>
        <v>0</v>
      </c>
      <c r="AC26" s="88">
        <f t="shared" si="59"/>
        <v>0</v>
      </c>
      <c r="AD26" s="88">
        <f t="shared" si="59"/>
        <v>0</v>
      </c>
      <c r="AE26" s="88">
        <f t="shared" si="59"/>
        <v>0</v>
      </c>
      <c r="AF26" s="88">
        <f t="shared" si="59"/>
        <v>0</v>
      </c>
      <c r="AG26" s="88">
        <f t="shared" si="59"/>
        <v>0</v>
      </c>
      <c r="AH26" s="88">
        <f t="shared" si="59"/>
        <v>0</v>
      </c>
      <c r="AI26" s="88">
        <f t="shared" si="59"/>
        <v>0</v>
      </c>
      <c r="AJ26" s="88">
        <f t="shared" si="59"/>
        <v>0</v>
      </c>
      <c r="AK26" s="88">
        <f t="shared" si="59"/>
        <v>0</v>
      </c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8"/>
      <c r="BK26" s="88"/>
      <c r="BL26" s="88"/>
      <c r="BM26" s="88"/>
      <c r="BN26" s="88"/>
      <c r="BO26" s="88"/>
      <c r="BP26" s="88"/>
      <c r="BQ26" s="88"/>
      <c r="BR26" s="88"/>
      <c r="BS26" s="88"/>
      <c r="BT26" s="100"/>
    </row>
    <row r="27" spans="1:74" ht="24" customHeight="1" x14ac:dyDescent="0.3">
      <c r="A27" s="67"/>
      <c r="B27" s="67"/>
      <c r="C27" s="67" t="str">
        <f>B6</f>
        <v>销售收入</v>
      </c>
      <c r="D27" s="68"/>
      <c r="E27" s="69"/>
      <c r="F27" s="88" t="e">
        <f>ROUND((TEXT(INDEX(6:6,COLUMN(A1)*2+5)&amp;"","0.00")),0)</f>
        <v>#REF!</v>
      </c>
      <c r="G27" s="88" t="e">
        <f t="shared" ref="G27:AK27" si="60">ROUND((TEXT(INDEX(6:6,COLUMN(B1)*2+5)&amp;"","0.00")),0)</f>
        <v>#REF!</v>
      </c>
      <c r="H27" s="88" t="e">
        <f t="shared" si="60"/>
        <v>#REF!</v>
      </c>
      <c r="I27" s="88" t="e">
        <f t="shared" si="60"/>
        <v>#REF!</v>
      </c>
      <c r="J27" s="88" t="e">
        <f t="shared" si="60"/>
        <v>#REF!</v>
      </c>
      <c r="K27" s="88" t="e">
        <f t="shared" si="60"/>
        <v>#REF!</v>
      </c>
      <c r="L27" s="88" t="e">
        <f t="shared" si="60"/>
        <v>#REF!</v>
      </c>
      <c r="M27" s="88" t="e">
        <f t="shared" si="60"/>
        <v>#REF!</v>
      </c>
      <c r="N27" s="88" t="e">
        <f t="shared" si="60"/>
        <v>#REF!</v>
      </c>
      <c r="O27" s="88" t="e">
        <f t="shared" si="60"/>
        <v>#REF!</v>
      </c>
      <c r="P27" s="88" t="e">
        <f t="shared" si="60"/>
        <v>#REF!</v>
      </c>
      <c r="Q27" s="88" t="e">
        <f t="shared" si="60"/>
        <v>#REF!</v>
      </c>
      <c r="R27" s="88" t="e">
        <f t="shared" si="60"/>
        <v>#REF!</v>
      </c>
      <c r="S27" s="88" t="e">
        <f t="shared" si="60"/>
        <v>#REF!</v>
      </c>
      <c r="T27" s="88" t="e">
        <f t="shared" si="60"/>
        <v>#REF!</v>
      </c>
      <c r="U27" s="88" t="e">
        <f t="shared" si="60"/>
        <v>#REF!</v>
      </c>
      <c r="V27" s="88" t="e">
        <f t="shared" si="60"/>
        <v>#REF!</v>
      </c>
      <c r="W27" s="88" t="e">
        <f t="shared" si="60"/>
        <v>#REF!</v>
      </c>
      <c r="X27" s="88" t="e">
        <f t="shared" si="60"/>
        <v>#REF!</v>
      </c>
      <c r="Y27" s="88" t="e">
        <f t="shared" si="60"/>
        <v>#REF!</v>
      </c>
      <c r="Z27" s="88" t="e">
        <f t="shared" si="60"/>
        <v>#REF!</v>
      </c>
      <c r="AA27" s="88" t="e">
        <f t="shared" si="60"/>
        <v>#REF!</v>
      </c>
      <c r="AB27" s="88" t="e">
        <f t="shared" si="60"/>
        <v>#REF!</v>
      </c>
      <c r="AC27" s="88" t="e">
        <f t="shared" si="60"/>
        <v>#REF!</v>
      </c>
      <c r="AD27" s="88" t="e">
        <f t="shared" si="60"/>
        <v>#REF!</v>
      </c>
      <c r="AE27" s="88" t="e">
        <f t="shared" si="60"/>
        <v>#REF!</v>
      </c>
      <c r="AF27" s="88" t="e">
        <f t="shared" si="60"/>
        <v>#REF!</v>
      </c>
      <c r="AG27" s="88" t="e">
        <f t="shared" si="60"/>
        <v>#REF!</v>
      </c>
      <c r="AH27" s="88" t="e">
        <f t="shared" si="60"/>
        <v>#REF!</v>
      </c>
      <c r="AI27" s="88" t="e">
        <f t="shared" si="60"/>
        <v>#REF!</v>
      </c>
      <c r="AJ27" s="88" t="e">
        <f t="shared" si="60"/>
        <v>#REF!</v>
      </c>
      <c r="AK27" s="88" t="e">
        <f t="shared" si="60"/>
        <v>#REF!</v>
      </c>
      <c r="AL27" s="88"/>
      <c r="AM27" s="88"/>
      <c r="AN27" s="88"/>
      <c r="AO27" s="88" t="str">
        <f t="shared" ref="AO27:BS27" si="61">(TEXT(INDEX(6:6,COLUMN(AJ1)*2+5)&amp;"","0.00"))</f>
        <v/>
      </c>
      <c r="AP27" s="88" t="str">
        <f t="shared" si="61"/>
        <v/>
      </c>
      <c r="AQ27" s="88" t="str">
        <f t="shared" si="61"/>
        <v/>
      </c>
      <c r="AR27" s="88" t="str">
        <f t="shared" si="61"/>
        <v/>
      </c>
      <c r="AS27" s="88" t="str">
        <f t="shared" si="61"/>
        <v/>
      </c>
      <c r="AT27" s="88" t="str">
        <f t="shared" si="61"/>
        <v/>
      </c>
      <c r="AU27" s="88" t="str">
        <f t="shared" si="61"/>
        <v/>
      </c>
      <c r="AV27" s="88" t="str">
        <f t="shared" si="61"/>
        <v/>
      </c>
      <c r="AW27" s="88" t="str">
        <f t="shared" si="61"/>
        <v/>
      </c>
      <c r="AX27" s="88" t="str">
        <f t="shared" si="61"/>
        <v/>
      </c>
      <c r="AY27" s="88" t="str">
        <f t="shared" si="61"/>
        <v/>
      </c>
      <c r="AZ27" s="88" t="str">
        <f t="shared" si="61"/>
        <v/>
      </c>
      <c r="BA27" s="88" t="str">
        <f t="shared" si="61"/>
        <v/>
      </c>
      <c r="BB27" s="88" t="str">
        <f t="shared" si="61"/>
        <v/>
      </c>
      <c r="BC27" s="88" t="str">
        <f t="shared" si="61"/>
        <v/>
      </c>
      <c r="BD27" s="88" t="str">
        <f t="shared" si="61"/>
        <v/>
      </c>
      <c r="BE27" s="88" t="str">
        <f t="shared" si="61"/>
        <v/>
      </c>
      <c r="BF27" s="88" t="str">
        <f t="shared" si="61"/>
        <v/>
      </c>
      <c r="BG27" s="88" t="str">
        <f t="shared" si="61"/>
        <v/>
      </c>
      <c r="BH27" s="88" t="str">
        <f t="shared" si="61"/>
        <v/>
      </c>
      <c r="BI27" s="88" t="str">
        <f t="shared" si="61"/>
        <v/>
      </c>
      <c r="BJ27" s="88" t="str">
        <f t="shared" si="61"/>
        <v/>
      </c>
      <c r="BK27" s="88" t="str">
        <f t="shared" si="61"/>
        <v/>
      </c>
      <c r="BL27" s="88" t="str">
        <f t="shared" si="61"/>
        <v/>
      </c>
      <c r="BM27" s="88" t="str">
        <f t="shared" si="61"/>
        <v/>
      </c>
      <c r="BN27" s="88" t="str">
        <f t="shared" si="61"/>
        <v/>
      </c>
      <c r="BO27" s="88" t="str">
        <f t="shared" si="61"/>
        <v/>
      </c>
      <c r="BP27" s="88" t="str">
        <f t="shared" si="61"/>
        <v/>
      </c>
      <c r="BQ27" s="88" t="str">
        <f t="shared" si="61"/>
        <v/>
      </c>
      <c r="BR27" s="88" t="str">
        <f t="shared" si="61"/>
        <v/>
      </c>
      <c r="BS27" s="88" t="str">
        <f t="shared" si="61"/>
        <v/>
      </c>
      <c r="BT27" s="100"/>
    </row>
    <row r="28" spans="1:74" ht="24" customHeight="1" x14ac:dyDescent="0.3">
      <c r="A28" s="67"/>
      <c r="B28" s="67"/>
      <c r="C28" s="67" t="str">
        <f>B13</f>
        <v>增值税及附加</v>
      </c>
      <c r="D28" s="68"/>
      <c r="E28" s="69"/>
      <c r="F28" s="88" t="e">
        <f>ROUND((TEXT(INDEX(13:13,COLUMN(A1)*2+5)&amp;"","0.00")),0)</f>
        <v>#REF!</v>
      </c>
      <c r="G28" s="88" t="e">
        <f t="shared" ref="G28:AK28" si="62">ROUND((TEXT(INDEX(13:13,COLUMN(B1)*2+5)&amp;"","0.00")),0)</f>
        <v>#REF!</v>
      </c>
      <c r="H28" s="88" t="e">
        <f t="shared" si="62"/>
        <v>#REF!</v>
      </c>
      <c r="I28" s="88" t="e">
        <f t="shared" si="62"/>
        <v>#REF!</v>
      </c>
      <c r="J28" s="88" t="e">
        <f t="shared" si="62"/>
        <v>#REF!</v>
      </c>
      <c r="K28" s="88" t="e">
        <f t="shared" si="62"/>
        <v>#REF!</v>
      </c>
      <c r="L28" s="88" t="e">
        <f t="shared" si="62"/>
        <v>#REF!</v>
      </c>
      <c r="M28" s="88" t="e">
        <f t="shared" si="62"/>
        <v>#REF!</v>
      </c>
      <c r="N28" s="88" t="e">
        <f t="shared" si="62"/>
        <v>#REF!</v>
      </c>
      <c r="O28" s="88" t="e">
        <f t="shared" si="62"/>
        <v>#REF!</v>
      </c>
      <c r="P28" s="88" t="e">
        <f t="shared" si="62"/>
        <v>#REF!</v>
      </c>
      <c r="Q28" s="88" t="e">
        <f t="shared" si="62"/>
        <v>#REF!</v>
      </c>
      <c r="R28" s="88" t="e">
        <f t="shared" si="62"/>
        <v>#REF!</v>
      </c>
      <c r="S28" s="88" t="e">
        <f t="shared" si="62"/>
        <v>#REF!</v>
      </c>
      <c r="T28" s="88" t="e">
        <f t="shared" si="62"/>
        <v>#REF!</v>
      </c>
      <c r="U28" s="88" t="e">
        <f t="shared" si="62"/>
        <v>#REF!</v>
      </c>
      <c r="V28" s="88" t="e">
        <f t="shared" si="62"/>
        <v>#REF!</v>
      </c>
      <c r="W28" s="88" t="e">
        <f t="shared" si="62"/>
        <v>#REF!</v>
      </c>
      <c r="X28" s="88" t="e">
        <f t="shared" si="62"/>
        <v>#REF!</v>
      </c>
      <c r="Y28" s="88" t="e">
        <f t="shared" si="62"/>
        <v>#REF!</v>
      </c>
      <c r="Z28" s="88" t="e">
        <f t="shared" si="62"/>
        <v>#REF!</v>
      </c>
      <c r="AA28" s="88" t="e">
        <f t="shared" si="62"/>
        <v>#REF!</v>
      </c>
      <c r="AB28" s="88" t="e">
        <f t="shared" si="62"/>
        <v>#REF!</v>
      </c>
      <c r="AC28" s="88" t="e">
        <f t="shared" si="62"/>
        <v>#REF!</v>
      </c>
      <c r="AD28" s="88" t="e">
        <f t="shared" si="62"/>
        <v>#REF!</v>
      </c>
      <c r="AE28" s="88" t="e">
        <f t="shared" si="62"/>
        <v>#REF!</v>
      </c>
      <c r="AF28" s="88" t="e">
        <f t="shared" si="62"/>
        <v>#REF!</v>
      </c>
      <c r="AG28" s="88" t="e">
        <f t="shared" si="62"/>
        <v>#REF!</v>
      </c>
      <c r="AH28" s="88" t="e">
        <f t="shared" si="62"/>
        <v>#REF!</v>
      </c>
      <c r="AI28" s="88" t="e">
        <f t="shared" si="62"/>
        <v>#REF!</v>
      </c>
      <c r="AJ28" s="88" t="e">
        <f t="shared" si="62"/>
        <v>#REF!</v>
      </c>
      <c r="AK28" s="88" t="e">
        <f t="shared" si="62"/>
        <v>#REF!</v>
      </c>
      <c r="AL28" s="88"/>
      <c r="AM28" s="88"/>
      <c r="AN28" s="88"/>
      <c r="AO28" s="88" t="str">
        <f t="shared" ref="AO28:BS28" si="63">(TEXT(INDEX(13:13,COLUMN(AJ1)*2+5)&amp;"","0.00"))</f>
        <v/>
      </c>
      <c r="AP28" s="88" t="str">
        <f t="shared" si="63"/>
        <v/>
      </c>
      <c r="AQ28" s="88" t="str">
        <f t="shared" si="63"/>
        <v/>
      </c>
      <c r="AR28" s="88" t="str">
        <f t="shared" si="63"/>
        <v/>
      </c>
      <c r="AS28" s="88" t="str">
        <f t="shared" si="63"/>
        <v/>
      </c>
      <c r="AT28" s="88" t="str">
        <f t="shared" si="63"/>
        <v/>
      </c>
      <c r="AU28" s="88" t="str">
        <f t="shared" si="63"/>
        <v/>
      </c>
      <c r="AV28" s="88" t="str">
        <f t="shared" si="63"/>
        <v/>
      </c>
      <c r="AW28" s="88" t="str">
        <f t="shared" si="63"/>
        <v/>
      </c>
      <c r="AX28" s="88" t="str">
        <f t="shared" si="63"/>
        <v/>
      </c>
      <c r="AY28" s="88" t="str">
        <f t="shared" si="63"/>
        <v/>
      </c>
      <c r="AZ28" s="88" t="str">
        <f t="shared" si="63"/>
        <v/>
      </c>
      <c r="BA28" s="88" t="str">
        <f t="shared" si="63"/>
        <v/>
      </c>
      <c r="BB28" s="88" t="str">
        <f t="shared" si="63"/>
        <v/>
      </c>
      <c r="BC28" s="88" t="str">
        <f t="shared" si="63"/>
        <v/>
      </c>
      <c r="BD28" s="88" t="str">
        <f t="shared" si="63"/>
        <v/>
      </c>
      <c r="BE28" s="88" t="str">
        <f t="shared" si="63"/>
        <v/>
      </c>
      <c r="BF28" s="88" t="str">
        <f t="shared" si="63"/>
        <v/>
      </c>
      <c r="BG28" s="88" t="str">
        <f t="shared" si="63"/>
        <v/>
      </c>
      <c r="BH28" s="88" t="str">
        <f t="shared" si="63"/>
        <v/>
      </c>
      <c r="BI28" s="88" t="str">
        <f t="shared" si="63"/>
        <v/>
      </c>
      <c r="BJ28" s="88" t="str">
        <f t="shared" si="63"/>
        <v/>
      </c>
      <c r="BK28" s="88" t="str">
        <f t="shared" si="63"/>
        <v/>
      </c>
      <c r="BL28" s="88" t="str">
        <f t="shared" si="63"/>
        <v/>
      </c>
      <c r="BM28" s="88" t="str">
        <f t="shared" si="63"/>
        <v/>
      </c>
      <c r="BN28" s="88" t="str">
        <f t="shared" si="63"/>
        <v/>
      </c>
      <c r="BO28" s="88" t="str">
        <f t="shared" si="63"/>
        <v/>
      </c>
      <c r="BP28" s="88" t="str">
        <f t="shared" si="63"/>
        <v/>
      </c>
      <c r="BQ28" s="88" t="str">
        <f t="shared" si="63"/>
        <v/>
      </c>
      <c r="BR28" s="88" t="str">
        <f t="shared" si="63"/>
        <v/>
      </c>
      <c r="BS28" s="88" t="str">
        <f t="shared" si="63"/>
        <v/>
      </c>
      <c r="BT28" s="101"/>
    </row>
    <row r="29" spans="1:74" ht="24" customHeight="1" x14ac:dyDescent="0.3">
      <c r="A29" s="67"/>
      <c r="B29" s="67"/>
      <c r="C29" s="67"/>
      <c r="D29" s="68"/>
      <c r="E29" s="69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  <c r="BM29" s="88"/>
      <c r="BN29" s="88"/>
      <c r="BO29" s="88"/>
      <c r="BP29" s="88"/>
      <c r="BQ29" s="88"/>
      <c r="BR29" s="88"/>
      <c r="BS29" s="88"/>
      <c r="BT29" s="101"/>
    </row>
    <row r="30" spans="1:74" s="53" customFormat="1" ht="21.75" customHeight="1" x14ac:dyDescent="0.3">
      <c r="A30" s="58"/>
      <c r="B30" s="58"/>
      <c r="E30" s="53" t="s">
        <v>165</v>
      </c>
      <c r="F30" s="89" t="s">
        <v>164</v>
      </c>
      <c r="G30" s="89" t="s">
        <v>167</v>
      </c>
      <c r="H30" s="89" t="s">
        <v>164</v>
      </c>
      <c r="I30" s="89" t="s">
        <v>167</v>
      </c>
      <c r="J30" s="89" t="s">
        <v>164</v>
      </c>
      <c r="K30" s="89" t="s">
        <v>167</v>
      </c>
      <c r="L30" s="89" t="s">
        <v>164</v>
      </c>
      <c r="M30" s="89" t="s">
        <v>167</v>
      </c>
      <c r="N30" s="89" t="s">
        <v>164</v>
      </c>
      <c r="O30" s="89" t="s">
        <v>167</v>
      </c>
      <c r="P30" s="89" t="s">
        <v>164</v>
      </c>
      <c r="Q30" s="89" t="s">
        <v>167</v>
      </c>
      <c r="R30" s="89" t="s">
        <v>164</v>
      </c>
      <c r="S30" s="89" t="s">
        <v>167</v>
      </c>
      <c r="T30" s="89" t="s">
        <v>164</v>
      </c>
      <c r="U30" s="89" t="s">
        <v>167</v>
      </c>
      <c r="V30" s="89" t="s">
        <v>164</v>
      </c>
      <c r="W30" s="89" t="s">
        <v>167</v>
      </c>
      <c r="X30" s="89" t="s">
        <v>164</v>
      </c>
      <c r="Y30" s="89" t="s">
        <v>167</v>
      </c>
      <c r="Z30" s="89" t="s">
        <v>164</v>
      </c>
      <c r="AA30" s="89" t="s">
        <v>167</v>
      </c>
      <c r="AB30" s="89" t="s">
        <v>164</v>
      </c>
      <c r="AC30" s="89" t="s">
        <v>167</v>
      </c>
      <c r="AD30" s="89" t="s">
        <v>164</v>
      </c>
      <c r="AE30" s="89" t="s">
        <v>167</v>
      </c>
      <c r="AF30" s="89" t="s">
        <v>164</v>
      </c>
      <c r="AG30" s="89" t="s">
        <v>167</v>
      </c>
      <c r="AH30" s="89" t="s">
        <v>164</v>
      </c>
      <c r="AI30" s="89" t="s">
        <v>167</v>
      </c>
      <c r="AJ30" s="89" t="s">
        <v>164</v>
      </c>
      <c r="AK30" s="89" t="s">
        <v>167</v>
      </c>
      <c r="AL30" s="89" t="s">
        <v>164</v>
      </c>
      <c r="AM30" s="89" t="s">
        <v>167</v>
      </c>
      <c r="AN30" s="89" t="s">
        <v>164</v>
      </c>
      <c r="AO30" s="89" t="s">
        <v>167</v>
      </c>
      <c r="AP30" s="89" t="s">
        <v>164</v>
      </c>
      <c r="AQ30" s="89" t="s">
        <v>167</v>
      </c>
      <c r="AR30" s="89" t="s">
        <v>164</v>
      </c>
      <c r="AS30" s="89" t="s">
        <v>167</v>
      </c>
      <c r="AT30" s="89" t="s">
        <v>164</v>
      </c>
      <c r="AU30" s="89" t="s">
        <v>167</v>
      </c>
      <c r="AV30" s="89" t="s">
        <v>164</v>
      </c>
      <c r="AW30" s="89" t="s">
        <v>167</v>
      </c>
      <c r="AX30" s="89" t="s">
        <v>164</v>
      </c>
      <c r="AY30" s="89" t="s">
        <v>167</v>
      </c>
      <c r="AZ30" s="89" t="s">
        <v>164</v>
      </c>
      <c r="BA30" s="89" t="s">
        <v>167</v>
      </c>
      <c r="BB30" s="89" t="s">
        <v>164</v>
      </c>
      <c r="BC30" s="89" t="s">
        <v>167</v>
      </c>
      <c r="BD30" s="89" t="s">
        <v>164</v>
      </c>
      <c r="BE30" s="89" t="s">
        <v>167</v>
      </c>
      <c r="BF30" s="89" t="s">
        <v>164</v>
      </c>
      <c r="BG30" s="89" t="s">
        <v>167</v>
      </c>
      <c r="BH30" s="89" t="s">
        <v>164</v>
      </c>
      <c r="BI30" s="89" t="s">
        <v>167</v>
      </c>
      <c r="BJ30" s="89" t="s">
        <v>164</v>
      </c>
      <c r="BK30" s="89" t="s">
        <v>167</v>
      </c>
      <c r="BL30" s="89" t="s">
        <v>164</v>
      </c>
      <c r="BM30" s="89" t="s">
        <v>167</v>
      </c>
      <c r="BN30" s="89" t="s">
        <v>164</v>
      </c>
      <c r="BO30" s="89" t="s">
        <v>167</v>
      </c>
      <c r="BP30" s="89" t="s">
        <v>164</v>
      </c>
      <c r="BQ30" s="89" t="s">
        <v>167</v>
      </c>
      <c r="BR30" s="89"/>
      <c r="BS30" s="89"/>
      <c r="BT30" s="102"/>
    </row>
    <row r="31" spans="1:74" ht="21.75" customHeight="1" x14ac:dyDescent="0.3">
      <c r="C31" s="58" t="str">
        <f>C7</f>
        <v>小高层</v>
      </c>
      <c r="D31" s="58"/>
      <c r="E31" s="70">
        <v>0</v>
      </c>
      <c r="F31" s="90">
        <v>0</v>
      </c>
      <c r="G31" s="115">
        <f>ROUND((26000+2000)*C46,0)</f>
        <v>28000</v>
      </c>
      <c r="H31" s="90">
        <v>0</v>
      </c>
      <c r="I31" s="91">
        <f t="shared" ref="I31:I41" si="64">ROUND(G31*(1+$E31),0)</f>
        <v>28000</v>
      </c>
      <c r="J31" s="90">
        <v>0</v>
      </c>
      <c r="K31" s="91">
        <f t="shared" ref="K31:K41" si="65">ROUND(I31*(1+$E31),0)</f>
        <v>28000</v>
      </c>
      <c r="L31" s="90">
        <v>0</v>
      </c>
      <c r="M31" s="91">
        <f t="shared" ref="M31:M41" si="66">ROUND(K31*(1+$E31),0)</f>
        <v>28000</v>
      </c>
      <c r="N31" s="90">
        <v>0.2</v>
      </c>
      <c r="O31" s="91">
        <f t="shared" ref="O31:O36" si="67">ROUND(M31*(1+$E31),0)</f>
        <v>28000</v>
      </c>
      <c r="P31" s="90">
        <v>0.25</v>
      </c>
      <c r="Q31" s="91">
        <f t="shared" ref="Q31:Q36" si="68">ROUND(O31*(1+$E31),0)</f>
        <v>28000</v>
      </c>
      <c r="R31" s="90">
        <v>0.15</v>
      </c>
      <c r="S31" s="91">
        <f t="shared" ref="S31:S36" si="69">ROUND(Q31*(1+$E31),0)</f>
        <v>28000</v>
      </c>
      <c r="T31" s="90">
        <v>0.24</v>
      </c>
      <c r="U31" s="91">
        <f t="shared" ref="U31:U36" si="70">ROUND(S31*(1+$E31),0)</f>
        <v>28000</v>
      </c>
      <c r="V31" s="90">
        <v>0.16</v>
      </c>
      <c r="W31" s="91">
        <f t="shared" ref="W31:W41" si="71">ROUND(U31*(1+$E31),0)</f>
        <v>28000</v>
      </c>
      <c r="X31" s="90">
        <v>0</v>
      </c>
      <c r="Y31" s="91">
        <f t="shared" ref="Y31:Y36" si="72">ROUND(W31*(1+$E31),0)</f>
        <v>28000</v>
      </c>
      <c r="Z31" s="90">
        <v>0</v>
      </c>
      <c r="AA31" s="91">
        <f t="shared" ref="AA31:AA36" si="73">ROUND(Y31*(1+$E31),0)</f>
        <v>28000</v>
      </c>
      <c r="AB31" s="90">
        <v>0</v>
      </c>
      <c r="AC31" s="91">
        <f t="shared" ref="AC31:AC36" si="74">ROUND(AA31*(1+$E31),0)</f>
        <v>28000</v>
      </c>
      <c r="AD31" s="90">
        <v>0</v>
      </c>
      <c r="AE31" s="91">
        <f t="shared" ref="AE31:AE36" si="75">ROUND(AC31*(1+$E31),0)</f>
        <v>28000</v>
      </c>
      <c r="AF31" s="90">
        <v>0</v>
      </c>
      <c r="AG31" s="91">
        <f t="shared" ref="AG31:AG36" si="76">ROUND(AE31*(1+$E31),0)</f>
        <v>28000</v>
      </c>
      <c r="AH31" s="90">
        <v>0</v>
      </c>
      <c r="AI31" s="91">
        <f t="shared" ref="AI31:AI36" si="77">ROUND(AG31*(1+$E31),0)</f>
        <v>28000</v>
      </c>
      <c r="AJ31" s="90">
        <v>0</v>
      </c>
      <c r="AK31" s="91">
        <f t="shared" ref="AK31:AK36" si="78">ROUND(AI31*(1+$E31),0)</f>
        <v>28000</v>
      </c>
      <c r="AL31" s="90">
        <v>0</v>
      </c>
      <c r="AM31" s="91">
        <f t="shared" ref="AM31:AM36" si="79">ROUND(AK31*(1+$E31),0)</f>
        <v>28000</v>
      </c>
      <c r="AN31" s="90">
        <v>0</v>
      </c>
      <c r="AO31" s="91">
        <f t="shared" ref="AO31:AO36" si="80">ROUND(AM31*(1+$E31),0)</f>
        <v>28000</v>
      </c>
      <c r="AP31" s="90">
        <v>0</v>
      </c>
      <c r="AQ31" s="91">
        <f t="shared" ref="AQ31:AQ36" si="81">ROUND(AO31*(1+$E31),0)</f>
        <v>28000</v>
      </c>
      <c r="AR31" s="90">
        <v>0</v>
      </c>
      <c r="AS31" s="91">
        <f t="shared" ref="AS31:AS36" si="82">ROUND(AQ31*(1+$E31),0)</f>
        <v>28000</v>
      </c>
      <c r="AT31" s="90">
        <v>0</v>
      </c>
      <c r="AU31" s="91">
        <f t="shared" ref="AU31:AU36" si="83">ROUND(AS31*(1+$E31),0)</f>
        <v>28000</v>
      </c>
      <c r="AV31" s="90">
        <v>0</v>
      </c>
      <c r="AW31" s="91">
        <f t="shared" ref="AW31:AW36" si="84">ROUND(AU31*(1+$E31),0)</f>
        <v>28000</v>
      </c>
      <c r="AX31" s="90">
        <v>0</v>
      </c>
      <c r="AY31" s="91">
        <f t="shared" ref="AY31:AY36" si="85">ROUND(AW31*(1+$E31),0)</f>
        <v>28000</v>
      </c>
      <c r="AZ31" s="90">
        <v>0</v>
      </c>
      <c r="BA31" s="91">
        <f t="shared" ref="BA31:BA36" si="86">ROUND(AY31*(1+$E31),0)</f>
        <v>28000</v>
      </c>
      <c r="BB31" s="90">
        <v>0</v>
      </c>
      <c r="BC31" s="91">
        <f t="shared" ref="BC31:BC36" si="87">ROUND(BA31*(1+$E31),0)</f>
        <v>28000</v>
      </c>
      <c r="BD31" s="90">
        <v>0</v>
      </c>
      <c r="BE31" s="91">
        <f t="shared" ref="BE31:BE36" si="88">ROUND(BC31*(1+$E31),0)</f>
        <v>28000</v>
      </c>
      <c r="BF31" s="90">
        <v>0</v>
      </c>
      <c r="BG31" s="91">
        <f t="shared" ref="BG31:BG36" si="89">ROUND(BE31*(1+$E31),0)</f>
        <v>28000</v>
      </c>
      <c r="BH31" s="90">
        <v>0</v>
      </c>
      <c r="BI31" s="91">
        <f t="shared" ref="BI31:BI36" si="90">ROUND(BG31*(1+$E31),0)</f>
        <v>28000</v>
      </c>
      <c r="BJ31" s="90">
        <v>0</v>
      </c>
      <c r="BK31" s="91">
        <f t="shared" ref="BK31:BK36" si="91">ROUND(BI31*(1+$E31),0)</f>
        <v>28000</v>
      </c>
      <c r="BL31" s="90">
        <v>0</v>
      </c>
      <c r="BM31" s="91">
        <f t="shared" ref="BM31:BM36" si="92">ROUND(BK31*(1+$E31),0)</f>
        <v>28000</v>
      </c>
      <c r="BN31" s="90">
        <v>0</v>
      </c>
      <c r="BO31" s="91">
        <f t="shared" ref="BO31:BO36" si="93">ROUND(BM31*(1+$E31),0)</f>
        <v>28000</v>
      </c>
      <c r="BP31" s="90">
        <v>0</v>
      </c>
      <c r="BQ31" s="91">
        <f t="shared" ref="BQ31:BQ36" si="94">ROUND(BO31*(1+$E31),0)</f>
        <v>28000</v>
      </c>
      <c r="BR31" s="92">
        <f t="shared" ref="BR31:BR36" si="95">SUMIF($F$30:$BQ$30,$BP$30,F31:BQ31)</f>
        <v>1</v>
      </c>
      <c r="BS31" s="93"/>
      <c r="BT31" s="103"/>
      <c r="BU31" s="60"/>
    </row>
    <row r="32" spans="1:74" ht="21.75" customHeight="1" x14ac:dyDescent="0.3">
      <c r="C32" s="58" t="str">
        <f t="shared" ref="C32:C41" si="96">C8</f>
        <v>洋房</v>
      </c>
      <c r="D32" s="58"/>
      <c r="E32" s="70">
        <v>0</v>
      </c>
      <c r="F32" s="90">
        <v>0</v>
      </c>
      <c r="G32" s="115">
        <f>ROUND((27000+2500)*C46,0)</f>
        <v>29500</v>
      </c>
      <c r="H32" s="90">
        <v>0</v>
      </c>
      <c r="I32" s="91">
        <f t="shared" si="64"/>
        <v>29500</v>
      </c>
      <c r="J32" s="90">
        <v>0</v>
      </c>
      <c r="K32" s="91">
        <f t="shared" si="65"/>
        <v>29500</v>
      </c>
      <c r="L32" s="90">
        <v>0</v>
      </c>
      <c r="M32" s="91">
        <f t="shared" si="66"/>
        <v>29500</v>
      </c>
      <c r="N32" s="90">
        <v>0.15</v>
      </c>
      <c r="O32" s="91">
        <f t="shared" si="67"/>
        <v>29500</v>
      </c>
      <c r="P32" s="90">
        <v>0.3</v>
      </c>
      <c r="Q32" s="91">
        <f t="shared" si="68"/>
        <v>29500</v>
      </c>
      <c r="R32" s="90">
        <v>0.28000000000000003</v>
      </c>
      <c r="S32" s="91">
        <f t="shared" si="69"/>
        <v>29500</v>
      </c>
      <c r="T32" s="90">
        <v>0.15</v>
      </c>
      <c r="U32" s="91">
        <f t="shared" si="70"/>
        <v>29500</v>
      </c>
      <c r="V32" s="90">
        <v>0.12</v>
      </c>
      <c r="W32" s="91">
        <f t="shared" si="71"/>
        <v>29500</v>
      </c>
      <c r="X32" s="90">
        <v>0</v>
      </c>
      <c r="Y32" s="91">
        <f t="shared" si="72"/>
        <v>29500</v>
      </c>
      <c r="Z32" s="90">
        <v>0</v>
      </c>
      <c r="AA32" s="91">
        <f t="shared" si="73"/>
        <v>29500</v>
      </c>
      <c r="AB32" s="90">
        <v>0</v>
      </c>
      <c r="AC32" s="91">
        <f t="shared" si="74"/>
        <v>29500</v>
      </c>
      <c r="AD32" s="90">
        <v>0</v>
      </c>
      <c r="AE32" s="91">
        <f t="shared" si="75"/>
        <v>29500</v>
      </c>
      <c r="AF32" s="90">
        <v>0</v>
      </c>
      <c r="AG32" s="91">
        <f t="shared" si="76"/>
        <v>29500</v>
      </c>
      <c r="AH32" s="90">
        <v>0</v>
      </c>
      <c r="AI32" s="91">
        <f t="shared" si="77"/>
        <v>29500</v>
      </c>
      <c r="AJ32" s="90">
        <v>0</v>
      </c>
      <c r="AK32" s="91">
        <f t="shared" si="78"/>
        <v>29500</v>
      </c>
      <c r="AL32" s="90">
        <v>0</v>
      </c>
      <c r="AM32" s="91">
        <f t="shared" si="79"/>
        <v>29500</v>
      </c>
      <c r="AN32" s="90">
        <v>0</v>
      </c>
      <c r="AO32" s="91">
        <f t="shared" si="80"/>
        <v>29500</v>
      </c>
      <c r="AP32" s="90">
        <v>0</v>
      </c>
      <c r="AQ32" s="91">
        <f t="shared" si="81"/>
        <v>29500</v>
      </c>
      <c r="AR32" s="90">
        <v>0</v>
      </c>
      <c r="AS32" s="91">
        <f t="shared" si="82"/>
        <v>29500</v>
      </c>
      <c r="AT32" s="90">
        <v>0</v>
      </c>
      <c r="AU32" s="91">
        <f t="shared" si="83"/>
        <v>29500</v>
      </c>
      <c r="AV32" s="90">
        <v>0</v>
      </c>
      <c r="AW32" s="91">
        <f t="shared" si="84"/>
        <v>29500</v>
      </c>
      <c r="AX32" s="90">
        <v>0</v>
      </c>
      <c r="AY32" s="91">
        <f t="shared" si="85"/>
        <v>29500</v>
      </c>
      <c r="AZ32" s="90">
        <v>0</v>
      </c>
      <c r="BA32" s="91">
        <f t="shared" si="86"/>
        <v>29500</v>
      </c>
      <c r="BB32" s="90">
        <v>0</v>
      </c>
      <c r="BC32" s="91">
        <f t="shared" si="87"/>
        <v>29500</v>
      </c>
      <c r="BD32" s="90">
        <v>0</v>
      </c>
      <c r="BE32" s="91">
        <f t="shared" si="88"/>
        <v>29500</v>
      </c>
      <c r="BF32" s="90">
        <v>0</v>
      </c>
      <c r="BG32" s="91">
        <f t="shared" si="89"/>
        <v>29500</v>
      </c>
      <c r="BH32" s="90">
        <v>0</v>
      </c>
      <c r="BI32" s="91">
        <f t="shared" si="90"/>
        <v>29500</v>
      </c>
      <c r="BJ32" s="90">
        <v>0</v>
      </c>
      <c r="BK32" s="91">
        <f t="shared" si="91"/>
        <v>29500</v>
      </c>
      <c r="BL32" s="90">
        <v>0</v>
      </c>
      <c r="BM32" s="91">
        <f t="shared" si="92"/>
        <v>29500</v>
      </c>
      <c r="BN32" s="90">
        <v>0</v>
      </c>
      <c r="BO32" s="91">
        <f t="shared" si="93"/>
        <v>29500</v>
      </c>
      <c r="BP32" s="90">
        <v>0</v>
      </c>
      <c r="BQ32" s="91">
        <f t="shared" si="94"/>
        <v>29500</v>
      </c>
      <c r="BR32" s="92">
        <f t="shared" si="95"/>
        <v>1</v>
      </c>
      <c r="BS32" s="93"/>
      <c r="BT32" s="103"/>
      <c r="BU32" s="60"/>
    </row>
    <row r="33" spans="2:73" ht="21.75" customHeight="1" x14ac:dyDescent="0.3">
      <c r="C33" s="58" t="str">
        <f t="shared" si="96"/>
        <v>商业</v>
      </c>
      <c r="D33" s="58"/>
      <c r="E33" s="70">
        <v>0</v>
      </c>
      <c r="F33" s="90">
        <v>0</v>
      </c>
      <c r="G33" s="115">
        <f>ROUND(35000*C46,0)</f>
        <v>35000</v>
      </c>
      <c r="H33" s="90">
        <v>0</v>
      </c>
      <c r="I33" s="91">
        <f t="shared" si="64"/>
        <v>35000</v>
      </c>
      <c r="J33" s="90">
        <v>0</v>
      </c>
      <c r="K33" s="91">
        <f t="shared" si="65"/>
        <v>35000</v>
      </c>
      <c r="L33" s="90">
        <v>0</v>
      </c>
      <c r="M33" s="91">
        <f t="shared" si="66"/>
        <v>35000</v>
      </c>
      <c r="N33" s="90">
        <v>0</v>
      </c>
      <c r="O33" s="91">
        <f t="shared" si="67"/>
        <v>35000</v>
      </c>
      <c r="P33" s="90">
        <v>0.15</v>
      </c>
      <c r="Q33" s="91">
        <f t="shared" si="68"/>
        <v>35000</v>
      </c>
      <c r="R33" s="90">
        <v>0.3</v>
      </c>
      <c r="S33" s="91">
        <f t="shared" si="69"/>
        <v>35000</v>
      </c>
      <c r="T33" s="90">
        <v>0.3</v>
      </c>
      <c r="U33" s="91">
        <f t="shared" si="70"/>
        <v>35000</v>
      </c>
      <c r="V33" s="90">
        <v>0.25</v>
      </c>
      <c r="W33" s="91">
        <f t="shared" si="71"/>
        <v>35000</v>
      </c>
      <c r="X33" s="90">
        <v>0</v>
      </c>
      <c r="Y33" s="91">
        <f t="shared" si="72"/>
        <v>35000</v>
      </c>
      <c r="Z33" s="90">
        <v>0</v>
      </c>
      <c r="AA33" s="91">
        <f t="shared" si="73"/>
        <v>35000</v>
      </c>
      <c r="AB33" s="90">
        <v>0</v>
      </c>
      <c r="AC33" s="91">
        <f t="shared" si="74"/>
        <v>35000</v>
      </c>
      <c r="AD33" s="90">
        <v>0</v>
      </c>
      <c r="AE33" s="91">
        <f t="shared" si="75"/>
        <v>35000</v>
      </c>
      <c r="AF33" s="90">
        <v>0</v>
      </c>
      <c r="AG33" s="91">
        <f t="shared" si="76"/>
        <v>35000</v>
      </c>
      <c r="AH33" s="90">
        <v>0</v>
      </c>
      <c r="AI33" s="91">
        <f t="shared" si="77"/>
        <v>35000</v>
      </c>
      <c r="AJ33" s="90">
        <v>0</v>
      </c>
      <c r="AK33" s="91">
        <f t="shared" si="78"/>
        <v>35000</v>
      </c>
      <c r="AL33" s="90">
        <v>0</v>
      </c>
      <c r="AM33" s="91">
        <f t="shared" si="79"/>
        <v>35000</v>
      </c>
      <c r="AN33" s="90">
        <v>0</v>
      </c>
      <c r="AO33" s="91">
        <f t="shared" si="80"/>
        <v>35000</v>
      </c>
      <c r="AP33" s="90">
        <v>0</v>
      </c>
      <c r="AQ33" s="91">
        <f t="shared" si="81"/>
        <v>35000</v>
      </c>
      <c r="AR33" s="90">
        <v>0</v>
      </c>
      <c r="AS33" s="91">
        <f t="shared" si="82"/>
        <v>35000</v>
      </c>
      <c r="AT33" s="90">
        <v>0</v>
      </c>
      <c r="AU33" s="91">
        <f t="shared" si="83"/>
        <v>35000</v>
      </c>
      <c r="AV33" s="90">
        <v>0</v>
      </c>
      <c r="AW33" s="91">
        <f t="shared" si="84"/>
        <v>35000</v>
      </c>
      <c r="AX33" s="90">
        <v>0</v>
      </c>
      <c r="AY33" s="91">
        <f t="shared" si="85"/>
        <v>35000</v>
      </c>
      <c r="AZ33" s="90">
        <v>0</v>
      </c>
      <c r="BA33" s="91">
        <f t="shared" si="86"/>
        <v>35000</v>
      </c>
      <c r="BB33" s="90">
        <v>0</v>
      </c>
      <c r="BC33" s="91">
        <f t="shared" si="87"/>
        <v>35000</v>
      </c>
      <c r="BD33" s="90">
        <v>0</v>
      </c>
      <c r="BE33" s="91">
        <f t="shared" si="88"/>
        <v>35000</v>
      </c>
      <c r="BF33" s="90">
        <v>0</v>
      </c>
      <c r="BG33" s="91">
        <f t="shared" si="89"/>
        <v>35000</v>
      </c>
      <c r="BH33" s="90">
        <v>0</v>
      </c>
      <c r="BI33" s="91">
        <f t="shared" si="90"/>
        <v>35000</v>
      </c>
      <c r="BJ33" s="90">
        <v>0</v>
      </c>
      <c r="BK33" s="91">
        <f t="shared" si="91"/>
        <v>35000</v>
      </c>
      <c r="BL33" s="90">
        <v>0</v>
      </c>
      <c r="BM33" s="91">
        <f t="shared" si="92"/>
        <v>35000</v>
      </c>
      <c r="BN33" s="90">
        <v>0</v>
      </c>
      <c r="BO33" s="91">
        <f t="shared" si="93"/>
        <v>35000</v>
      </c>
      <c r="BP33" s="90">
        <v>0</v>
      </c>
      <c r="BQ33" s="91">
        <f t="shared" si="94"/>
        <v>35000</v>
      </c>
      <c r="BR33" s="92">
        <f t="shared" si="95"/>
        <v>1</v>
      </c>
      <c r="BS33" s="94"/>
      <c r="BT33" s="103"/>
      <c r="BU33" s="60"/>
    </row>
    <row r="34" spans="2:73" ht="21.75" customHeight="1" x14ac:dyDescent="0.3">
      <c r="C34" s="58" t="str">
        <f t="shared" si="96"/>
        <v>非人防地下车库</v>
      </c>
      <c r="D34" s="58"/>
      <c r="E34" s="70">
        <v>0</v>
      </c>
      <c r="F34" s="90">
        <v>0</v>
      </c>
      <c r="G34" s="115">
        <f>ROUND(6000*C46,0)</f>
        <v>6000</v>
      </c>
      <c r="H34" s="90">
        <v>0</v>
      </c>
      <c r="I34" s="91">
        <f t="shared" si="64"/>
        <v>6000</v>
      </c>
      <c r="J34" s="90">
        <v>0</v>
      </c>
      <c r="K34" s="91">
        <f t="shared" si="65"/>
        <v>6000</v>
      </c>
      <c r="L34" s="90">
        <v>0</v>
      </c>
      <c r="M34" s="91">
        <f t="shared" si="66"/>
        <v>6000</v>
      </c>
      <c r="N34" s="90">
        <v>0</v>
      </c>
      <c r="O34" s="91">
        <f t="shared" si="67"/>
        <v>6000</v>
      </c>
      <c r="P34" s="90">
        <v>0</v>
      </c>
      <c r="Q34" s="91">
        <f t="shared" si="68"/>
        <v>6000</v>
      </c>
      <c r="R34" s="90">
        <v>0</v>
      </c>
      <c r="S34" s="91">
        <f t="shared" si="69"/>
        <v>6000</v>
      </c>
      <c r="T34" s="90">
        <v>0</v>
      </c>
      <c r="U34" s="91">
        <f t="shared" si="70"/>
        <v>6000</v>
      </c>
      <c r="V34" s="90">
        <v>0</v>
      </c>
      <c r="W34" s="91">
        <f t="shared" si="71"/>
        <v>6000</v>
      </c>
      <c r="X34" s="90">
        <v>0</v>
      </c>
      <c r="Y34" s="91">
        <f t="shared" si="72"/>
        <v>6000</v>
      </c>
      <c r="Z34" s="90">
        <v>0</v>
      </c>
      <c r="AA34" s="91">
        <f t="shared" si="73"/>
        <v>6000</v>
      </c>
      <c r="AB34" s="90">
        <v>0</v>
      </c>
      <c r="AC34" s="91">
        <f t="shared" si="74"/>
        <v>6000</v>
      </c>
      <c r="AD34" s="90">
        <v>0.5</v>
      </c>
      <c r="AE34" s="91">
        <f t="shared" si="75"/>
        <v>6000</v>
      </c>
      <c r="AF34" s="90">
        <v>0.3</v>
      </c>
      <c r="AG34" s="91">
        <f t="shared" si="76"/>
        <v>6000</v>
      </c>
      <c r="AH34" s="90">
        <v>0.15</v>
      </c>
      <c r="AI34" s="91">
        <f t="shared" si="77"/>
        <v>6000</v>
      </c>
      <c r="AJ34" s="90">
        <v>0.05</v>
      </c>
      <c r="AK34" s="91">
        <f t="shared" si="78"/>
        <v>6000</v>
      </c>
      <c r="AL34" s="90">
        <v>0</v>
      </c>
      <c r="AM34" s="91">
        <f t="shared" si="79"/>
        <v>6000</v>
      </c>
      <c r="AN34" s="90">
        <v>0</v>
      </c>
      <c r="AO34" s="91">
        <f t="shared" si="80"/>
        <v>6000</v>
      </c>
      <c r="AP34" s="90">
        <v>0</v>
      </c>
      <c r="AQ34" s="91">
        <f t="shared" si="81"/>
        <v>6000</v>
      </c>
      <c r="AR34" s="90">
        <v>0</v>
      </c>
      <c r="AS34" s="91">
        <f t="shared" si="82"/>
        <v>6000</v>
      </c>
      <c r="AT34" s="90">
        <v>0</v>
      </c>
      <c r="AU34" s="91">
        <f t="shared" si="83"/>
        <v>6000</v>
      </c>
      <c r="AV34" s="90">
        <v>0</v>
      </c>
      <c r="AW34" s="91">
        <f t="shared" si="84"/>
        <v>6000</v>
      </c>
      <c r="AX34" s="90">
        <v>0</v>
      </c>
      <c r="AY34" s="91">
        <f t="shared" si="85"/>
        <v>6000</v>
      </c>
      <c r="AZ34" s="90">
        <v>0</v>
      </c>
      <c r="BA34" s="91">
        <f t="shared" si="86"/>
        <v>6000</v>
      </c>
      <c r="BB34" s="90">
        <v>0</v>
      </c>
      <c r="BC34" s="91">
        <f t="shared" si="87"/>
        <v>6000</v>
      </c>
      <c r="BD34" s="90">
        <v>0</v>
      </c>
      <c r="BE34" s="91">
        <f t="shared" si="88"/>
        <v>6000</v>
      </c>
      <c r="BF34" s="90">
        <v>0</v>
      </c>
      <c r="BG34" s="91">
        <f t="shared" si="89"/>
        <v>6000</v>
      </c>
      <c r="BH34" s="90">
        <v>0</v>
      </c>
      <c r="BI34" s="91">
        <f t="shared" si="90"/>
        <v>6000</v>
      </c>
      <c r="BJ34" s="90">
        <v>0</v>
      </c>
      <c r="BK34" s="91">
        <f t="shared" si="91"/>
        <v>6000</v>
      </c>
      <c r="BL34" s="90">
        <v>0</v>
      </c>
      <c r="BM34" s="91">
        <f t="shared" si="92"/>
        <v>6000</v>
      </c>
      <c r="BN34" s="90">
        <v>0</v>
      </c>
      <c r="BO34" s="91">
        <f t="shared" si="93"/>
        <v>6000</v>
      </c>
      <c r="BP34" s="90">
        <v>0</v>
      </c>
      <c r="BQ34" s="91">
        <f t="shared" si="94"/>
        <v>6000</v>
      </c>
      <c r="BR34" s="92">
        <f t="shared" si="95"/>
        <v>1</v>
      </c>
      <c r="BS34" s="94"/>
      <c r="BT34" s="104"/>
    </row>
    <row r="35" spans="2:73" ht="21.75" customHeight="1" x14ac:dyDescent="0.3">
      <c r="C35" s="58">
        <f t="shared" si="96"/>
        <v>0</v>
      </c>
      <c r="D35" s="58"/>
      <c r="E35" s="70">
        <v>0</v>
      </c>
      <c r="F35" s="90">
        <v>0</v>
      </c>
      <c r="G35" s="115">
        <f>ROUND(130000*C46,0)</f>
        <v>130000</v>
      </c>
      <c r="H35" s="90">
        <v>0</v>
      </c>
      <c r="I35" s="91">
        <f>ROUND(G35*(1+$E35),0)</f>
        <v>130000</v>
      </c>
      <c r="J35" s="90">
        <v>0</v>
      </c>
      <c r="K35" s="91">
        <f>ROUND(I35*(1+$E35),0)</f>
        <v>130000</v>
      </c>
      <c r="L35" s="90">
        <v>0</v>
      </c>
      <c r="M35" s="91">
        <f>ROUND(K35*(1+$E35),0)</f>
        <v>130000</v>
      </c>
      <c r="N35" s="90">
        <v>0</v>
      </c>
      <c r="O35" s="91">
        <f t="shared" si="67"/>
        <v>130000</v>
      </c>
      <c r="P35" s="90">
        <v>0</v>
      </c>
      <c r="Q35" s="91">
        <f t="shared" si="68"/>
        <v>130000</v>
      </c>
      <c r="R35" s="90">
        <v>0</v>
      </c>
      <c r="S35" s="91">
        <f t="shared" si="69"/>
        <v>130000</v>
      </c>
      <c r="T35" s="90">
        <v>0</v>
      </c>
      <c r="U35" s="91">
        <f t="shared" si="70"/>
        <v>130000</v>
      </c>
      <c r="V35" s="90">
        <v>0</v>
      </c>
      <c r="W35" s="91">
        <f>ROUND(U35*(1+$E35),0)</f>
        <v>130000</v>
      </c>
      <c r="X35" s="90">
        <v>0</v>
      </c>
      <c r="Y35" s="91">
        <f t="shared" si="72"/>
        <v>130000</v>
      </c>
      <c r="Z35" s="90">
        <v>0</v>
      </c>
      <c r="AA35" s="91">
        <f t="shared" si="73"/>
        <v>130000</v>
      </c>
      <c r="AB35" s="90">
        <v>0</v>
      </c>
      <c r="AC35" s="91">
        <f t="shared" si="74"/>
        <v>130000</v>
      </c>
      <c r="AD35" s="90">
        <v>0.6</v>
      </c>
      <c r="AE35" s="91">
        <f t="shared" si="75"/>
        <v>130000</v>
      </c>
      <c r="AF35" s="90">
        <v>0.2</v>
      </c>
      <c r="AG35" s="91">
        <f t="shared" si="76"/>
        <v>130000</v>
      </c>
      <c r="AH35" s="90">
        <v>0.14000000000000001</v>
      </c>
      <c r="AI35" s="91">
        <f t="shared" si="77"/>
        <v>130000</v>
      </c>
      <c r="AJ35" s="90">
        <v>0.06</v>
      </c>
      <c r="AK35" s="91">
        <f t="shared" si="78"/>
        <v>130000</v>
      </c>
      <c r="AL35" s="90">
        <v>0</v>
      </c>
      <c r="AM35" s="91">
        <f t="shared" si="79"/>
        <v>130000</v>
      </c>
      <c r="AN35" s="90">
        <v>0</v>
      </c>
      <c r="AO35" s="91">
        <f t="shared" si="80"/>
        <v>130000</v>
      </c>
      <c r="AP35" s="90">
        <v>0</v>
      </c>
      <c r="AQ35" s="91">
        <f t="shared" si="81"/>
        <v>130000</v>
      </c>
      <c r="AR35" s="90">
        <v>0</v>
      </c>
      <c r="AS35" s="91">
        <f t="shared" si="82"/>
        <v>130000</v>
      </c>
      <c r="AT35" s="90">
        <v>0</v>
      </c>
      <c r="AU35" s="91">
        <f t="shared" si="83"/>
        <v>130000</v>
      </c>
      <c r="AV35" s="90">
        <v>0</v>
      </c>
      <c r="AW35" s="91">
        <f t="shared" si="84"/>
        <v>130000</v>
      </c>
      <c r="AX35" s="90">
        <v>0</v>
      </c>
      <c r="AY35" s="91">
        <f t="shared" si="85"/>
        <v>130000</v>
      </c>
      <c r="AZ35" s="90">
        <v>0</v>
      </c>
      <c r="BA35" s="91">
        <f t="shared" si="86"/>
        <v>130000</v>
      </c>
      <c r="BB35" s="90">
        <v>0</v>
      </c>
      <c r="BC35" s="91">
        <f t="shared" si="87"/>
        <v>130000</v>
      </c>
      <c r="BD35" s="90">
        <v>0</v>
      </c>
      <c r="BE35" s="91">
        <f t="shared" si="88"/>
        <v>130000</v>
      </c>
      <c r="BF35" s="90">
        <v>0</v>
      </c>
      <c r="BG35" s="91">
        <f t="shared" si="89"/>
        <v>130000</v>
      </c>
      <c r="BH35" s="90">
        <v>0</v>
      </c>
      <c r="BI35" s="91">
        <f t="shared" si="90"/>
        <v>130000</v>
      </c>
      <c r="BJ35" s="90">
        <v>0</v>
      </c>
      <c r="BK35" s="91">
        <f t="shared" si="91"/>
        <v>130000</v>
      </c>
      <c r="BL35" s="90">
        <v>0</v>
      </c>
      <c r="BM35" s="91">
        <f t="shared" si="92"/>
        <v>130000</v>
      </c>
      <c r="BN35" s="90">
        <v>0</v>
      </c>
      <c r="BO35" s="91">
        <f t="shared" si="93"/>
        <v>130000</v>
      </c>
      <c r="BP35" s="90">
        <v>0</v>
      </c>
      <c r="BQ35" s="91">
        <f t="shared" si="94"/>
        <v>130000</v>
      </c>
      <c r="BR35" s="92">
        <f t="shared" si="95"/>
        <v>1</v>
      </c>
      <c r="BS35" s="94"/>
      <c r="BT35" s="104"/>
    </row>
    <row r="36" spans="2:73" ht="21.75" customHeight="1" x14ac:dyDescent="0.3">
      <c r="C36" s="58">
        <f t="shared" si="96"/>
        <v>0</v>
      </c>
      <c r="D36" s="58"/>
      <c r="E36" s="70">
        <v>0</v>
      </c>
      <c r="F36" s="90">
        <v>0</v>
      </c>
      <c r="G36" s="115"/>
      <c r="H36" s="90">
        <v>0</v>
      </c>
      <c r="I36" s="91">
        <f t="shared" si="64"/>
        <v>0</v>
      </c>
      <c r="J36" s="90">
        <v>0</v>
      </c>
      <c r="K36" s="91">
        <f t="shared" si="65"/>
        <v>0</v>
      </c>
      <c r="L36" s="90">
        <v>0</v>
      </c>
      <c r="M36" s="91">
        <f t="shared" si="66"/>
        <v>0</v>
      </c>
      <c r="N36" s="90">
        <v>0</v>
      </c>
      <c r="O36" s="91">
        <f t="shared" si="67"/>
        <v>0</v>
      </c>
      <c r="P36" s="90">
        <v>0</v>
      </c>
      <c r="Q36" s="91">
        <f t="shared" si="68"/>
        <v>0</v>
      </c>
      <c r="R36" s="90">
        <v>0</v>
      </c>
      <c r="S36" s="91">
        <f t="shared" si="69"/>
        <v>0</v>
      </c>
      <c r="T36" s="90">
        <v>0</v>
      </c>
      <c r="U36" s="91">
        <f t="shared" si="70"/>
        <v>0</v>
      </c>
      <c r="V36" s="90">
        <v>0</v>
      </c>
      <c r="W36" s="91">
        <f t="shared" si="71"/>
        <v>0</v>
      </c>
      <c r="X36" s="90">
        <v>0</v>
      </c>
      <c r="Y36" s="91">
        <f t="shared" si="72"/>
        <v>0</v>
      </c>
      <c r="Z36" s="90">
        <v>0</v>
      </c>
      <c r="AA36" s="91">
        <f t="shared" si="73"/>
        <v>0</v>
      </c>
      <c r="AB36" s="90">
        <v>0</v>
      </c>
      <c r="AC36" s="91">
        <f t="shared" si="74"/>
        <v>0</v>
      </c>
      <c r="AD36" s="90">
        <v>0</v>
      </c>
      <c r="AE36" s="91">
        <f t="shared" si="75"/>
        <v>0</v>
      </c>
      <c r="AF36" s="90">
        <v>0</v>
      </c>
      <c r="AG36" s="91">
        <f t="shared" si="76"/>
        <v>0</v>
      </c>
      <c r="AH36" s="90">
        <v>0</v>
      </c>
      <c r="AI36" s="91">
        <f t="shared" si="77"/>
        <v>0</v>
      </c>
      <c r="AJ36" s="90">
        <v>0</v>
      </c>
      <c r="AK36" s="91">
        <f t="shared" si="78"/>
        <v>0</v>
      </c>
      <c r="AL36" s="90">
        <v>0</v>
      </c>
      <c r="AM36" s="91">
        <f t="shared" si="79"/>
        <v>0</v>
      </c>
      <c r="AN36" s="90">
        <v>0</v>
      </c>
      <c r="AO36" s="91">
        <f t="shared" si="80"/>
        <v>0</v>
      </c>
      <c r="AP36" s="90">
        <v>0</v>
      </c>
      <c r="AQ36" s="91">
        <f t="shared" si="81"/>
        <v>0</v>
      </c>
      <c r="AR36" s="90">
        <v>0</v>
      </c>
      <c r="AS36" s="91">
        <f t="shared" si="82"/>
        <v>0</v>
      </c>
      <c r="AT36" s="90">
        <v>0</v>
      </c>
      <c r="AU36" s="91">
        <f t="shared" si="83"/>
        <v>0</v>
      </c>
      <c r="AV36" s="90">
        <v>0</v>
      </c>
      <c r="AW36" s="91">
        <f t="shared" si="84"/>
        <v>0</v>
      </c>
      <c r="AX36" s="90">
        <v>0</v>
      </c>
      <c r="AY36" s="91">
        <f t="shared" si="85"/>
        <v>0</v>
      </c>
      <c r="AZ36" s="90">
        <v>0</v>
      </c>
      <c r="BA36" s="91">
        <f t="shared" si="86"/>
        <v>0</v>
      </c>
      <c r="BB36" s="90">
        <v>0</v>
      </c>
      <c r="BC36" s="91">
        <f t="shared" si="87"/>
        <v>0</v>
      </c>
      <c r="BD36" s="90">
        <v>0</v>
      </c>
      <c r="BE36" s="91">
        <f t="shared" si="88"/>
        <v>0</v>
      </c>
      <c r="BF36" s="90">
        <v>0</v>
      </c>
      <c r="BG36" s="91">
        <f t="shared" si="89"/>
        <v>0</v>
      </c>
      <c r="BH36" s="90">
        <v>0</v>
      </c>
      <c r="BI36" s="91">
        <f t="shared" si="90"/>
        <v>0</v>
      </c>
      <c r="BJ36" s="90">
        <v>0</v>
      </c>
      <c r="BK36" s="91">
        <f t="shared" si="91"/>
        <v>0</v>
      </c>
      <c r="BL36" s="90">
        <v>0</v>
      </c>
      <c r="BM36" s="91">
        <f t="shared" si="92"/>
        <v>0</v>
      </c>
      <c r="BN36" s="90">
        <v>0</v>
      </c>
      <c r="BO36" s="91">
        <f t="shared" si="93"/>
        <v>0</v>
      </c>
      <c r="BP36" s="90">
        <v>0</v>
      </c>
      <c r="BQ36" s="91">
        <f t="shared" si="94"/>
        <v>0</v>
      </c>
      <c r="BR36" s="92">
        <f t="shared" si="95"/>
        <v>0</v>
      </c>
      <c r="BS36" s="94"/>
      <c r="BT36" s="104"/>
    </row>
    <row r="37" spans="2:73" ht="21.75" customHeight="1" x14ac:dyDescent="0.3">
      <c r="C37" s="58">
        <f t="shared" si="96"/>
        <v>0</v>
      </c>
      <c r="D37" s="58"/>
      <c r="E37" s="70"/>
      <c r="F37" s="90">
        <v>0</v>
      </c>
      <c r="G37" s="91"/>
      <c r="H37" s="90">
        <v>0</v>
      </c>
      <c r="I37" s="91">
        <f t="shared" si="64"/>
        <v>0</v>
      </c>
      <c r="J37" s="90">
        <v>0</v>
      </c>
      <c r="K37" s="91">
        <f t="shared" si="65"/>
        <v>0</v>
      </c>
      <c r="L37" s="90">
        <v>0</v>
      </c>
      <c r="M37" s="91">
        <f t="shared" si="66"/>
        <v>0</v>
      </c>
      <c r="N37" s="91"/>
      <c r="O37" s="91"/>
      <c r="P37" s="91"/>
      <c r="Q37" s="91"/>
      <c r="R37" s="91"/>
      <c r="S37" s="91"/>
      <c r="T37" s="91"/>
      <c r="U37" s="91"/>
      <c r="V37" s="91"/>
      <c r="W37" s="91">
        <f t="shared" si="71"/>
        <v>0</v>
      </c>
      <c r="X37" s="91"/>
      <c r="Y37" s="91"/>
      <c r="Z37" s="91"/>
      <c r="AA37" s="91"/>
      <c r="AB37" s="91"/>
      <c r="AC37" s="91"/>
      <c r="AD37" s="91"/>
      <c r="AE37" s="91"/>
      <c r="AF37" s="90">
        <v>0</v>
      </c>
      <c r="AG37" s="91">
        <f>ROUND(M37*(1+$E37),0)</f>
        <v>0</v>
      </c>
      <c r="AH37" s="90"/>
      <c r="AI37" s="94"/>
      <c r="AJ37" s="90"/>
      <c r="AK37" s="94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  <c r="BR37" s="92">
        <f>F37+H37+J37+L37+AF37+AH37+AJ37</f>
        <v>0</v>
      </c>
      <c r="BS37" s="58"/>
      <c r="BT37" s="104"/>
    </row>
    <row r="38" spans="2:73" ht="21.75" hidden="1" customHeight="1" x14ac:dyDescent="0.3">
      <c r="C38" s="58" t="str">
        <f t="shared" si="96"/>
        <v>增值税</v>
      </c>
      <c r="D38" s="58"/>
      <c r="E38" s="70"/>
      <c r="F38" s="71">
        <v>0</v>
      </c>
      <c r="G38" s="72"/>
      <c r="H38" s="71">
        <v>0</v>
      </c>
      <c r="I38" s="72">
        <f t="shared" si="64"/>
        <v>0</v>
      </c>
      <c r="J38" s="71">
        <v>0</v>
      </c>
      <c r="K38" s="72">
        <f t="shared" si="65"/>
        <v>0</v>
      </c>
      <c r="L38" s="71">
        <v>0</v>
      </c>
      <c r="M38" s="72">
        <f t="shared" si="66"/>
        <v>0</v>
      </c>
      <c r="N38" s="72"/>
      <c r="O38" s="72"/>
      <c r="P38" s="72"/>
      <c r="Q38" s="72"/>
      <c r="R38" s="72"/>
      <c r="S38" s="72"/>
      <c r="T38" s="72"/>
      <c r="U38" s="72"/>
      <c r="V38" s="72"/>
      <c r="W38" s="72">
        <f t="shared" si="71"/>
        <v>0</v>
      </c>
      <c r="X38" s="72"/>
      <c r="Y38" s="72"/>
      <c r="Z38" s="72"/>
      <c r="AA38" s="72"/>
      <c r="AB38" s="72"/>
      <c r="AC38" s="72"/>
      <c r="AD38" s="72"/>
      <c r="AE38" s="72"/>
      <c r="AF38" s="71">
        <v>0</v>
      </c>
      <c r="AG38" s="72">
        <f>ROUND(M38*(1+$E38),0)</f>
        <v>0</v>
      </c>
      <c r="AH38" s="71"/>
      <c r="AI38" s="58"/>
      <c r="AJ38" s="71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8"/>
      <c r="BQ38" s="58"/>
      <c r="BR38" s="73">
        <f>F38+H38+J38+L38+AF38+AH38+AJ38</f>
        <v>0</v>
      </c>
      <c r="BS38" s="58"/>
      <c r="BT38" s="104"/>
    </row>
    <row r="39" spans="2:73" ht="21.75" hidden="1" customHeight="1" x14ac:dyDescent="0.3">
      <c r="C39" s="58" t="str">
        <f t="shared" si="96"/>
        <v xml:space="preserve">   教育费附加</v>
      </c>
      <c r="D39" s="58"/>
      <c r="E39" s="70"/>
      <c r="F39" s="71">
        <v>0</v>
      </c>
      <c r="G39" s="72"/>
      <c r="H39" s="71">
        <v>0</v>
      </c>
      <c r="I39" s="72">
        <f t="shared" si="64"/>
        <v>0</v>
      </c>
      <c r="J39" s="71">
        <v>0</v>
      </c>
      <c r="K39" s="72">
        <f t="shared" si="65"/>
        <v>0</v>
      </c>
      <c r="L39" s="71">
        <v>0</v>
      </c>
      <c r="M39" s="72">
        <f t="shared" si="66"/>
        <v>0</v>
      </c>
      <c r="N39" s="72"/>
      <c r="O39" s="72"/>
      <c r="P39" s="72"/>
      <c r="Q39" s="72"/>
      <c r="R39" s="72"/>
      <c r="S39" s="72"/>
      <c r="T39" s="72"/>
      <c r="U39" s="72"/>
      <c r="V39" s="72"/>
      <c r="W39" s="72">
        <f t="shared" si="71"/>
        <v>0</v>
      </c>
      <c r="X39" s="72"/>
      <c r="Y39" s="72"/>
      <c r="Z39" s="72"/>
      <c r="AA39" s="72"/>
      <c r="AB39" s="72"/>
      <c r="AC39" s="72"/>
      <c r="AD39" s="72"/>
      <c r="AE39" s="72"/>
      <c r="AF39" s="71">
        <v>0</v>
      </c>
      <c r="AG39" s="72">
        <f>ROUND(M39*(1+$E39),0)</f>
        <v>0</v>
      </c>
      <c r="AH39" s="71"/>
      <c r="AI39" s="58"/>
      <c r="AJ39" s="71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58"/>
      <c r="BP39" s="58"/>
      <c r="BQ39" s="58"/>
      <c r="BR39" s="73">
        <f>F39+H39+J39+L39+AF39+AH39+AJ39</f>
        <v>0</v>
      </c>
      <c r="BS39" s="58"/>
      <c r="BT39" s="104"/>
    </row>
    <row r="40" spans="2:73" ht="21.75" hidden="1" customHeight="1" x14ac:dyDescent="0.3">
      <c r="C40" s="58" t="str">
        <f t="shared" si="96"/>
        <v xml:space="preserve">   地方教育费附加</v>
      </c>
      <c r="D40" s="58"/>
      <c r="E40" s="70"/>
      <c r="F40" s="71">
        <v>0</v>
      </c>
      <c r="G40" s="72"/>
      <c r="H40" s="71">
        <v>0</v>
      </c>
      <c r="I40" s="72">
        <f t="shared" si="64"/>
        <v>0</v>
      </c>
      <c r="J40" s="71">
        <v>0</v>
      </c>
      <c r="K40" s="72">
        <f t="shared" si="65"/>
        <v>0</v>
      </c>
      <c r="L40" s="71">
        <v>0</v>
      </c>
      <c r="M40" s="72">
        <f t="shared" si="66"/>
        <v>0</v>
      </c>
      <c r="N40" s="72"/>
      <c r="O40" s="72"/>
      <c r="P40" s="72"/>
      <c r="Q40" s="72"/>
      <c r="R40" s="72"/>
      <c r="S40" s="72"/>
      <c r="T40" s="72"/>
      <c r="U40" s="72"/>
      <c r="V40" s="72"/>
      <c r="W40" s="72">
        <f t="shared" si="71"/>
        <v>0</v>
      </c>
      <c r="X40" s="72"/>
      <c r="Y40" s="72"/>
      <c r="Z40" s="72"/>
      <c r="AA40" s="72"/>
      <c r="AB40" s="72"/>
      <c r="AC40" s="72"/>
      <c r="AD40" s="72"/>
      <c r="AE40" s="72"/>
      <c r="AF40" s="71">
        <v>0</v>
      </c>
      <c r="AG40" s="72">
        <f>ROUND(M40*(1+$E40),0)</f>
        <v>0</v>
      </c>
      <c r="AH40" s="71"/>
      <c r="AI40" s="58"/>
      <c r="AJ40" s="71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/>
      <c r="BE40" s="58"/>
      <c r="BF40" s="58"/>
      <c r="BG40" s="58"/>
      <c r="BH40" s="58"/>
      <c r="BI40" s="58"/>
      <c r="BJ40" s="58"/>
      <c r="BK40" s="58"/>
      <c r="BL40" s="58"/>
      <c r="BM40" s="58"/>
      <c r="BN40" s="58"/>
      <c r="BO40" s="58"/>
      <c r="BP40" s="58"/>
      <c r="BQ40" s="58"/>
      <c r="BR40" s="73">
        <f>F40+H40+J40+L40+AF40+AH40+AJ40</f>
        <v>0</v>
      </c>
      <c r="BS40" s="58"/>
      <c r="BT40" s="104"/>
    </row>
    <row r="41" spans="2:73" ht="21.75" hidden="1" customHeight="1" x14ac:dyDescent="0.3">
      <c r="C41" s="58" t="str">
        <f t="shared" si="96"/>
        <v xml:space="preserve">   城市维护建设税</v>
      </c>
      <c r="D41" s="58"/>
      <c r="E41" s="70"/>
      <c r="F41" s="71">
        <v>0</v>
      </c>
      <c r="G41" s="74"/>
      <c r="H41" s="71">
        <v>0</v>
      </c>
      <c r="I41" s="72">
        <f t="shared" si="64"/>
        <v>0</v>
      </c>
      <c r="J41" s="71">
        <v>0</v>
      </c>
      <c r="K41" s="72">
        <f t="shared" si="65"/>
        <v>0</v>
      </c>
      <c r="L41" s="71">
        <v>0</v>
      </c>
      <c r="M41" s="72">
        <f t="shared" si="66"/>
        <v>0</v>
      </c>
      <c r="N41" s="72"/>
      <c r="O41" s="72"/>
      <c r="P41" s="72"/>
      <c r="Q41" s="72"/>
      <c r="R41" s="72"/>
      <c r="S41" s="72"/>
      <c r="T41" s="72"/>
      <c r="U41" s="72"/>
      <c r="V41" s="72"/>
      <c r="W41" s="72">
        <f t="shared" si="71"/>
        <v>0</v>
      </c>
      <c r="X41" s="72"/>
      <c r="Y41" s="72"/>
      <c r="Z41" s="72"/>
      <c r="AA41" s="72"/>
      <c r="AB41" s="72"/>
      <c r="AC41" s="72"/>
      <c r="AD41" s="72"/>
      <c r="AE41" s="72"/>
      <c r="AF41" s="71">
        <v>0</v>
      </c>
      <c r="AG41" s="72">
        <f>ROUND(M41*(1+$E41),0)</f>
        <v>0</v>
      </c>
      <c r="AH41" s="71"/>
      <c r="AI41" s="58"/>
      <c r="AJ41" s="71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8"/>
      <c r="BM41" s="58"/>
      <c r="BN41" s="58"/>
      <c r="BO41" s="58"/>
      <c r="BP41" s="58"/>
      <c r="BQ41" s="58"/>
      <c r="BR41" s="73">
        <f>F41+H41+J41+L41+AF41+AH41+AJ41</f>
        <v>0</v>
      </c>
      <c r="BS41" s="58"/>
      <c r="BT41" s="104"/>
    </row>
    <row r="42" spans="2:73" s="75" customFormat="1" ht="21.75" hidden="1" customHeight="1" x14ac:dyDescent="0.3">
      <c r="C42" s="116" t="s">
        <v>262</v>
      </c>
      <c r="D42" s="117">
        <f>SUM(J42:V42)</f>
        <v>1</v>
      </c>
      <c r="E42" s="76"/>
      <c r="F42" s="77"/>
      <c r="G42" s="77"/>
      <c r="H42" s="77"/>
      <c r="I42" s="77"/>
      <c r="J42" s="77">
        <f>J31</f>
        <v>0</v>
      </c>
      <c r="K42" s="77"/>
      <c r="L42" s="77">
        <f t="shared" ref="L42:BP42" si="97">L31</f>
        <v>0</v>
      </c>
      <c r="M42" s="77"/>
      <c r="N42" s="77">
        <f t="shared" si="97"/>
        <v>0.2</v>
      </c>
      <c r="O42" s="77"/>
      <c r="P42" s="77">
        <f t="shared" si="97"/>
        <v>0.25</v>
      </c>
      <c r="Q42" s="77"/>
      <c r="R42" s="77">
        <f t="shared" si="97"/>
        <v>0.15</v>
      </c>
      <c r="S42" s="77"/>
      <c r="T42" s="77">
        <f t="shared" si="97"/>
        <v>0.24</v>
      </c>
      <c r="U42" s="77"/>
      <c r="V42" s="77">
        <f t="shared" si="97"/>
        <v>0.16</v>
      </c>
      <c r="W42" s="77"/>
      <c r="X42" s="77">
        <f t="shared" si="97"/>
        <v>0</v>
      </c>
      <c r="Y42" s="77"/>
      <c r="Z42" s="77">
        <f t="shared" si="97"/>
        <v>0</v>
      </c>
      <c r="AA42" s="77"/>
      <c r="AB42" s="77">
        <f t="shared" si="97"/>
        <v>0</v>
      </c>
      <c r="AC42" s="77"/>
      <c r="AD42" s="77">
        <f t="shared" si="97"/>
        <v>0</v>
      </c>
      <c r="AE42" s="77"/>
      <c r="AF42" s="77">
        <f t="shared" si="97"/>
        <v>0</v>
      </c>
      <c r="AG42" s="77"/>
      <c r="AH42" s="77">
        <f t="shared" si="97"/>
        <v>0</v>
      </c>
      <c r="AI42" s="77"/>
      <c r="AJ42" s="77">
        <f t="shared" si="97"/>
        <v>0</v>
      </c>
      <c r="AK42" s="77"/>
      <c r="AL42" s="77">
        <f t="shared" si="97"/>
        <v>0</v>
      </c>
      <c r="AM42" s="77"/>
      <c r="AN42" s="77">
        <f t="shared" si="97"/>
        <v>0</v>
      </c>
      <c r="AO42" s="77"/>
      <c r="AP42" s="77">
        <f t="shared" si="97"/>
        <v>0</v>
      </c>
      <c r="AQ42" s="77"/>
      <c r="AR42" s="77">
        <f t="shared" si="97"/>
        <v>0</v>
      </c>
      <c r="AS42" s="77"/>
      <c r="AT42" s="77">
        <f t="shared" si="97"/>
        <v>0</v>
      </c>
      <c r="AU42" s="77"/>
      <c r="AV42" s="77">
        <f t="shared" si="97"/>
        <v>0</v>
      </c>
      <c r="AW42" s="77"/>
      <c r="AX42" s="77">
        <f t="shared" si="97"/>
        <v>0</v>
      </c>
      <c r="AY42" s="77"/>
      <c r="AZ42" s="77">
        <f t="shared" si="97"/>
        <v>0</v>
      </c>
      <c r="BA42" s="77"/>
      <c r="BB42" s="77">
        <f t="shared" si="97"/>
        <v>0</v>
      </c>
      <c r="BC42" s="77"/>
      <c r="BD42" s="77">
        <f t="shared" si="97"/>
        <v>0</v>
      </c>
      <c r="BE42" s="77"/>
      <c r="BF42" s="77">
        <f t="shared" si="97"/>
        <v>0</v>
      </c>
      <c r="BG42" s="77"/>
      <c r="BH42" s="77">
        <f t="shared" si="97"/>
        <v>0</v>
      </c>
      <c r="BI42" s="77"/>
      <c r="BJ42" s="77">
        <f t="shared" si="97"/>
        <v>0</v>
      </c>
      <c r="BK42" s="77"/>
      <c r="BL42" s="77">
        <f t="shared" si="97"/>
        <v>0</v>
      </c>
      <c r="BM42" s="77"/>
      <c r="BN42" s="77">
        <f t="shared" si="97"/>
        <v>0</v>
      </c>
      <c r="BO42" s="77"/>
      <c r="BP42" s="77">
        <f t="shared" si="97"/>
        <v>0</v>
      </c>
      <c r="BQ42" s="77"/>
      <c r="BR42" s="78"/>
      <c r="BS42" s="79"/>
      <c r="BT42" s="105"/>
    </row>
    <row r="43" spans="2:73" hidden="1" x14ac:dyDescent="0.3">
      <c r="C43" s="66"/>
    </row>
    <row r="44" spans="2:73" hidden="1" x14ac:dyDescent="0.3"/>
    <row r="45" spans="2:73" hidden="1" x14ac:dyDescent="0.3">
      <c r="B45" s="80"/>
      <c r="C45" s="80"/>
    </row>
    <row r="46" spans="2:73" x14ac:dyDescent="0.3">
      <c r="B46" s="54" t="s">
        <v>250</v>
      </c>
      <c r="C46" s="54">
        <v>1</v>
      </c>
    </row>
    <row r="47" spans="2:73" x14ac:dyDescent="0.3">
      <c r="B47" s="81"/>
    </row>
    <row r="48" spans="2:73" x14ac:dyDescent="0.3">
      <c r="C48" s="8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</row>
  </sheetData>
  <customSheetViews>
    <customSheetView guid="{62777320-11E7-11D4-8B3D-00E098726125}" scale="75" showRuler="0" topLeftCell="K10">
      <selection activeCell="T22" sqref="T22"/>
      <pageMargins left="0.74803149606299213" right="0.74803149606299213" top="0.98425196850393704" bottom="0.98425196850393704" header="0.51181102362204722" footer="0.51181102362204722"/>
      <printOptions horizontalCentered="1" verticalCentered="1"/>
      <pageSetup paperSize="9" scale="80" orientation="landscape"/>
      <headerFooter alignWithMargins="0"/>
    </customSheetView>
    <customSheetView guid="{33FE80C0-0EDF-11D4-8B3D-001060002050}" scale="75" showPageBreaks="1" showRuler="0" topLeftCell="K10">
      <selection activeCell="T22" sqref="T22"/>
      <pageMargins left="0.74803149606299213" right="0.74803149606299213" top="0.98425196850393704" bottom="0.98425196850393704" header="0.51181102362204722" footer="0.51181102362204722"/>
      <printOptions horizontalCentered="1" verticalCentered="1"/>
      <pageSetup paperSize="9" scale="80" orientation="landscape"/>
      <headerFooter alignWithMargins="0"/>
    </customSheetView>
  </customSheetViews>
  <mergeCells count="51">
    <mergeCell ref="BT3:BT5"/>
    <mergeCell ref="BR3:BS3"/>
    <mergeCell ref="AH4:AI4"/>
    <mergeCell ref="AJ4:AK4"/>
    <mergeCell ref="AT3:BA3"/>
    <mergeCell ref="AL3:AS3"/>
    <mergeCell ref="BL4:BM4"/>
    <mergeCell ref="BN4:BO4"/>
    <mergeCell ref="AL4:AM4"/>
    <mergeCell ref="AN4:AO4"/>
    <mergeCell ref="AZ4:BA4"/>
    <mergeCell ref="BB3:BI3"/>
    <mergeCell ref="BJ3:BQ3"/>
    <mergeCell ref="BB4:BC4"/>
    <mergeCell ref="BD4:BE4"/>
    <mergeCell ref="BF4:BG4"/>
    <mergeCell ref="B18:C18"/>
    <mergeCell ref="X4:Y4"/>
    <mergeCell ref="L4:M4"/>
    <mergeCell ref="B3:C5"/>
    <mergeCell ref="F4:G4"/>
    <mergeCell ref="N4:O4"/>
    <mergeCell ref="V4:W4"/>
    <mergeCell ref="V3:AC3"/>
    <mergeCell ref="H4:I4"/>
    <mergeCell ref="AB4:AC4"/>
    <mergeCell ref="R4:S4"/>
    <mergeCell ref="P4:Q4"/>
    <mergeCell ref="T4:U4"/>
    <mergeCell ref="J4:K4"/>
    <mergeCell ref="AT4:AU4"/>
    <mergeCell ref="AF4:AG4"/>
    <mergeCell ref="AD4:AE4"/>
    <mergeCell ref="B6:C6"/>
    <mergeCell ref="B13:C13"/>
    <mergeCell ref="BH4:BI4"/>
    <mergeCell ref="BJ4:BK4"/>
    <mergeCell ref="BP4:BQ4"/>
    <mergeCell ref="A1:BS1"/>
    <mergeCell ref="D3:D5"/>
    <mergeCell ref="E3:E5"/>
    <mergeCell ref="A3:A5"/>
    <mergeCell ref="D2:I2"/>
    <mergeCell ref="N3:U3"/>
    <mergeCell ref="Z4:AA4"/>
    <mergeCell ref="AV4:AW4"/>
    <mergeCell ref="AX4:AY4"/>
    <mergeCell ref="F3:M3"/>
    <mergeCell ref="AD3:AK3"/>
    <mergeCell ref="AP4:AQ4"/>
    <mergeCell ref="AR4:AS4"/>
  </mergeCells>
  <phoneticPr fontId="2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57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3"/>
    <outlinePr summaryBelow="0" summaryRight="0"/>
  </sheetPr>
  <dimension ref="A1:AT167"/>
  <sheetViews>
    <sheetView tabSelected="1" view="pageBreakPreview" zoomScale="85" zoomScaleNormal="100" zoomScaleSheetLayoutView="85" workbookViewId="0">
      <pane xSplit="3" ySplit="4" topLeftCell="P114" activePane="bottomRight" state="frozen"/>
      <selection activeCell="B26" sqref="B26"/>
      <selection pane="topRight" activeCell="B26" sqref="B26"/>
      <selection pane="bottomLeft" activeCell="B26" sqref="B26"/>
      <selection pane="bottomRight" activeCell="C128" sqref="C128:C132"/>
    </sheetView>
  </sheetViews>
  <sheetFormatPr defaultColWidth="11" defaultRowHeight="18" customHeight="1" outlineLevelRow="2" x14ac:dyDescent="0.15"/>
  <cols>
    <col min="1" max="1" width="7.375" style="160" customWidth="1"/>
    <col min="2" max="2" width="18.5" style="159" customWidth="1"/>
    <col min="3" max="3" width="14.125" style="159" customWidth="1"/>
    <col min="4" max="4" width="13.625" style="162" customWidth="1" collapsed="1"/>
    <col min="5" max="7" width="13.625" style="162" customWidth="1"/>
    <col min="8" max="8" width="13.625" style="162" customWidth="1" collapsed="1"/>
    <col min="9" max="11" width="13.625" style="162" customWidth="1"/>
    <col min="12" max="12" width="13.625" style="162" customWidth="1" collapsed="1"/>
    <col min="13" max="15" width="13.625" style="162" customWidth="1"/>
    <col min="16" max="16" width="13.625" style="162" customWidth="1" collapsed="1"/>
    <col min="17" max="19" width="13.625" style="162" customWidth="1"/>
    <col min="20" max="20" width="13.625" style="162" customWidth="1" collapsed="1"/>
    <col min="21" max="23" width="13.625" style="162" customWidth="1"/>
    <col min="24" max="24" width="13.625" style="162" customWidth="1" collapsed="1"/>
    <col min="25" max="27" width="13.625" style="162" customWidth="1"/>
    <col min="28" max="28" width="13.625" style="162" customWidth="1" collapsed="1"/>
    <col min="29" max="31" width="13.625" style="162" customWidth="1"/>
    <col min="32" max="32" width="13.625" style="162" customWidth="1" collapsed="1"/>
    <col min="33" max="35" width="13.625" style="162" customWidth="1"/>
    <col min="36" max="36" width="13.625" style="162" customWidth="1" collapsed="1"/>
    <col min="37" max="39" width="13.625" style="162" customWidth="1"/>
    <col min="40" max="40" width="13.625" style="162" customWidth="1" collapsed="1"/>
    <col min="41" max="43" width="13.625" style="162" customWidth="1"/>
    <col min="44" max="44" width="11" style="159" customWidth="1"/>
    <col min="45" max="45" width="14" style="159" bestFit="1" customWidth="1"/>
    <col min="46" max="46" width="11" style="159" customWidth="1"/>
    <col min="47" max="16384" width="11" style="159"/>
  </cols>
  <sheetData>
    <row r="1" spans="1:46" s="158" customFormat="1" ht="18" customHeight="1" x14ac:dyDescent="0.15">
      <c r="A1" s="238" t="s">
        <v>84</v>
      </c>
      <c r="B1" s="238"/>
      <c r="C1" s="238"/>
      <c r="D1" s="240" t="s">
        <v>457</v>
      </c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  <c r="Y1" s="238"/>
      <c r="Z1" s="238"/>
      <c r="AA1" s="238"/>
      <c r="AB1" s="238"/>
      <c r="AC1" s="238"/>
      <c r="AD1" s="238"/>
      <c r="AE1" s="238"/>
      <c r="AF1" s="238"/>
      <c r="AG1" s="238"/>
      <c r="AH1" s="238"/>
      <c r="AI1" s="238"/>
      <c r="AJ1" s="238"/>
      <c r="AK1" s="238"/>
      <c r="AL1" s="238"/>
      <c r="AM1" s="238"/>
      <c r="AN1" s="238"/>
      <c r="AO1" s="238"/>
      <c r="AP1" s="238"/>
      <c r="AQ1" s="238"/>
    </row>
    <row r="2" spans="1:46" s="158" customFormat="1" ht="18" customHeight="1" x14ac:dyDescent="0.15">
      <c r="A2" s="235"/>
      <c r="B2" s="335" t="s">
        <v>8</v>
      </c>
      <c r="C2" s="238"/>
      <c r="D2" s="240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8"/>
      <c r="Y2" s="238"/>
      <c r="Z2" s="238"/>
      <c r="AA2" s="238"/>
      <c r="AB2" s="238"/>
      <c r="AC2" s="238"/>
      <c r="AD2" s="238"/>
      <c r="AE2" s="238"/>
      <c r="AF2" s="238"/>
      <c r="AG2" s="238"/>
      <c r="AH2" s="238"/>
      <c r="AI2" s="238"/>
      <c r="AJ2" s="238"/>
      <c r="AK2" s="238"/>
      <c r="AL2" s="238"/>
      <c r="AM2" s="238"/>
      <c r="AN2" s="238"/>
      <c r="AO2" s="238"/>
      <c r="AP2" s="238"/>
      <c r="AQ2" s="238"/>
    </row>
    <row r="3" spans="1:46" s="158" customFormat="1" ht="18" customHeight="1" x14ac:dyDescent="0.15">
      <c r="A3" s="818" t="s">
        <v>43</v>
      </c>
      <c r="B3" s="819" t="s">
        <v>495</v>
      </c>
      <c r="C3" s="819" t="s">
        <v>93</v>
      </c>
      <c r="D3" s="815" t="str">
        <f>'主表1（成本）'!C3</f>
        <v>2021年</v>
      </c>
      <c r="E3" s="816"/>
      <c r="F3" s="816"/>
      <c r="G3" s="817"/>
      <c r="H3" s="815" t="str">
        <f>'主表1（成本）'!G3</f>
        <v>2022年</v>
      </c>
      <c r="I3" s="816"/>
      <c r="J3" s="816"/>
      <c r="K3" s="817"/>
      <c r="L3" s="815" t="str">
        <f>'主表1（成本）'!K3</f>
        <v>2023年</v>
      </c>
      <c r="M3" s="816"/>
      <c r="N3" s="816"/>
      <c r="O3" s="817"/>
      <c r="P3" s="815" t="str">
        <f>'主表1（成本）'!O3</f>
        <v>2024年</v>
      </c>
      <c r="Q3" s="816"/>
      <c r="R3" s="816"/>
      <c r="S3" s="817"/>
      <c r="T3" s="815" t="str">
        <f>'主表1（成本）'!S3</f>
        <v>2025年</v>
      </c>
      <c r="U3" s="816"/>
      <c r="V3" s="816"/>
      <c r="W3" s="817"/>
      <c r="X3" s="815" t="str">
        <f>'主表1（成本）'!W3</f>
        <v>2026年</v>
      </c>
      <c r="Y3" s="816"/>
      <c r="Z3" s="816"/>
      <c r="AA3" s="817"/>
      <c r="AB3" s="815" t="str">
        <f>'主表1（成本）'!AA3</f>
        <v>2027年</v>
      </c>
      <c r="AC3" s="816"/>
      <c r="AD3" s="816"/>
      <c r="AE3" s="817"/>
      <c r="AF3" s="815" t="str">
        <f>'主表1（成本）'!AE3</f>
        <v>2028年</v>
      </c>
      <c r="AG3" s="816"/>
      <c r="AH3" s="816"/>
      <c r="AI3" s="817"/>
      <c r="AJ3" s="815" t="str">
        <f>'主表1（成本）'!AI3</f>
        <v>2029年</v>
      </c>
      <c r="AK3" s="816"/>
      <c r="AL3" s="816"/>
      <c r="AM3" s="817"/>
      <c r="AN3" s="815" t="str">
        <f>'主表1（成本）'!AM3</f>
        <v>2030年</v>
      </c>
      <c r="AO3" s="816"/>
      <c r="AP3" s="816"/>
      <c r="AQ3" s="817"/>
    </row>
    <row r="4" spans="1:46" s="158" customFormat="1" ht="18" customHeight="1" x14ac:dyDescent="0.15">
      <c r="A4" s="818"/>
      <c r="B4" s="819"/>
      <c r="C4" s="819"/>
      <c r="D4" s="539" t="s">
        <v>179</v>
      </c>
      <c r="E4" s="540" t="s">
        <v>180</v>
      </c>
      <c r="F4" s="540" t="s">
        <v>181</v>
      </c>
      <c r="G4" s="541" t="s">
        <v>182</v>
      </c>
      <c r="H4" s="539" t="s">
        <v>179</v>
      </c>
      <c r="I4" s="540" t="s">
        <v>180</v>
      </c>
      <c r="J4" s="540" t="s">
        <v>181</v>
      </c>
      <c r="K4" s="541" t="s">
        <v>182</v>
      </c>
      <c r="L4" s="539" t="s">
        <v>179</v>
      </c>
      <c r="M4" s="540" t="s">
        <v>180</v>
      </c>
      <c r="N4" s="540" t="s">
        <v>181</v>
      </c>
      <c r="O4" s="541" t="s">
        <v>182</v>
      </c>
      <c r="P4" s="539" t="s">
        <v>179</v>
      </c>
      <c r="Q4" s="540" t="s">
        <v>180</v>
      </c>
      <c r="R4" s="540" t="s">
        <v>181</v>
      </c>
      <c r="S4" s="541" t="s">
        <v>182</v>
      </c>
      <c r="T4" s="539" t="s">
        <v>179</v>
      </c>
      <c r="U4" s="540" t="s">
        <v>180</v>
      </c>
      <c r="V4" s="540" t="s">
        <v>181</v>
      </c>
      <c r="W4" s="541" t="s">
        <v>182</v>
      </c>
      <c r="X4" s="539" t="s">
        <v>179</v>
      </c>
      <c r="Y4" s="540" t="s">
        <v>180</v>
      </c>
      <c r="Z4" s="540" t="s">
        <v>181</v>
      </c>
      <c r="AA4" s="541" t="s">
        <v>182</v>
      </c>
      <c r="AB4" s="539" t="s">
        <v>179</v>
      </c>
      <c r="AC4" s="540" t="s">
        <v>180</v>
      </c>
      <c r="AD4" s="540" t="s">
        <v>181</v>
      </c>
      <c r="AE4" s="541" t="s">
        <v>182</v>
      </c>
      <c r="AF4" s="539" t="s">
        <v>179</v>
      </c>
      <c r="AG4" s="540" t="s">
        <v>180</v>
      </c>
      <c r="AH4" s="540" t="s">
        <v>181</v>
      </c>
      <c r="AI4" s="541" t="s">
        <v>182</v>
      </c>
      <c r="AJ4" s="539" t="s">
        <v>179</v>
      </c>
      <c r="AK4" s="540" t="s">
        <v>180</v>
      </c>
      <c r="AL4" s="540" t="s">
        <v>181</v>
      </c>
      <c r="AM4" s="541" t="s">
        <v>182</v>
      </c>
      <c r="AN4" s="539" t="s">
        <v>179</v>
      </c>
      <c r="AO4" s="540" t="s">
        <v>180</v>
      </c>
      <c r="AP4" s="540" t="s">
        <v>181</v>
      </c>
      <c r="AQ4" s="541" t="s">
        <v>182</v>
      </c>
    </row>
    <row r="5" spans="1:46" s="158" customFormat="1" ht="18" customHeight="1" x14ac:dyDescent="0.15">
      <c r="A5" s="241">
        <v>1</v>
      </c>
      <c r="B5" s="235" t="s">
        <v>265</v>
      </c>
      <c r="C5" s="242">
        <f>SUM(D5:AQ5)</f>
        <v>354121</v>
      </c>
      <c r="D5" s="238">
        <f>D6+D13+D20+D27+D34+D41+D48+D55+D62+D69+D76+D83+D90+D97+D104</f>
        <v>0</v>
      </c>
      <c r="E5" s="238">
        <f t="shared" ref="E5:AQ5" si="0">E6+E13+E20+E27+E34+E41+E48+E55+E62+E69+E76+E83+E90+E97+E104</f>
        <v>0</v>
      </c>
      <c r="F5" s="238">
        <f t="shared" si="0"/>
        <v>0</v>
      </c>
      <c r="G5" s="238">
        <f t="shared" si="0"/>
        <v>71663</v>
      </c>
      <c r="H5" s="238">
        <f t="shared" si="0"/>
        <v>40291</v>
      </c>
      <c r="I5" s="238">
        <f t="shared" si="0"/>
        <v>67237</v>
      </c>
      <c r="J5" s="238">
        <f t="shared" si="0"/>
        <v>53111</v>
      </c>
      <c r="K5" s="238">
        <f t="shared" si="0"/>
        <v>38732</v>
      </c>
      <c r="L5" s="238">
        <f t="shared" si="0"/>
        <v>37068</v>
      </c>
      <c r="M5" s="238">
        <f t="shared" si="0"/>
        <v>18066</v>
      </c>
      <c r="N5" s="238">
        <f t="shared" si="0"/>
        <v>13280</v>
      </c>
      <c r="O5" s="238">
        <f t="shared" si="0"/>
        <v>13009</v>
      </c>
      <c r="P5" s="238">
        <f t="shared" si="0"/>
        <v>1664</v>
      </c>
      <c r="Q5" s="238">
        <f t="shared" si="0"/>
        <v>0</v>
      </c>
      <c r="R5" s="238">
        <f t="shared" si="0"/>
        <v>0</v>
      </c>
      <c r="S5" s="238">
        <f t="shared" si="0"/>
        <v>0</v>
      </c>
      <c r="T5" s="238">
        <f t="shared" si="0"/>
        <v>0</v>
      </c>
      <c r="U5" s="238">
        <f t="shared" si="0"/>
        <v>0</v>
      </c>
      <c r="V5" s="238">
        <f t="shared" si="0"/>
        <v>0</v>
      </c>
      <c r="W5" s="238">
        <f t="shared" si="0"/>
        <v>0</v>
      </c>
      <c r="X5" s="238">
        <f t="shared" si="0"/>
        <v>0</v>
      </c>
      <c r="Y5" s="238">
        <f t="shared" si="0"/>
        <v>0</v>
      </c>
      <c r="Z5" s="238">
        <f t="shared" si="0"/>
        <v>0</v>
      </c>
      <c r="AA5" s="238">
        <f t="shared" si="0"/>
        <v>0</v>
      </c>
      <c r="AB5" s="238">
        <f t="shared" si="0"/>
        <v>0</v>
      </c>
      <c r="AC5" s="238">
        <f t="shared" si="0"/>
        <v>0</v>
      </c>
      <c r="AD5" s="238">
        <f t="shared" si="0"/>
        <v>0</v>
      </c>
      <c r="AE5" s="238">
        <f t="shared" si="0"/>
        <v>0</v>
      </c>
      <c r="AF5" s="238">
        <f t="shared" si="0"/>
        <v>0</v>
      </c>
      <c r="AG5" s="238">
        <f t="shared" si="0"/>
        <v>0</v>
      </c>
      <c r="AH5" s="238">
        <f t="shared" si="0"/>
        <v>0</v>
      </c>
      <c r="AI5" s="238">
        <f t="shared" si="0"/>
        <v>0</v>
      </c>
      <c r="AJ5" s="238">
        <f t="shared" si="0"/>
        <v>0</v>
      </c>
      <c r="AK5" s="238">
        <f t="shared" si="0"/>
        <v>0</v>
      </c>
      <c r="AL5" s="238">
        <f t="shared" si="0"/>
        <v>0</v>
      </c>
      <c r="AM5" s="238">
        <f t="shared" si="0"/>
        <v>0</v>
      </c>
      <c r="AN5" s="238">
        <f t="shared" si="0"/>
        <v>0</v>
      </c>
      <c r="AO5" s="238">
        <f t="shared" si="0"/>
        <v>0</v>
      </c>
      <c r="AP5" s="238">
        <f t="shared" si="0"/>
        <v>0</v>
      </c>
      <c r="AQ5" s="238">
        <f t="shared" si="0"/>
        <v>0</v>
      </c>
    </row>
    <row r="6" spans="1:46" s="213" customFormat="1" ht="18" customHeight="1" outlineLevel="1" x14ac:dyDescent="0.15">
      <c r="A6" s="216">
        <v>1.1000000000000001</v>
      </c>
      <c r="B6" s="223" t="str">
        <f>规划指标!F4</f>
        <v>小高层</v>
      </c>
      <c r="C6" s="217">
        <f>SUM(D6:AQ6)</f>
        <v>158644</v>
      </c>
      <c r="D6" s="201">
        <f>D9*D7/10000</f>
        <v>0</v>
      </c>
      <c r="E6" s="201">
        <f t="shared" ref="E6:AQ6" si="1">E9*E7/10000</f>
        <v>0</v>
      </c>
      <c r="F6" s="201">
        <f t="shared" si="1"/>
        <v>0</v>
      </c>
      <c r="G6" s="201">
        <f t="shared" si="1"/>
        <v>47592</v>
      </c>
      <c r="H6" s="201">
        <f t="shared" si="1"/>
        <v>23796</v>
      </c>
      <c r="I6" s="201">
        <f t="shared" si="1"/>
        <v>31730</v>
      </c>
      <c r="J6" s="201">
        <f t="shared" si="1"/>
        <v>23796</v>
      </c>
      <c r="K6" s="201">
        <f t="shared" si="1"/>
        <v>15865</v>
      </c>
      <c r="L6" s="201">
        <f t="shared" si="1"/>
        <v>15865</v>
      </c>
      <c r="M6" s="201">
        <f t="shared" si="1"/>
        <v>0</v>
      </c>
      <c r="N6" s="201">
        <f t="shared" si="1"/>
        <v>0</v>
      </c>
      <c r="O6" s="201">
        <f t="shared" si="1"/>
        <v>0</v>
      </c>
      <c r="P6" s="201">
        <f t="shared" si="1"/>
        <v>0</v>
      </c>
      <c r="Q6" s="201">
        <f t="shared" si="1"/>
        <v>0</v>
      </c>
      <c r="R6" s="201">
        <f t="shared" si="1"/>
        <v>0</v>
      </c>
      <c r="S6" s="201">
        <f t="shared" si="1"/>
        <v>0</v>
      </c>
      <c r="T6" s="201">
        <f t="shared" si="1"/>
        <v>0</v>
      </c>
      <c r="U6" s="201">
        <f t="shared" si="1"/>
        <v>0</v>
      </c>
      <c r="V6" s="201">
        <f t="shared" si="1"/>
        <v>0</v>
      </c>
      <c r="W6" s="201">
        <f t="shared" si="1"/>
        <v>0</v>
      </c>
      <c r="X6" s="201">
        <f t="shared" si="1"/>
        <v>0</v>
      </c>
      <c r="Y6" s="201">
        <f t="shared" si="1"/>
        <v>0</v>
      </c>
      <c r="Z6" s="201">
        <f t="shared" si="1"/>
        <v>0</v>
      </c>
      <c r="AA6" s="201">
        <f t="shared" si="1"/>
        <v>0</v>
      </c>
      <c r="AB6" s="201">
        <f t="shared" si="1"/>
        <v>0</v>
      </c>
      <c r="AC6" s="201">
        <f t="shared" si="1"/>
        <v>0</v>
      </c>
      <c r="AD6" s="201">
        <f t="shared" si="1"/>
        <v>0</v>
      </c>
      <c r="AE6" s="201">
        <f t="shared" si="1"/>
        <v>0</v>
      </c>
      <c r="AF6" s="201">
        <f t="shared" si="1"/>
        <v>0</v>
      </c>
      <c r="AG6" s="201">
        <f t="shared" si="1"/>
        <v>0</v>
      </c>
      <c r="AH6" s="201">
        <f t="shared" si="1"/>
        <v>0</v>
      </c>
      <c r="AI6" s="201">
        <f t="shared" si="1"/>
        <v>0</v>
      </c>
      <c r="AJ6" s="201">
        <f t="shared" si="1"/>
        <v>0</v>
      </c>
      <c r="AK6" s="201">
        <f t="shared" si="1"/>
        <v>0</v>
      </c>
      <c r="AL6" s="201">
        <f t="shared" si="1"/>
        <v>0</v>
      </c>
      <c r="AM6" s="201">
        <f t="shared" si="1"/>
        <v>0</v>
      </c>
      <c r="AN6" s="201">
        <f t="shared" si="1"/>
        <v>0</v>
      </c>
      <c r="AO6" s="201">
        <f t="shared" si="1"/>
        <v>0</v>
      </c>
      <c r="AP6" s="201">
        <f t="shared" si="1"/>
        <v>0</v>
      </c>
      <c r="AQ6" s="201">
        <f t="shared" si="1"/>
        <v>0</v>
      </c>
      <c r="AR6" s="201"/>
    </row>
    <row r="7" spans="1:46" s="213" customFormat="1" ht="18" customHeight="1" outlineLevel="2" x14ac:dyDescent="0.15">
      <c r="A7" s="216"/>
      <c r="B7" s="224" t="s">
        <v>500</v>
      </c>
      <c r="C7" s="437">
        <f>SUM(D7:AQ7)</f>
        <v>57688</v>
      </c>
      <c r="D7" s="201">
        <f>D10*规划指标!$G$4</f>
        <v>0</v>
      </c>
      <c r="E7" s="201">
        <f>E10*规划指标!$G$4</f>
        <v>0</v>
      </c>
      <c r="F7" s="201">
        <f>F10*规划指标!$G$4</f>
        <v>0</v>
      </c>
      <c r="G7" s="201">
        <f>G10*规划指标!$G$4</f>
        <v>17306</v>
      </c>
      <c r="H7" s="201">
        <f>H10*规划指标!$G$4</f>
        <v>8653</v>
      </c>
      <c r="I7" s="201">
        <f>I10*规划指标!$G$4</f>
        <v>11538</v>
      </c>
      <c r="J7" s="201">
        <f>J10*规划指标!$G$4</f>
        <v>8653</v>
      </c>
      <c r="K7" s="201">
        <f>K10*规划指标!$G$4</f>
        <v>5769</v>
      </c>
      <c r="L7" s="201">
        <f>L10*规划指标!$G$4</f>
        <v>5769</v>
      </c>
      <c r="M7" s="201">
        <f>M10*规划指标!$G$4</f>
        <v>0</v>
      </c>
      <c r="N7" s="201">
        <f>N10*规划指标!$G$4</f>
        <v>0</v>
      </c>
      <c r="O7" s="201">
        <f>O10*规划指标!$G$4</f>
        <v>0</v>
      </c>
      <c r="P7" s="201">
        <f>P10*规划指标!$G$4</f>
        <v>0</v>
      </c>
      <c r="Q7" s="201">
        <f>Q10*规划指标!$G$4</f>
        <v>0</v>
      </c>
      <c r="R7" s="201">
        <f>R10*规划指标!$G$4</f>
        <v>0</v>
      </c>
      <c r="S7" s="201">
        <f>S10*规划指标!$G$4</f>
        <v>0</v>
      </c>
      <c r="T7" s="201">
        <f>T10*规划指标!$G$4</f>
        <v>0</v>
      </c>
      <c r="U7" s="201">
        <f>U10*规划指标!$G$4</f>
        <v>0</v>
      </c>
      <c r="V7" s="201">
        <f>V10*规划指标!$G$4</f>
        <v>0</v>
      </c>
      <c r="W7" s="201">
        <f>W10*规划指标!$G$4</f>
        <v>0</v>
      </c>
      <c r="X7" s="201">
        <f>X10*规划指标!$G$4</f>
        <v>0</v>
      </c>
      <c r="Y7" s="201">
        <f>Y10*规划指标!$G$4</f>
        <v>0</v>
      </c>
      <c r="Z7" s="201">
        <f>Z10*规划指标!$G$4</f>
        <v>0</v>
      </c>
      <c r="AA7" s="201">
        <f>AA10*规划指标!$G$4</f>
        <v>0</v>
      </c>
      <c r="AB7" s="201">
        <f>AB10*规划指标!$G$4</f>
        <v>0</v>
      </c>
      <c r="AC7" s="201">
        <f>AC10*规划指标!$G$4</f>
        <v>0</v>
      </c>
      <c r="AD7" s="201">
        <f>AD10*规划指标!$G$4</f>
        <v>0</v>
      </c>
      <c r="AE7" s="201">
        <f>AE10*规划指标!$G$4</f>
        <v>0</v>
      </c>
      <c r="AF7" s="201">
        <f>AF10*规划指标!$G$4</f>
        <v>0</v>
      </c>
      <c r="AG7" s="201">
        <f>AG10*规划指标!$G$4</f>
        <v>0</v>
      </c>
      <c r="AH7" s="201">
        <f>AH10*规划指标!$G$4</f>
        <v>0</v>
      </c>
      <c r="AI7" s="201">
        <f>AI10*规划指标!$G$4</f>
        <v>0</v>
      </c>
      <c r="AJ7" s="201">
        <f>AJ10*规划指标!$G$4</f>
        <v>0</v>
      </c>
      <c r="AK7" s="201">
        <f>AK10*规划指标!$G$4</f>
        <v>0</v>
      </c>
      <c r="AL7" s="201">
        <f>AL10*规划指标!$G$4</f>
        <v>0</v>
      </c>
      <c r="AM7" s="201">
        <f>AM10*规划指标!$G$4</f>
        <v>0</v>
      </c>
      <c r="AN7" s="201">
        <f>AN10*规划指标!$G$4</f>
        <v>0</v>
      </c>
      <c r="AO7" s="201">
        <f>AO10*规划指标!$G$4</f>
        <v>0</v>
      </c>
      <c r="AP7" s="201">
        <f>AP10*规划指标!$G$4</f>
        <v>0</v>
      </c>
      <c r="AQ7" s="201">
        <f>AQ10*规划指标!$G$4</f>
        <v>0</v>
      </c>
    </row>
    <row r="8" spans="1:46" s="213" customFormat="1" ht="18" customHeight="1" outlineLevel="2" x14ac:dyDescent="0.15">
      <c r="A8" s="216"/>
      <c r="B8" s="224" t="s">
        <v>620</v>
      </c>
      <c r="C8" s="437">
        <f>SUM(D8:AQ8)</f>
        <v>599</v>
      </c>
      <c r="D8" s="201">
        <f>ROUND(D7/规划指标!$G$4*规划指标!$I$4,0)</f>
        <v>0</v>
      </c>
      <c r="E8" s="201">
        <f>ROUND(E7/规划指标!$G$4*规划指标!$I$4,0)</f>
        <v>0</v>
      </c>
      <c r="F8" s="201">
        <f>ROUND(F7/规划指标!$G$4*规划指标!$I$4,0)</f>
        <v>0</v>
      </c>
      <c r="G8" s="201">
        <f>ROUND(G7/规划指标!$G$4*规划指标!$I$4,0)</f>
        <v>179</v>
      </c>
      <c r="H8" s="201">
        <f>ROUND(H7/规划指标!$G$4*规划指标!$I$4,0)</f>
        <v>90</v>
      </c>
      <c r="I8" s="201">
        <f>ROUND(I7/规划指标!$G$4*规划指标!$I$4,0)</f>
        <v>120</v>
      </c>
      <c r="J8" s="201">
        <f>ROUND(J7/规划指标!$G$4*规划指标!$I$4,0)</f>
        <v>90</v>
      </c>
      <c r="K8" s="201">
        <f>ROUND(K7/规划指标!$G$4*规划指标!$I$4,0)</f>
        <v>60</v>
      </c>
      <c r="L8" s="201">
        <f>ROUND(L7/规划指标!$G$4*规划指标!$I$4,0)</f>
        <v>60</v>
      </c>
      <c r="M8" s="201">
        <f>ROUND(M7/规划指标!$G$4*规划指标!$I$4,0)</f>
        <v>0</v>
      </c>
      <c r="N8" s="201">
        <f>ROUND(N7/规划指标!$G$4*规划指标!$I$4,0)</f>
        <v>0</v>
      </c>
      <c r="O8" s="201">
        <f>ROUND(O7/规划指标!$G$4*规划指标!$I$4,0)</f>
        <v>0</v>
      </c>
      <c r="P8" s="201">
        <f>ROUND(P7/规划指标!$G$4*规划指标!$I$4,0)</f>
        <v>0</v>
      </c>
      <c r="Q8" s="201">
        <f>ROUND(Q7/规划指标!$G$4*规划指标!$I$4,0)</f>
        <v>0</v>
      </c>
      <c r="R8" s="201">
        <f>ROUND(R7/规划指标!$G$4*规划指标!$I$4,0)</f>
        <v>0</v>
      </c>
      <c r="S8" s="201">
        <f>ROUND(S7/规划指标!$G$4*规划指标!$I$4,0)</f>
        <v>0</v>
      </c>
      <c r="T8" s="201">
        <f>ROUND(T7/规划指标!$G$4*规划指标!$I$4,0)</f>
        <v>0</v>
      </c>
      <c r="U8" s="201">
        <f>ROUND(U7/规划指标!$G$4*规划指标!$I$4,0)</f>
        <v>0</v>
      </c>
      <c r="V8" s="201">
        <f>ROUND(V7/规划指标!$G$4*规划指标!$I$4,0)</f>
        <v>0</v>
      </c>
      <c r="W8" s="201">
        <f>ROUND(W7/规划指标!$G$4*规划指标!$I$4,0)</f>
        <v>0</v>
      </c>
      <c r="X8" s="201">
        <f>ROUND(X7/规划指标!$G$4*规划指标!$I$4,0)</f>
        <v>0</v>
      </c>
      <c r="Y8" s="201">
        <f>ROUND(Y7/规划指标!$G$4*规划指标!$I$4,0)</f>
        <v>0</v>
      </c>
      <c r="Z8" s="201">
        <f>ROUND(Z7/规划指标!$G$4*规划指标!$I$4,0)</f>
        <v>0</v>
      </c>
      <c r="AA8" s="201">
        <f>ROUND(AA7/规划指标!$G$4*规划指标!$I$4,0)</f>
        <v>0</v>
      </c>
      <c r="AB8" s="201">
        <f>ROUND(AB7/规划指标!$G$4*规划指标!$I$4,0)</f>
        <v>0</v>
      </c>
      <c r="AC8" s="201">
        <f>ROUND(AC7/规划指标!$G$4*规划指标!$I$4,0)</f>
        <v>0</v>
      </c>
      <c r="AD8" s="201">
        <f>ROUND(AD7/规划指标!$G$4*规划指标!$I$4,0)</f>
        <v>0</v>
      </c>
      <c r="AE8" s="201">
        <f>ROUND(AE7/规划指标!$G$4*规划指标!$I$4,0)</f>
        <v>0</v>
      </c>
      <c r="AF8" s="201">
        <f>ROUND(AF7/规划指标!$G$4*规划指标!$I$4,0)</f>
        <v>0</v>
      </c>
      <c r="AG8" s="201">
        <f>ROUND(AG7/规划指标!$G$4*规划指标!$I$4,0)</f>
        <v>0</v>
      </c>
      <c r="AH8" s="201">
        <f>ROUND(AH7/规划指标!$G$4*规划指标!$I$4,0)</f>
        <v>0</v>
      </c>
      <c r="AI8" s="201">
        <f>ROUND(AI7/规划指标!$G$4*规划指标!$I$4,0)</f>
        <v>0</v>
      </c>
      <c r="AJ8" s="201">
        <f>ROUND(AJ7/规划指标!$G$4*规划指标!$I$4,0)</f>
        <v>0</v>
      </c>
      <c r="AK8" s="201">
        <f>ROUND(AK7/规划指标!$G$4*规划指标!$I$4,0)</f>
        <v>0</v>
      </c>
      <c r="AL8" s="201">
        <f>ROUND(AL7/规划指标!$G$4*规划指标!$I$4,0)</f>
        <v>0</v>
      </c>
      <c r="AM8" s="201">
        <f>ROUND(AM7/规划指标!$G$4*规划指标!$I$4,0)</f>
        <v>0</v>
      </c>
      <c r="AN8" s="201">
        <f>ROUND(AN7/规划指标!$G$4*规划指标!$I$4,0)</f>
        <v>0</v>
      </c>
      <c r="AO8" s="201">
        <f>ROUND(AO7/规划指标!$G$4*规划指标!$I$4,0)</f>
        <v>0</v>
      </c>
      <c r="AP8" s="201">
        <f>ROUND(AP7/规划指标!$G$4*规划指标!$I$4,0)</f>
        <v>0</v>
      </c>
      <c r="AQ8" s="201">
        <f>ROUND(AQ7/规划指标!$G$4*规划指标!$I$4,0)</f>
        <v>0</v>
      </c>
    </row>
    <row r="9" spans="1:46" s="213" customFormat="1" ht="18" customHeight="1" outlineLevel="2" x14ac:dyDescent="0.15">
      <c r="A9" s="216"/>
      <c r="B9" s="224" t="s">
        <v>348</v>
      </c>
      <c r="C9" s="225">
        <f>ROUND(C6/C7*10000,0)</f>
        <v>27500</v>
      </c>
      <c r="D9" s="226">
        <f>ROUND($C$11*D152,0)</f>
        <v>27500</v>
      </c>
      <c r="E9" s="226">
        <f>D9</f>
        <v>27500</v>
      </c>
      <c r="F9" s="226">
        <f t="shared" ref="F9:AQ9" si="2">E9</f>
        <v>27500</v>
      </c>
      <c r="G9" s="226">
        <f t="shared" si="2"/>
        <v>27500</v>
      </c>
      <c r="H9" s="226">
        <f t="shared" si="2"/>
        <v>27500</v>
      </c>
      <c r="I9" s="226">
        <f t="shared" si="2"/>
        <v>27500</v>
      </c>
      <c r="J9" s="226">
        <f t="shared" si="2"/>
        <v>27500</v>
      </c>
      <c r="K9" s="226">
        <f t="shared" si="2"/>
        <v>27500</v>
      </c>
      <c r="L9" s="226">
        <f t="shared" si="2"/>
        <v>27500</v>
      </c>
      <c r="M9" s="226">
        <f t="shared" si="2"/>
        <v>27500</v>
      </c>
      <c r="N9" s="226">
        <f t="shared" si="2"/>
        <v>27500</v>
      </c>
      <c r="O9" s="226">
        <f t="shared" si="2"/>
        <v>27500</v>
      </c>
      <c r="P9" s="226">
        <f t="shared" si="2"/>
        <v>27500</v>
      </c>
      <c r="Q9" s="226">
        <f t="shared" si="2"/>
        <v>27500</v>
      </c>
      <c r="R9" s="226">
        <f t="shared" si="2"/>
        <v>27500</v>
      </c>
      <c r="S9" s="226">
        <f t="shared" si="2"/>
        <v>27500</v>
      </c>
      <c r="T9" s="226">
        <f t="shared" si="2"/>
        <v>27500</v>
      </c>
      <c r="U9" s="226">
        <f t="shared" si="2"/>
        <v>27500</v>
      </c>
      <c r="V9" s="226">
        <f t="shared" si="2"/>
        <v>27500</v>
      </c>
      <c r="W9" s="226">
        <f t="shared" si="2"/>
        <v>27500</v>
      </c>
      <c r="X9" s="226">
        <f t="shared" si="2"/>
        <v>27500</v>
      </c>
      <c r="Y9" s="226">
        <f t="shared" si="2"/>
        <v>27500</v>
      </c>
      <c r="Z9" s="226">
        <f t="shared" si="2"/>
        <v>27500</v>
      </c>
      <c r="AA9" s="226">
        <f t="shared" si="2"/>
        <v>27500</v>
      </c>
      <c r="AB9" s="226">
        <f t="shared" si="2"/>
        <v>27500</v>
      </c>
      <c r="AC9" s="226">
        <f t="shared" si="2"/>
        <v>27500</v>
      </c>
      <c r="AD9" s="226">
        <f t="shared" si="2"/>
        <v>27500</v>
      </c>
      <c r="AE9" s="226">
        <f t="shared" si="2"/>
        <v>27500</v>
      </c>
      <c r="AF9" s="226">
        <f t="shared" si="2"/>
        <v>27500</v>
      </c>
      <c r="AG9" s="226">
        <f t="shared" si="2"/>
        <v>27500</v>
      </c>
      <c r="AH9" s="226">
        <f t="shared" si="2"/>
        <v>27500</v>
      </c>
      <c r="AI9" s="226">
        <f t="shared" si="2"/>
        <v>27500</v>
      </c>
      <c r="AJ9" s="226">
        <f t="shared" si="2"/>
        <v>27500</v>
      </c>
      <c r="AK9" s="226">
        <f t="shared" si="2"/>
        <v>27500</v>
      </c>
      <c r="AL9" s="226">
        <f t="shared" si="2"/>
        <v>27500</v>
      </c>
      <c r="AM9" s="226">
        <f t="shared" si="2"/>
        <v>27500</v>
      </c>
      <c r="AN9" s="226">
        <f t="shared" si="2"/>
        <v>27500</v>
      </c>
      <c r="AO9" s="226">
        <f t="shared" si="2"/>
        <v>27500</v>
      </c>
      <c r="AP9" s="226">
        <f t="shared" si="2"/>
        <v>27500</v>
      </c>
      <c r="AQ9" s="226">
        <f t="shared" si="2"/>
        <v>27500</v>
      </c>
      <c r="AS9" s="571"/>
      <c r="AT9" s="202"/>
    </row>
    <row r="10" spans="1:46" s="229" customFormat="1" ht="18" customHeight="1" outlineLevel="2" x14ac:dyDescent="0.15">
      <c r="A10" s="227"/>
      <c r="B10" s="224" t="s">
        <v>349</v>
      </c>
      <c r="C10" s="228">
        <f>SUM(D10:AQ10)</f>
        <v>1</v>
      </c>
      <c r="D10" s="234"/>
      <c r="E10" s="234"/>
      <c r="F10" s="234"/>
      <c r="G10" s="234">
        <v>0.3</v>
      </c>
      <c r="H10" s="234">
        <v>0.15</v>
      </c>
      <c r="I10" s="234">
        <v>0.2</v>
      </c>
      <c r="J10" s="234">
        <v>0.15</v>
      </c>
      <c r="K10" s="234">
        <v>0.1</v>
      </c>
      <c r="L10" s="234">
        <v>0.1</v>
      </c>
      <c r="M10" s="234"/>
      <c r="N10" s="234"/>
      <c r="O10" s="234"/>
      <c r="P10" s="234"/>
      <c r="Q10" s="234"/>
      <c r="R10" s="234"/>
      <c r="S10" s="234"/>
      <c r="T10" s="234"/>
      <c r="U10" s="234"/>
      <c r="V10" s="234"/>
      <c r="W10" s="234"/>
      <c r="X10" s="234"/>
      <c r="Y10" s="234"/>
      <c r="Z10" s="234"/>
      <c r="AA10" s="234"/>
      <c r="AB10" s="234"/>
      <c r="AC10" s="234"/>
      <c r="AD10" s="234"/>
      <c r="AE10" s="234"/>
      <c r="AF10" s="234"/>
      <c r="AG10" s="234"/>
      <c r="AH10" s="234"/>
      <c r="AI10" s="234"/>
      <c r="AJ10" s="234"/>
      <c r="AK10" s="234"/>
      <c r="AL10" s="234"/>
      <c r="AM10" s="234"/>
      <c r="AN10" s="234"/>
      <c r="AO10" s="234"/>
      <c r="AP10" s="234"/>
      <c r="AQ10" s="234"/>
    </row>
    <row r="11" spans="1:46" s="229" customFormat="1" ht="18" customHeight="1" outlineLevel="2" x14ac:dyDescent="0.15">
      <c r="A11" s="227"/>
      <c r="B11" s="224" t="s">
        <v>577</v>
      </c>
      <c r="C11" s="713">
        <v>27500</v>
      </c>
      <c r="D11" s="228"/>
      <c r="E11" s="228"/>
      <c r="F11" s="228"/>
      <c r="G11" s="228"/>
      <c r="H11" s="228"/>
      <c r="I11" s="228"/>
      <c r="J11" s="228"/>
      <c r="K11" s="228"/>
      <c r="L11" s="228"/>
      <c r="M11" s="228"/>
      <c r="N11" s="228"/>
      <c r="O11" s="228"/>
      <c r="P11" s="228"/>
      <c r="Q11" s="228"/>
      <c r="R11" s="228"/>
      <c r="S11" s="228"/>
      <c r="T11" s="228"/>
      <c r="U11" s="228"/>
      <c r="V11" s="228"/>
      <c r="W11" s="228"/>
      <c r="X11" s="228"/>
      <c r="Y11" s="228"/>
      <c r="Z11" s="228"/>
      <c r="AA11" s="228"/>
      <c r="AB11" s="228"/>
      <c r="AC11" s="228"/>
      <c r="AD11" s="228"/>
      <c r="AE11" s="228"/>
      <c r="AF11" s="228"/>
      <c r="AG11" s="228"/>
      <c r="AH11" s="228"/>
      <c r="AI11" s="228"/>
      <c r="AJ11" s="228"/>
      <c r="AK11" s="228"/>
      <c r="AL11" s="228"/>
      <c r="AM11" s="228"/>
      <c r="AN11" s="228"/>
      <c r="AO11" s="228"/>
      <c r="AP11" s="228"/>
      <c r="AQ11" s="228"/>
    </row>
    <row r="12" spans="1:46" s="213" customFormat="1" ht="18" customHeight="1" outlineLevel="2" x14ac:dyDescent="0.15">
      <c r="A12" s="216"/>
      <c r="B12" s="230"/>
      <c r="C12" s="228"/>
      <c r="D12" s="231"/>
      <c r="E12" s="231"/>
      <c r="F12" s="231"/>
      <c r="G12" s="231"/>
      <c r="H12" s="231"/>
      <c r="I12" s="231"/>
      <c r="J12" s="231"/>
      <c r="K12" s="231"/>
      <c r="L12" s="231"/>
      <c r="M12" s="231"/>
      <c r="N12" s="231"/>
      <c r="O12" s="231"/>
      <c r="P12" s="231"/>
      <c r="Q12" s="231"/>
      <c r="R12" s="231"/>
      <c r="S12" s="231"/>
      <c r="T12" s="231"/>
      <c r="U12" s="231"/>
      <c r="V12" s="231"/>
      <c r="W12" s="231"/>
      <c r="X12" s="231"/>
      <c r="Y12" s="231"/>
      <c r="Z12" s="231"/>
      <c r="AA12" s="231"/>
      <c r="AB12" s="231"/>
      <c r="AC12" s="231"/>
      <c r="AD12" s="231"/>
      <c r="AE12" s="231"/>
      <c r="AF12" s="231"/>
      <c r="AG12" s="231"/>
      <c r="AH12" s="231"/>
      <c r="AI12" s="231"/>
      <c r="AJ12" s="231"/>
      <c r="AK12" s="231"/>
      <c r="AL12" s="231"/>
      <c r="AM12" s="231"/>
      <c r="AN12" s="231"/>
      <c r="AO12" s="231"/>
      <c r="AP12" s="231"/>
      <c r="AQ12" s="231"/>
    </row>
    <row r="13" spans="1:46" s="213" customFormat="1" ht="18" customHeight="1" outlineLevel="1" x14ac:dyDescent="0.15">
      <c r="A13" s="216" t="s">
        <v>296</v>
      </c>
      <c r="B13" s="210" t="str">
        <f>规划指标!F5</f>
        <v>洋房</v>
      </c>
      <c r="C13" s="217">
        <f>SUM(D13:AQ13)</f>
        <v>156859</v>
      </c>
      <c r="D13" s="201">
        <f>D16*D14/10000</f>
        <v>0</v>
      </c>
      <c r="E13" s="201">
        <f t="shared" ref="E13:AQ13" si="3">E16*E14/10000</f>
        <v>0</v>
      </c>
      <c r="F13" s="201">
        <f t="shared" si="3"/>
        <v>0</v>
      </c>
      <c r="G13" s="201">
        <f t="shared" si="3"/>
        <v>23530</v>
      </c>
      <c r="H13" s="201">
        <f t="shared" si="3"/>
        <v>15686</v>
      </c>
      <c r="I13" s="201">
        <f t="shared" si="3"/>
        <v>31370</v>
      </c>
      <c r="J13" s="201">
        <f t="shared" si="3"/>
        <v>23530</v>
      </c>
      <c r="K13" s="201">
        <f t="shared" si="3"/>
        <v>15686</v>
      </c>
      <c r="L13" s="201">
        <f t="shared" si="3"/>
        <v>15686</v>
      </c>
      <c r="M13" s="201">
        <f t="shared" si="3"/>
        <v>12549</v>
      </c>
      <c r="N13" s="201">
        <f t="shared" si="3"/>
        <v>9411</v>
      </c>
      <c r="O13" s="201">
        <f t="shared" si="3"/>
        <v>9411</v>
      </c>
      <c r="P13" s="201">
        <f t="shared" si="3"/>
        <v>0</v>
      </c>
      <c r="Q13" s="201">
        <f t="shared" si="3"/>
        <v>0</v>
      </c>
      <c r="R13" s="201">
        <f t="shared" si="3"/>
        <v>0</v>
      </c>
      <c r="S13" s="201">
        <f t="shared" si="3"/>
        <v>0</v>
      </c>
      <c r="T13" s="201">
        <f t="shared" si="3"/>
        <v>0</v>
      </c>
      <c r="U13" s="201">
        <f t="shared" si="3"/>
        <v>0</v>
      </c>
      <c r="V13" s="201">
        <f t="shared" si="3"/>
        <v>0</v>
      </c>
      <c r="W13" s="201">
        <f t="shared" si="3"/>
        <v>0</v>
      </c>
      <c r="X13" s="201">
        <f t="shared" si="3"/>
        <v>0</v>
      </c>
      <c r="Y13" s="201">
        <f t="shared" si="3"/>
        <v>0</v>
      </c>
      <c r="Z13" s="201">
        <f t="shared" si="3"/>
        <v>0</v>
      </c>
      <c r="AA13" s="201">
        <f t="shared" si="3"/>
        <v>0</v>
      </c>
      <c r="AB13" s="201">
        <f t="shared" si="3"/>
        <v>0</v>
      </c>
      <c r="AC13" s="201">
        <f t="shared" si="3"/>
        <v>0</v>
      </c>
      <c r="AD13" s="201">
        <f t="shared" si="3"/>
        <v>0</v>
      </c>
      <c r="AE13" s="201">
        <f t="shared" si="3"/>
        <v>0</v>
      </c>
      <c r="AF13" s="201">
        <f t="shared" si="3"/>
        <v>0</v>
      </c>
      <c r="AG13" s="201">
        <f t="shared" si="3"/>
        <v>0</v>
      </c>
      <c r="AH13" s="201">
        <f t="shared" si="3"/>
        <v>0</v>
      </c>
      <c r="AI13" s="201">
        <f t="shared" si="3"/>
        <v>0</v>
      </c>
      <c r="AJ13" s="201">
        <f t="shared" si="3"/>
        <v>0</v>
      </c>
      <c r="AK13" s="201">
        <f t="shared" si="3"/>
        <v>0</v>
      </c>
      <c r="AL13" s="201">
        <f t="shared" si="3"/>
        <v>0</v>
      </c>
      <c r="AM13" s="201">
        <f t="shared" si="3"/>
        <v>0</v>
      </c>
      <c r="AN13" s="201">
        <f t="shared" si="3"/>
        <v>0</v>
      </c>
      <c r="AO13" s="201">
        <f t="shared" si="3"/>
        <v>0</v>
      </c>
      <c r="AP13" s="201">
        <f t="shared" si="3"/>
        <v>0</v>
      </c>
      <c r="AQ13" s="201">
        <f t="shared" si="3"/>
        <v>0</v>
      </c>
    </row>
    <row r="14" spans="1:46" s="213" customFormat="1" ht="18" customHeight="1" outlineLevel="2" x14ac:dyDescent="0.15">
      <c r="A14" s="216"/>
      <c r="B14" s="224" t="str">
        <f>$B$7</f>
        <v>销售数量</v>
      </c>
      <c r="C14" s="217">
        <f>SUM(D14:AQ14)</f>
        <v>55038</v>
      </c>
      <c r="D14" s="201">
        <f>D17*规划指标!$G$5</f>
        <v>0</v>
      </c>
      <c r="E14" s="201">
        <f>E17*规划指标!$G$5</f>
        <v>0</v>
      </c>
      <c r="F14" s="201">
        <f>F17*规划指标!$G$5</f>
        <v>0</v>
      </c>
      <c r="G14" s="201">
        <f>G17*规划指标!$G$5</f>
        <v>8256</v>
      </c>
      <c r="H14" s="201">
        <f>H17*规划指标!$G$5</f>
        <v>5504</v>
      </c>
      <c r="I14" s="201">
        <f>I17*规划指标!$G$5</f>
        <v>11007</v>
      </c>
      <c r="J14" s="201">
        <f>J17*规划指标!$G$5</f>
        <v>8256</v>
      </c>
      <c r="K14" s="201">
        <f>K17*规划指标!$G$5</f>
        <v>5504</v>
      </c>
      <c r="L14" s="201">
        <f>L17*规划指标!$G$5</f>
        <v>5504</v>
      </c>
      <c r="M14" s="201">
        <f>M17*规划指标!$G$5</f>
        <v>4403</v>
      </c>
      <c r="N14" s="201">
        <f>N17*规划指标!$G$5</f>
        <v>3302</v>
      </c>
      <c r="O14" s="201">
        <f>O17*规划指标!$G$5</f>
        <v>3302</v>
      </c>
      <c r="P14" s="201">
        <f>P17*规划指标!$G$5</f>
        <v>0</v>
      </c>
      <c r="Q14" s="201">
        <f>Q17*规划指标!$G$5</f>
        <v>0</v>
      </c>
      <c r="R14" s="201">
        <f>R17*规划指标!$G$5</f>
        <v>0</v>
      </c>
      <c r="S14" s="201">
        <f>S17*规划指标!$G$5</f>
        <v>0</v>
      </c>
      <c r="T14" s="201">
        <f>T17*规划指标!$G$5</f>
        <v>0</v>
      </c>
      <c r="U14" s="201">
        <f>U17*规划指标!$G$5</f>
        <v>0</v>
      </c>
      <c r="V14" s="201">
        <f>V17*规划指标!$G$5</f>
        <v>0</v>
      </c>
      <c r="W14" s="201">
        <f>W17*规划指标!$G$5</f>
        <v>0</v>
      </c>
      <c r="X14" s="201">
        <f>X17*规划指标!$G$5</f>
        <v>0</v>
      </c>
      <c r="Y14" s="201">
        <f>Y17*规划指标!$G$5</f>
        <v>0</v>
      </c>
      <c r="Z14" s="201">
        <f>Z17*规划指标!$G$5</f>
        <v>0</v>
      </c>
      <c r="AA14" s="201">
        <f>AA17*规划指标!$G$5</f>
        <v>0</v>
      </c>
      <c r="AB14" s="201">
        <f>AB17*规划指标!$G$5</f>
        <v>0</v>
      </c>
      <c r="AC14" s="201">
        <f>AC17*规划指标!$G$5</f>
        <v>0</v>
      </c>
      <c r="AD14" s="201">
        <f>AD17*规划指标!$G$5</f>
        <v>0</v>
      </c>
      <c r="AE14" s="201">
        <f>AE17*规划指标!$G$5</f>
        <v>0</v>
      </c>
      <c r="AF14" s="201">
        <f>AF17*规划指标!$G$5</f>
        <v>0</v>
      </c>
      <c r="AG14" s="201">
        <f>AG17*规划指标!$G$5</f>
        <v>0</v>
      </c>
      <c r="AH14" s="201">
        <f>AH17*规划指标!$G$5</f>
        <v>0</v>
      </c>
      <c r="AI14" s="201">
        <f>AI17*规划指标!$G$5</f>
        <v>0</v>
      </c>
      <c r="AJ14" s="201">
        <f>AJ17*规划指标!$G$5</f>
        <v>0</v>
      </c>
      <c r="AK14" s="201">
        <f>AK17*规划指标!$G$5</f>
        <v>0</v>
      </c>
      <c r="AL14" s="201">
        <f>AL17*规划指标!$G$5</f>
        <v>0</v>
      </c>
      <c r="AM14" s="201">
        <f>AM17*规划指标!$G$5</f>
        <v>0</v>
      </c>
      <c r="AN14" s="201">
        <f>AN17*规划指标!$G$5</f>
        <v>0</v>
      </c>
      <c r="AO14" s="201">
        <f>AO17*规划指标!$G$5</f>
        <v>0</v>
      </c>
      <c r="AP14" s="201">
        <f>AP17*规划指标!$G$5</f>
        <v>0</v>
      </c>
      <c r="AQ14" s="201">
        <f>AQ17*规划指标!$G$5</f>
        <v>0</v>
      </c>
    </row>
    <row r="15" spans="1:46" s="213" customFormat="1" ht="18" customHeight="1" outlineLevel="2" x14ac:dyDescent="0.15">
      <c r="A15" s="216"/>
      <c r="B15" s="224" t="str">
        <f>B8</f>
        <v>销售套数</v>
      </c>
      <c r="C15" s="217">
        <f>SUM(D15:AQ15)</f>
        <v>455</v>
      </c>
      <c r="D15" s="245">
        <f>D14/规划指标!$G$5*规划指标!$I$5</f>
        <v>0</v>
      </c>
      <c r="E15" s="245">
        <f>E14/规划指标!$G$5*规划指标!$I$5</f>
        <v>0</v>
      </c>
      <c r="F15" s="245">
        <f>ROUND(F14/规划指标!$G$5*规划指标!$I$5,0)</f>
        <v>0</v>
      </c>
      <c r="G15" s="245">
        <f>ROUND(G14/规划指标!$G$5*规划指标!$I$5,0)</f>
        <v>68</v>
      </c>
      <c r="H15" s="245">
        <f>ROUND(H14/规划指标!$G$5*规划指标!$I$5,0)</f>
        <v>46</v>
      </c>
      <c r="I15" s="245">
        <f>ROUND(I14/规划指标!$G$5*规划指标!$I$5,0)</f>
        <v>91</v>
      </c>
      <c r="J15" s="245">
        <f>ROUND(J14/规划指标!$G$5*规划指标!$I$5,0)</f>
        <v>68</v>
      </c>
      <c r="K15" s="245">
        <f>ROUND(K14/规划指标!$G$5*规划指标!$I$5,0)</f>
        <v>46</v>
      </c>
      <c r="L15" s="245">
        <f>ROUND(L14/规划指标!$G$5*规划指标!$I$5,0)</f>
        <v>46</v>
      </c>
      <c r="M15" s="245">
        <f>ROUND(M14/规划指标!$G$5*规划指标!$I$5,0)</f>
        <v>36</v>
      </c>
      <c r="N15" s="245">
        <f>ROUND(N14/规划指标!$G$5*规划指标!$I$5,0)</f>
        <v>27</v>
      </c>
      <c r="O15" s="245">
        <f>ROUND(O14/规划指标!$G$5*规划指标!$I$5,0)</f>
        <v>27</v>
      </c>
      <c r="P15" s="245">
        <f>ROUND(P14/规划指标!$G$5*规划指标!$I$5,0)</f>
        <v>0</v>
      </c>
      <c r="Q15" s="245">
        <f>Q14/规划指标!$G$5*规划指标!$I$5</f>
        <v>0</v>
      </c>
      <c r="R15" s="245">
        <f>R14/规划指标!$G$5*规划指标!$I$5</f>
        <v>0</v>
      </c>
      <c r="S15" s="245">
        <f>S14/规划指标!$G$5*规划指标!$I$5</f>
        <v>0</v>
      </c>
      <c r="T15" s="245">
        <f>T14/规划指标!$G$5*规划指标!$I$5</f>
        <v>0</v>
      </c>
      <c r="U15" s="245">
        <f>U14/规划指标!$G$5*规划指标!$I$5</f>
        <v>0</v>
      </c>
      <c r="V15" s="245">
        <f>V14/规划指标!$G$5*规划指标!$I$5</f>
        <v>0</v>
      </c>
      <c r="W15" s="245">
        <f>W14/规划指标!$G$5*规划指标!$I$5</f>
        <v>0</v>
      </c>
      <c r="X15" s="245">
        <f>X14/规划指标!$G$5*规划指标!$I$5</f>
        <v>0</v>
      </c>
      <c r="Y15" s="245">
        <f>Y14/规划指标!$G$5*规划指标!$I$5</f>
        <v>0</v>
      </c>
      <c r="Z15" s="245">
        <f>Z14/规划指标!$G$5*规划指标!$I$5</f>
        <v>0</v>
      </c>
      <c r="AA15" s="245">
        <f>AA14/规划指标!$G$5*规划指标!$I$5</f>
        <v>0</v>
      </c>
      <c r="AB15" s="245">
        <f>AB14/规划指标!$G$5*规划指标!$I$5</f>
        <v>0</v>
      </c>
      <c r="AC15" s="245">
        <f>AC14/规划指标!$G$5*规划指标!$I$5</f>
        <v>0</v>
      </c>
      <c r="AD15" s="245">
        <f>AD14/规划指标!$G$5*规划指标!$I$5</f>
        <v>0</v>
      </c>
      <c r="AE15" s="245">
        <f>AE14/规划指标!$G$5*规划指标!$I$5</f>
        <v>0</v>
      </c>
      <c r="AF15" s="245">
        <f>AF14/规划指标!$G$5*规划指标!$I$5</f>
        <v>0</v>
      </c>
      <c r="AG15" s="245">
        <f>AG14/规划指标!$G$5*规划指标!$I$5</f>
        <v>0</v>
      </c>
      <c r="AH15" s="245">
        <f>AH14/规划指标!$G$5*规划指标!$I$5</f>
        <v>0</v>
      </c>
      <c r="AI15" s="245">
        <f>AI14/规划指标!$G$5*规划指标!$I$5</f>
        <v>0</v>
      </c>
      <c r="AJ15" s="245">
        <f>AJ14/规划指标!$G$5*规划指标!$I$5</f>
        <v>0</v>
      </c>
      <c r="AK15" s="245">
        <f>AK14/规划指标!$G$5*规划指标!$I$5</f>
        <v>0</v>
      </c>
      <c r="AL15" s="245">
        <f>AL14/规划指标!$G$5*规划指标!$I$5</f>
        <v>0</v>
      </c>
      <c r="AM15" s="245">
        <f>AM14/规划指标!$G$5*规划指标!$I$5</f>
        <v>0</v>
      </c>
      <c r="AN15" s="245">
        <f>AN14/规划指标!$G$5*规划指标!$I$5</f>
        <v>0</v>
      </c>
      <c r="AO15" s="245">
        <f>AO14/规划指标!$G$5*规划指标!$I$5</f>
        <v>0</v>
      </c>
      <c r="AP15" s="245">
        <f>AP14/规划指标!$G$5*规划指标!$I$5</f>
        <v>0</v>
      </c>
      <c r="AQ15" s="245">
        <f>AQ14/规划指标!$G$5*规划指标!$I$5</f>
        <v>0</v>
      </c>
    </row>
    <row r="16" spans="1:46" s="213" customFormat="1" ht="18" customHeight="1" outlineLevel="2" x14ac:dyDescent="0.15">
      <c r="A16" s="216"/>
      <c r="B16" s="224" t="str">
        <f>$B$9</f>
        <v>销售均价</v>
      </c>
      <c r="C16" s="225">
        <f>ROUND(C13/C14*10000,0)</f>
        <v>28500</v>
      </c>
      <c r="D16" s="226">
        <f>ROUND(C18*D153,0)</f>
        <v>28500</v>
      </c>
      <c r="E16" s="226">
        <f>D16</f>
        <v>28500</v>
      </c>
      <c r="F16" s="226">
        <f t="shared" ref="F16:AQ16" si="4">E16</f>
        <v>28500</v>
      </c>
      <c r="G16" s="226">
        <f t="shared" si="4"/>
        <v>28500</v>
      </c>
      <c r="H16" s="226">
        <f t="shared" si="4"/>
        <v>28500</v>
      </c>
      <c r="I16" s="226">
        <f t="shared" si="4"/>
        <v>28500</v>
      </c>
      <c r="J16" s="226">
        <f t="shared" si="4"/>
        <v>28500</v>
      </c>
      <c r="K16" s="226">
        <f t="shared" si="4"/>
        <v>28500</v>
      </c>
      <c r="L16" s="226">
        <f t="shared" si="4"/>
        <v>28500</v>
      </c>
      <c r="M16" s="226">
        <f t="shared" si="4"/>
        <v>28500</v>
      </c>
      <c r="N16" s="226">
        <f t="shared" si="4"/>
        <v>28500</v>
      </c>
      <c r="O16" s="226">
        <f t="shared" si="4"/>
        <v>28500</v>
      </c>
      <c r="P16" s="226">
        <f t="shared" si="4"/>
        <v>28500</v>
      </c>
      <c r="Q16" s="226">
        <f t="shared" si="4"/>
        <v>28500</v>
      </c>
      <c r="R16" s="226">
        <f t="shared" si="4"/>
        <v>28500</v>
      </c>
      <c r="S16" s="226">
        <f t="shared" si="4"/>
        <v>28500</v>
      </c>
      <c r="T16" s="226">
        <f t="shared" si="4"/>
        <v>28500</v>
      </c>
      <c r="U16" s="226">
        <f t="shared" si="4"/>
        <v>28500</v>
      </c>
      <c r="V16" s="226">
        <f t="shared" si="4"/>
        <v>28500</v>
      </c>
      <c r="W16" s="226">
        <f t="shared" si="4"/>
        <v>28500</v>
      </c>
      <c r="X16" s="226">
        <f t="shared" ref="X16:AM16" si="5">W16</f>
        <v>28500</v>
      </c>
      <c r="Y16" s="226">
        <f t="shared" si="5"/>
        <v>28500</v>
      </c>
      <c r="Z16" s="226">
        <f t="shared" si="5"/>
        <v>28500</v>
      </c>
      <c r="AA16" s="226">
        <f t="shared" si="5"/>
        <v>28500</v>
      </c>
      <c r="AB16" s="226">
        <f t="shared" si="5"/>
        <v>28500</v>
      </c>
      <c r="AC16" s="226">
        <f t="shared" si="5"/>
        <v>28500</v>
      </c>
      <c r="AD16" s="226">
        <f t="shared" si="5"/>
        <v>28500</v>
      </c>
      <c r="AE16" s="226">
        <f t="shared" si="5"/>
        <v>28500</v>
      </c>
      <c r="AF16" s="226">
        <f t="shared" si="5"/>
        <v>28500</v>
      </c>
      <c r="AG16" s="226">
        <f t="shared" si="5"/>
        <v>28500</v>
      </c>
      <c r="AH16" s="226">
        <f t="shared" si="5"/>
        <v>28500</v>
      </c>
      <c r="AI16" s="226">
        <f t="shared" si="5"/>
        <v>28500</v>
      </c>
      <c r="AJ16" s="226">
        <f t="shared" si="5"/>
        <v>28500</v>
      </c>
      <c r="AK16" s="226">
        <f t="shared" si="5"/>
        <v>28500</v>
      </c>
      <c r="AL16" s="226">
        <f t="shared" si="5"/>
        <v>28500</v>
      </c>
      <c r="AM16" s="226">
        <f t="shared" si="5"/>
        <v>28500</v>
      </c>
      <c r="AN16" s="226">
        <f>W16</f>
        <v>28500</v>
      </c>
      <c r="AO16" s="226">
        <f t="shared" si="4"/>
        <v>28500</v>
      </c>
      <c r="AP16" s="226">
        <f t="shared" si="4"/>
        <v>28500</v>
      </c>
      <c r="AQ16" s="226">
        <f t="shared" si="4"/>
        <v>28500</v>
      </c>
      <c r="AS16" s="571"/>
      <c r="AT16" s="202"/>
    </row>
    <row r="17" spans="1:46" s="229" customFormat="1" ht="18" customHeight="1" outlineLevel="2" x14ac:dyDescent="0.15">
      <c r="A17" s="227"/>
      <c r="B17" s="224" t="str">
        <f>$B$10</f>
        <v>销售率</v>
      </c>
      <c r="C17" s="228">
        <f>SUM(D17:AQ17)</f>
        <v>1</v>
      </c>
      <c r="D17" s="234"/>
      <c r="E17" s="234"/>
      <c r="F17" s="234"/>
      <c r="G17" s="234">
        <v>0.15</v>
      </c>
      <c r="H17" s="234">
        <v>0.1</v>
      </c>
      <c r="I17" s="234">
        <v>0.2</v>
      </c>
      <c r="J17" s="234">
        <v>0.15</v>
      </c>
      <c r="K17" s="234">
        <v>0.1</v>
      </c>
      <c r="L17" s="234">
        <v>0.1</v>
      </c>
      <c r="M17" s="234">
        <v>0.08</v>
      </c>
      <c r="N17" s="234">
        <v>0.06</v>
      </c>
      <c r="O17" s="234">
        <v>0.06</v>
      </c>
      <c r="P17" s="234"/>
      <c r="Q17" s="234"/>
      <c r="R17" s="234"/>
      <c r="S17" s="234"/>
      <c r="T17" s="234"/>
      <c r="U17" s="234"/>
      <c r="V17" s="234"/>
      <c r="W17" s="234"/>
      <c r="X17" s="234"/>
      <c r="Y17" s="234"/>
      <c r="Z17" s="234"/>
      <c r="AA17" s="234"/>
      <c r="AB17" s="234"/>
      <c r="AC17" s="234"/>
      <c r="AD17" s="234"/>
      <c r="AE17" s="234"/>
      <c r="AF17" s="234"/>
      <c r="AG17" s="234"/>
      <c r="AH17" s="234"/>
      <c r="AI17" s="234"/>
      <c r="AJ17" s="234"/>
      <c r="AK17" s="234"/>
      <c r="AL17" s="234"/>
      <c r="AM17" s="234"/>
      <c r="AN17" s="234"/>
      <c r="AO17" s="234"/>
      <c r="AP17" s="234"/>
      <c r="AQ17" s="234"/>
    </row>
    <row r="18" spans="1:46" s="229" customFormat="1" ht="18" customHeight="1" outlineLevel="2" x14ac:dyDescent="0.15">
      <c r="A18" s="227"/>
      <c r="B18" s="224" t="s">
        <v>577</v>
      </c>
      <c r="C18" s="713">
        <v>28500</v>
      </c>
      <c r="D18" s="228"/>
      <c r="E18" s="228"/>
      <c r="F18" s="228"/>
      <c r="G18" s="228"/>
      <c r="H18" s="228"/>
      <c r="I18" s="228"/>
      <c r="J18" s="228"/>
      <c r="K18" s="228"/>
      <c r="L18" s="228"/>
      <c r="M18" s="228"/>
      <c r="N18" s="228"/>
      <c r="O18" s="228"/>
      <c r="P18" s="228"/>
      <c r="Q18" s="228"/>
      <c r="R18" s="228"/>
      <c r="S18" s="228"/>
      <c r="T18" s="228"/>
      <c r="U18" s="228"/>
      <c r="V18" s="228"/>
      <c r="W18" s="228"/>
      <c r="X18" s="228"/>
      <c r="Y18" s="228"/>
      <c r="Z18" s="228"/>
      <c r="AA18" s="228"/>
      <c r="AB18" s="228"/>
      <c r="AC18" s="228"/>
      <c r="AD18" s="228"/>
      <c r="AE18" s="228"/>
      <c r="AF18" s="228"/>
      <c r="AG18" s="228"/>
      <c r="AH18" s="228"/>
      <c r="AI18" s="228"/>
      <c r="AJ18" s="228"/>
      <c r="AK18" s="228"/>
      <c r="AL18" s="228"/>
      <c r="AM18" s="228"/>
      <c r="AN18" s="228"/>
      <c r="AO18" s="228"/>
      <c r="AP18" s="228"/>
      <c r="AQ18" s="228"/>
    </row>
    <row r="19" spans="1:46" s="213" customFormat="1" ht="18" customHeight="1" outlineLevel="2" x14ac:dyDescent="0.15">
      <c r="A19" s="216"/>
      <c r="B19" s="230"/>
      <c r="C19" s="228"/>
      <c r="D19" s="231"/>
      <c r="E19" s="231"/>
      <c r="F19" s="231"/>
      <c r="G19" s="231"/>
      <c r="H19" s="231"/>
      <c r="I19" s="231"/>
      <c r="J19" s="231"/>
      <c r="K19" s="231"/>
      <c r="L19" s="231"/>
      <c r="M19" s="231"/>
      <c r="N19" s="231"/>
      <c r="O19" s="231"/>
      <c r="P19" s="231"/>
      <c r="Q19" s="231"/>
      <c r="R19" s="231"/>
      <c r="S19" s="231"/>
      <c r="T19" s="231"/>
      <c r="U19" s="231"/>
      <c r="V19" s="231"/>
      <c r="W19" s="231"/>
      <c r="X19" s="231"/>
      <c r="Y19" s="231"/>
      <c r="Z19" s="231"/>
      <c r="AA19" s="231"/>
      <c r="AB19" s="231"/>
      <c r="AC19" s="231"/>
      <c r="AD19" s="231"/>
      <c r="AE19" s="231"/>
      <c r="AF19" s="231"/>
      <c r="AG19" s="231"/>
      <c r="AH19" s="231"/>
      <c r="AI19" s="231"/>
      <c r="AJ19" s="231"/>
      <c r="AK19" s="231"/>
      <c r="AL19" s="231"/>
      <c r="AM19" s="231"/>
      <c r="AN19" s="231"/>
      <c r="AO19" s="231"/>
      <c r="AP19" s="231"/>
      <c r="AQ19" s="231"/>
    </row>
    <row r="20" spans="1:46" s="213" customFormat="1" ht="18" customHeight="1" outlineLevel="1" x14ac:dyDescent="0.15">
      <c r="A20" s="216" t="s">
        <v>297</v>
      </c>
      <c r="B20" s="210" t="str">
        <f>规划指标!F6</f>
        <v>商业</v>
      </c>
      <c r="C20" s="217">
        <f>SUM(D20:AQ20)</f>
        <v>5402</v>
      </c>
      <c r="D20" s="201">
        <f>D23*D21/10000</f>
        <v>0</v>
      </c>
      <c r="E20" s="201">
        <f t="shared" ref="E20:AQ20" si="6">E23*E21/10000</f>
        <v>0</v>
      </c>
      <c r="F20" s="201">
        <f t="shared" si="6"/>
        <v>0</v>
      </c>
      <c r="G20" s="201">
        <f t="shared" si="6"/>
        <v>541</v>
      </c>
      <c r="H20" s="201">
        <f t="shared" si="6"/>
        <v>809</v>
      </c>
      <c r="I20" s="201">
        <f t="shared" si="6"/>
        <v>809</v>
      </c>
      <c r="J20" s="201">
        <f t="shared" si="6"/>
        <v>809</v>
      </c>
      <c r="K20" s="201">
        <f t="shared" si="6"/>
        <v>541</v>
      </c>
      <c r="L20" s="201">
        <f t="shared" si="6"/>
        <v>541</v>
      </c>
      <c r="M20" s="201">
        <f t="shared" si="6"/>
        <v>541</v>
      </c>
      <c r="N20" s="201">
        <f t="shared" si="6"/>
        <v>541</v>
      </c>
      <c r="O20" s="201">
        <f t="shared" si="6"/>
        <v>270</v>
      </c>
      <c r="P20" s="201">
        <f t="shared" si="6"/>
        <v>0</v>
      </c>
      <c r="Q20" s="201">
        <f t="shared" si="6"/>
        <v>0</v>
      </c>
      <c r="R20" s="201">
        <f t="shared" si="6"/>
        <v>0</v>
      </c>
      <c r="S20" s="201">
        <f t="shared" si="6"/>
        <v>0</v>
      </c>
      <c r="T20" s="201">
        <f t="shared" si="6"/>
        <v>0</v>
      </c>
      <c r="U20" s="201">
        <f t="shared" si="6"/>
        <v>0</v>
      </c>
      <c r="V20" s="201">
        <f t="shared" si="6"/>
        <v>0</v>
      </c>
      <c r="W20" s="201">
        <f t="shared" si="6"/>
        <v>0</v>
      </c>
      <c r="X20" s="201">
        <f t="shared" si="6"/>
        <v>0</v>
      </c>
      <c r="Y20" s="201">
        <f t="shared" si="6"/>
        <v>0</v>
      </c>
      <c r="Z20" s="201">
        <f t="shared" si="6"/>
        <v>0</v>
      </c>
      <c r="AA20" s="201">
        <f t="shared" si="6"/>
        <v>0</v>
      </c>
      <c r="AB20" s="201">
        <f t="shared" si="6"/>
        <v>0</v>
      </c>
      <c r="AC20" s="201">
        <f t="shared" si="6"/>
        <v>0</v>
      </c>
      <c r="AD20" s="201">
        <f t="shared" si="6"/>
        <v>0</v>
      </c>
      <c r="AE20" s="201">
        <f t="shared" si="6"/>
        <v>0</v>
      </c>
      <c r="AF20" s="201">
        <f t="shared" si="6"/>
        <v>0</v>
      </c>
      <c r="AG20" s="201">
        <f t="shared" si="6"/>
        <v>0</v>
      </c>
      <c r="AH20" s="201">
        <f t="shared" si="6"/>
        <v>0</v>
      </c>
      <c r="AI20" s="201">
        <f t="shared" si="6"/>
        <v>0</v>
      </c>
      <c r="AJ20" s="201">
        <f t="shared" si="6"/>
        <v>0</v>
      </c>
      <c r="AK20" s="201">
        <f t="shared" si="6"/>
        <v>0</v>
      </c>
      <c r="AL20" s="201">
        <f t="shared" si="6"/>
        <v>0</v>
      </c>
      <c r="AM20" s="201">
        <f t="shared" si="6"/>
        <v>0</v>
      </c>
      <c r="AN20" s="201">
        <f t="shared" si="6"/>
        <v>0</v>
      </c>
      <c r="AO20" s="201">
        <f t="shared" si="6"/>
        <v>0</v>
      </c>
      <c r="AP20" s="201">
        <f t="shared" si="6"/>
        <v>0</v>
      </c>
      <c r="AQ20" s="201">
        <f t="shared" si="6"/>
        <v>0</v>
      </c>
    </row>
    <row r="21" spans="1:46" s="213" customFormat="1" ht="18" customHeight="1" outlineLevel="2" x14ac:dyDescent="0.15">
      <c r="A21" s="216"/>
      <c r="B21" s="224" t="str">
        <f>$B$7</f>
        <v>销售数量</v>
      </c>
      <c r="C21" s="217">
        <f>SUM(D21:AQ21)</f>
        <v>2077</v>
      </c>
      <c r="D21" s="201">
        <f>D24*规划指标!$G$6</f>
        <v>0</v>
      </c>
      <c r="E21" s="201">
        <f>E24*规划指标!$G$6</f>
        <v>0</v>
      </c>
      <c r="F21" s="201">
        <f>F24*规划指标!$G$6</f>
        <v>0</v>
      </c>
      <c r="G21" s="201">
        <f>G24*规划指标!$G$6</f>
        <v>208</v>
      </c>
      <c r="H21" s="201">
        <f>H24*规划指标!$G$6</f>
        <v>311</v>
      </c>
      <c r="I21" s="201">
        <f>I24*规划指标!$G$6</f>
        <v>311</v>
      </c>
      <c r="J21" s="201">
        <f>J24*规划指标!$G$6</f>
        <v>311</v>
      </c>
      <c r="K21" s="201">
        <f>K24*规划指标!$G$6</f>
        <v>208</v>
      </c>
      <c r="L21" s="201">
        <f>L24*规划指标!$G$6</f>
        <v>208</v>
      </c>
      <c r="M21" s="201">
        <f>M24*规划指标!$G$6</f>
        <v>208</v>
      </c>
      <c r="N21" s="201">
        <f>N24*规划指标!$G$6</f>
        <v>208</v>
      </c>
      <c r="O21" s="201">
        <f>O24*规划指标!$G$6</f>
        <v>104</v>
      </c>
      <c r="P21" s="201">
        <f>P24*规划指标!$G$6</f>
        <v>0</v>
      </c>
      <c r="Q21" s="201">
        <f>Q24*规划指标!$G$6</f>
        <v>0</v>
      </c>
      <c r="R21" s="201">
        <f>R24*规划指标!$G$6</f>
        <v>0</v>
      </c>
      <c r="S21" s="201">
        <f>S24*规划指标!$G$6</f>
        <v>0</v>
      </c>
      <c r="T21" s="201">
        <f>T24*规划指标!$G$6</f>
        <v>0</v>
      </c>
      <c r="U21" s="201">
        <f>U24*规划指标!$G$6</f>
        <v>0</v>
      </c>
      <c r="V21" s="201">
        <f>V24*规划指标!$G$6</f>
        <v>0</v>
      </c>
      <c r="W21" s="201">
        <f>W24*规划指标!$G$6</f>
        <v>0</v>
      </c>
      <c r="X21" s="201">
        <f>X24*规划指标!$G$6</f>
        <v>0</v>
      </c>
      <c r="Y21" s="201">
        <f>Y24*规划指标!$G$6</f>
        <v>0</v>
      </c>
      <c r="Z21" s="201">
        <f>Z24*规划指标!$G$6</f>
        <v>0</v>
      </c>
      <c r="AA21" s="201">
        <f>AA24*规划指标!$G$6</f>
        <v>0</v>
      </c>
      <c r="AB21" s="201">
        <f>AB24*规划指标!$G$6</f>
        <v>0</v>
      </c>
      <c r="AC21" s="201">
        <f>AC24*规划指标!$G$6</f>
        <v>0</v>
      </c>
      <c r="AD21" s="201">
        <f>AD24*规划指标!$G$6</f>
        <v>0</v>
      </c>
      <c r="AE21" s="201">
        <f>AE24*规划指标!$G$6</f>
        <v>0</v>
      </c>
      <c r="AF21" s="201">
        <f>AF24*规划指标!$G$6</f>
        <v>0</v>
      </c>
      <c r="AG21" s="201">
        <f>AG24*规划指标!$G$6</f>
        <v>0</v>
      </c>
      <c r="AH21" s="201">
        <f>AH24*规划指标!$G$6</f>
        <v>0</v>
      </c>
      <c r="AI21" s="201">
        <f>AI24*规划指标!$G$6</f>
        <v>0</v>
      </c>
      <c r="AJ21" s="201">
        <f>AJ24*规划指标!$G$6</f>
        <v>0</v>
      </c>
      <c r="AK21" s="201">
        <f>AK24*规划指标!$G$6</f>
        <v>0</v>
      </c>
      <c r="AL21" s="201">
        <f>AL24*规划指标!$G$6</f>
        <v>0</v>
      </c>
      <c r="AM21" s="201">
        <f>AM24*规划指标!$G$6</f>
        <v>0</v>
      </c>
      <c r="AN21" s="201">
        <f>AN24*规划指标!$G$6</f>
        <v>0</v>
      </c>
      <c r="AO21" s="201">
        <f>AO24*规划指标!$G$6</f>
        <v>0</v>
      </c>
      <c r="AP21" s="201">
        <f>AP24*规划指标!$G$6</f>
        <v>0</v>
      </c>
      <c r="AQ21" s="201">
        <f>AQ24*规划指标!$G$6</f>
        <v>0</v>
      </c>
    </row>
    <row r="22" spans="1:46" s="213" customFormat="1" ht="18" customHeight="1" outlineLevel="2" x14ac:dyDescent="0.15">
      <c r="A22" s="216"/>
      <c r="B22" s="224" t="str">
        <f>B15</f>
        <v>销售套数</v>
      </c>
      <c r="C22" s="217">
        <f>SUM(D22:AQ22)</f>
        <v>0</v>
      </c>
      <c r="D22" s="201">
        <f>ROUND(D21/规划指标!$G$6*规划指标!$I$6,0)</f>
        <v>0</v>
      </c>
      <c r="E22" s="201">
        <f>ROUND(E21/规划指标!$G$6*规划指标!$I$6,0)</f>
        <v>0</v>
      </c>
      <c r="F22" s="201">
        <f>ROUND(F21/规划指标!$G$6*规划指标!$I$6,0)</f>
        <v>0</v>
      </c>
      <c r="G22" s="201">
        <f>ROUND(G21/规划指标!$G$6*规划指标!$I$6,0)</f>
        <v>0</v>
      </c>
      <c r="H22" s="201">
        <f>ROUND(H21/规划指标!$G$6*规划指标!$I$6,0)</f>
        <v>0</v>
      </c>
      <c r="I22" s="201">
        <f>ROUND(I21/规划指标!$G$6*规划指标!$I$6,0)</f>
        <v>0</v>
      </c>
      <c r="J22" s="201">
        <f>ROUND(J21/规划指标!$G$6*规划指标!$I$6,0)</f>
        <v>0</v>
      </c>
      <c r="K22" s="201">
        <f>ROUND(K21/规划指标!$G$6*规划指标!$I$6,0)</f>
        <v>0</v>
      </c>
      <c r="L22" s="201">
        <f>ROUND(L21/规划指标!$G$6*规划指标!$I$6,0)</f>
        <v>0</v>
      </c>
      <c r="M22" s="201">
        <f>ROUND(M21/规划指标!$G$6*规划指标!$I$6,0)</f>
        <v>0</v>
      </c>
      <c r="N22" s="201">
        <f>ROUND(N21/规划指标!$G$6*规划指标!$I$6,0)</f>
        <v>0</v>
      </c>
      <c r="O22" s="201">
        <f>ROUND(O21/规划指标!$G$6*规划指标!$I$6,0)</f>
        <v>0</v>
      </c>
      <c r="P22" s="201">
        <f>ROUND(P21/规划指标!$G$6*规划指标!$I$6,0)</f>
        <v>0</v>
      </c>
      <c r="Q22" s="201">
        <f>ROUND(Q21/规划指标!$G$6*规划指标!$I$6,0)</f>
        <v>0</v>
      </c>
      <c r="R22" s="201">
        <f>ROUND(R21/规划指标!$G$6*规划指标!$I$6,0)</f>
        <v>0</v>
      </c>
      <c r="S22" s="201">
        <f>ROUND(S21/规划指标!$G$6*规划指标!$I$6,0)</f>
        <v>0</v>
      </c>
      <c r="T22" s="201">
        <f>ROUND(T21/规划指标!$G$6*规划指标!$I$6,0)</f>
        <v>0</v>
      </c>
      <c r="U22" s="201">
        <f>ROUND(U21/规划指标!$G$6*规划指标!$I$6,0)</f>
        <v>0</v>
      </c>
      <c r="V22" s="201">
        <f>ROUND(V21/规划指标!$G$6*规划指标!$I$6,0)</f>
        <v>0</v>
      </c>
      <c r="W22" s="201">
        <f>ROUND(W21/规划指标!$G$6*规划指标!$I$6,0)</f>
        <v>0</v>
      </c>
      <c r="X22" s="201">
        <f>ROUND(X21/规划指标!$G$6*规划指标!$I$6,0)</f>
        <v>0</v>
      </c>
      <c r="Y22" s="201">
        <f>ROUND(Y21/规划指标!$G$6*规划指标!$I$6,0)</f>
        <v>0</v>
      </c>
      <c r="Z22" s="201">
        <f>ROUND(Z21/规划指标!$G$6*规划指标!$I$6,0)</f>
        <v>0</v>
      </c>
      <c r="AA22" s="201">
        <f>ROUND(AA21/规划指标!$G$6*规划指标!$I$6,0)</f>
        <v>0</v>
      </c>
      <c r="AB22" s="201">
        <f>ROUND(AB21/规划指标!$G$6*规划指标!$I$6,0)</f>
        <v>0</v>
      </c>
      <c r="AC22" s="201">
        <f>ROUND(AC21/规划指标!$G$6*规划指标!$I$6,0)</f>
        <v>0</v>
      </c>
      <c r="AD22" s="201">
        <f>ROUND(AD21/规划指标!$G$6*规划指标!$I$6,0)</f>
        <v>0</v>
      </c>
      <c r="AE22" s="201">
        <f>ROUND(AE21/规划指标!$G$6*规划指标!$I$6,0)</f>
        <v>0</v>
      </c>
      <c r="AF22" s="201">
        <f>ROUND(AF21/规划指标!$G$6*规划指标!$I$6,0)</f>
        <v>0</v>
      </c>
      <c r="AG22" s="201">
        <f>ROUND(AG21/规划指标!$G$6*规划指标!$I$6,0)</f>
        <v>0</v>
      </c>
      <c r="AH22" s="201">
        <f>ROUND(AH21/规划指标!$G$6*规划指标!$I$6,0)</f>
        <v>0</v>
      </c>
      <c r="AI22" s="201">
        <f>ROUND(AI21/规划指标!$G$6*规划指标!$I$6,0)</f>
        <v>0</v>
      </c>
      <c r="AJ22" s="201">
        <f>ROUND(AJ21/规划指标!$G$6*规划指标!$I$6,0)</f>
        <v>0</v>
      </c>
      <c r="AK22" s="201">
        <f>ROUND(AK21/规划指标!$G$6*规划指标!$I$6,0)</f>
        <v>0</v>
      </c>
      <c r="AL22" s="201">
        <f>ROUND(AL21/规划指标!$G$6*规划指标!$I$6,0)</f>
        <v>0</v>
      </c>
      <c r="AM22" s="201">
        <f>ROUND(AM21/规划指标!$G$6*规划指标!$I$6,0)</f>
        <v>0</v>
      </c>
      <c r="AN22" s="201">
        <f>ROUND(AN21/规划指标!$G$6*规划指标!$I$6,0)</f>
        <v>0</v>
      </c>
      <c r="AO22" s="201">
        <f>ROUND(AO21/规划指标!$G$6*规划指标!$I$6,0)</f>
        <v>0</v>
      </c>
      <c r="AP22" s="201">
        <f>ROUND(AP21/规划指标!$G$6*规划指标!$I$6,0)</f>
        <v>0</v>
      </c>
      <c r="AQ22" s="201">
        <f>ROUND(AQ21/规划指标!$G$6*规划指标!$I$6,0)</f>
        <v>0</v>
      </c>
    </row>
    <row r="23" spans="1:46" s="213" customFormat="1" ht="18" customHeight="1" outlineLevel="2" x14ac:dyDescent="0.15">
      <c r="A23" s="216"/>
      <c r="B23" s="224" t="str">
        <f>$B$9</f>
        <v>销售均价</v>
      </c>
      <c r="C23" s="225">
        <f>ROUND(C20/C21*10000,0)</f>
        <v>26009</v>
      </c>
      <c r="D23" s="226">
        <f>ROUND(C25*D154,0)</f>
        <v>26000</v>
      </c>
      <c r="E23" s="226">
        <f>D23</f>
        <v>26000</v>
      </c>
      <c r="F23" s="226">
        <f t="shared" ref="F23:AQ23" si="7">E23</f>
        <v>26000</v>
      </c>
      <c r="G23" s="226">
        <f t="shared" si="7"/>
        <v>26000</v>
      </c>
      <c r="H23" s="226">
        <f t="shared" si="7"/>
        <v>26000</v>
      </c>
      <c r="I23" s="226">
        <f t="shared" si="7"/>
        <v>26000</v>
      </c>
      <c r="J23" s="226">
        <f t="shared" si="7"/>
        <v>26000</v>
      </c>
      <c r="K23" s="226">
        <f t="shared" si="7"/>
        <v>26000</v>
      </c>
      <c r="L23" s="226">
        <f t="shared" si="7"/>
        <v>26000</v>
      </c>
      <c r="M23" s="226">
        <f t="shared" si="7"/>
        <v>26000</v>
      </c>
      <c r="N23" s="226">
        <f t="shared" si="7"/>
        <v>26000</v>
      </c>
      <c r="O23" s="226">
        <f t="shared" si="7"/>
        <v>26000</v>
      </c>
      <c r="P23" s="226">
        <f t="shared" si="7"/>
        <v>26000</v>
      </c>
      <c r="Q23" s="226">
        <f t="shared" si="7"/>
        <v>26000</v>
      </c>
      <c r="R23" s="226">
        <f t="shared" si="7"/>
        <v>26000</v>
      </c>
      <c r="S23" s="226">
        <f t="shared" si="7"/>
        <v>26000</v>
      </c>
      <c r="T23" s="226">
        <f t="shared" si="7"/>
        <v>26000</v>
      </c>
      <c r="U23" s="226">
        <f t="shared" si="7"/>
        <v>26000</v>
      </c>
      <c r="V23" s="226">
        <f t="shared" si="7"/>
        <v>26000</v>
      </c>
      <c r="W23" s="226">
        <f t="shared" si="7"/>
        <v>26000</v>
      </c>
      <c r="X23" s="226">
        <f t="shared" ref="X23:AM23" si="8">W23</f>
        <v>26000</v>
      </c>
      <c r="Y23" s="226">
        <f t="shared" si="8"/>
        <v>26000</v>
      </c>
      <c r="Z23" s="226">
        <f t="shared" si="8"/>
        <v>26000</v>
      </c>
      <c r="AA23" s="226">
        <f t="shared" si="8"/>
        <v>26000</v>
      </c>
      <c r="AB23" s="226">
        <f t="shared" si="8"/>
        <v>26000</v>
      </c>
      <c r="AC23" s="226">
        <f t="shared" si="8"/>
        <v>26000</v>
      </c>
      <c r="AD23" s="226">
        <f t="shared" si="8"/>
        <v>26000</v>
      </c>
      <c r="AE23" s="226">
        <f t="shared" si="8"/>
        <v>26000</v>
      </c>
      <c r="AF23" s="226">
        <f t="shared" si="8"/>
        <v>26000</v>
      </c>
      <c r="AG23" s="226">
        <f t="shared" si="8"/>
        <v>26000</v>
      </c>
      <c r="AH23" s="226">
        <f t="shared" si="8"/>
        <v>26000</v>
      </c>
      <c r="AI23" s="226">
        <f t="shared" si="8"/>
        <v>26000</v>
      </c>
      <c r="AJ23" s="226">
        <f t="shared" si="8"/>
        <v>26000</v>
      </c>
      <c r="AK23" s="226">
        <f t="shared" si="8"/>
        <v>26000</v>
      </c>
      <c r="AL23" s="226">
        <f t="shared" si="8"/>
        <v>26000</v>
      </c>
      <c r="AM23" s="226">
        <f t="shared" si="8"/>
        <v>26000</v>
      </c>
      <c r="AN23" s="226">
        <f>W23</f>
        <v>26000</v>
      </c>
      <c r="AO23" s="226">
        <f t="shared" si="7"/>
        <v>26000</v>
      </c>
      <c r="AP23" s="226">
        <f t="shared" si="7"/>
        <v>26000</v>
      </c>
      <c r="AQ23" s="226">
        <f t="shared" si="7"/>
        <v>26000</v>
      </c>
      <c r="AS23" s="571"/>
      <c r="AT23" s="202"/>
    </row>
    <row r="24" spans="1:46" s="229" customFormat="1" ht="18" customHeight="1" outlineLevel="2" x14ac:dyDescent="0.15">
      <c r="A24" s="227"/>
      <c r="B24" s="224" t="str">
        <f>$B$10</f>
        <v>销售率</v>
      </c>
      <c r="C24" s="228">
        <f>SUM(D24:AQ24)</f>
        <v>1</v>
      </c>
      <c r="D24" s="234"/>
      <c r="E24" s="234"/>
      <c r="F24" s="234"/>
      <c r="G24" s="234">
        <v>0.1</v>
      </c>
      <c r="H24" s="234">
        <v>0.15</v>
      </c>
      <c r="I24" s="234">
        <v>0.15</v>
      </c>
      <c r="J24" s="234">
        <v>0.15</v>
      </c>
      <c r="K24" s="234">
        <v>0.1</v>
      </c>
      <c r="L24" s="234">
        <v>0.1</v>
      </c>
      <c r="M24" s="234">
        <v>0.1</v>
      </c>
      <c r="N24" s="234">
        <v>0.1</v>
      </c>
      <c r="O24" s="234">
        <v>0.05</v>
      </c>
      <c r="P24" s="234"/>
      <c r="Q24" s="234">
        <f>Q10</f>
        <v>0</v>
      </c>
      <c r="R24" s="234">
        <f>R10</f>
        <v>0</v>
      </c>
      <c r="S24" s="234"/>
      <c r="T24" s="234"/>
      <c r="U24" s="234"/>
      <c r="V24" s="234"/>
      <c r="W24" s="234"/>
      <c r="X24" s="234"/>
      <c r="Y24" s="234"/>
      <c r="Z24" s="234"/>
      <c r="AA24" s="234"/>
      <c r="AB24" s="234"/>
      <c r="AC24" s="234"/>
      <c r="AD24" s="234"/>
      <c r="AE24" s="234"/>
      <c r="AF24" s="234"/>
      <c r="AG24" s="234"/>
      <c r="AH24" s="234"/>
      <c r="AI24" s="234"/>
      <c r="AJ24" s="234"/>
      <c r="AK24" s="234"/>
      <c r="AL24" s="234"/>
      <c r="AM24" s="234"/>
      <c r="AN24" s="234"/>
      <c r="AO24" s="234"/>
      <c r="AP24" s="234"/>
      <c r="AQ24" s="234"/>
    </row>
    <row r="25" spans="1:46" s="229" customFormat="1" ht="18" customHeight="1" outlineLevel="2" x14ac:dyDescent="0.15">
      <c r="A25" s="227"/>
      <c r="B25" s="224" t="s">
        <v>577</v>
      </c>
      <c r="C25" s="713">
        <v>26000</v>
      </c>
      <c r="D25" s="228"/>
      <c r="E25" s="228"/>
      <c r="F25" s="228"/>
      <c r="G25" s="228"/>
      <c r="H25" s="228"/>
      <c r="I25" s="228"/>
      <c r="J25" s="228"/>
      <c r="K25" s="228"/>
      <c r="L25" s="228"/>
      <c r="M25" s="228"/>
      <c r="N25" s="228"/>
      <c r="O25" s="228"/>
      <c r="P25" s="228"/>
      <c r="Q25" s="228"/>
      <c r="R25" s="228"/>
      <c r="S25" s="228"/>
      <c r="T25" s="228"/>
      <c r="U25" s="228"/>
      <c r="V25" s="228"/>
      <c r="W25" s="228"/>
      <c r="X25" s="228"/>
      <c r="Y25" s="228"/>
      <c r="Z25" s="228"/>
      <c r="AA25" s="228"/>
      <c r="AB25" s="228"/>
      <c r="AC25" s="228"/>
      <c r="AD25" s="228"/>
      <c r="AE25" s="228"/>
      <c r="AF25" s="228"/>
      <c r="AG25" s="228"/>
      <c r="AH25" s="228"/>
      <c r="AI25" s="228"/>
      <c r="AJ25" s="228"/>
      <c r="AK25" s="228"/>
      <c r="AL25" s="228"/>
      <c r="AM25" s="228"/>
      <c r="AN25" s="228"/>
      <c r="AO25" s="228"/>
      <c r="AP25" s="228"/>
      <c r="AQ25" s="228"/>
    </row>
    <row r="26" spans="1:46" s="213" customFormat="1" ht="18" customHeight="1" outlineLevel="2" x14ac:dyDescent="0.15">
      <c r="A26" s="216"/>
      <c r="B26" s="230"/>
      <c r="C26" s="228"/>
      <c r="D26" s="231"/>
      <c r="E26" s="231"/>
      <c r="F26" s="231"/>
      <c r="G26" s="231"/>
      <c r="H26" s="231"/>
      <c r="I26" s="231"/>
      <c r="J26" s="231"/>
      <c r="K26" s="231"/>
      <c r="L26" s="231"/>
      <c r="M26" s="231"/>
      <c r="N26" s="231"/>
      <c r="O26" s="231"/>
      <c r="P26" s="231"/>
      <c r="Q26" s="231"/>
      <c r="R26" s="231"/>
      <c r="S26" s="231"/>
      <c r="T26" s="231"/>
      <c r="U26" s="231"/>
      <c r="V26" s="231"/>
      <c r="W26" s="231"/>
      <c r="X26" s="231"/>
      <c r="Y26" s="231"/>
      <c r="Z26" s="231"/>
      <c r="AA26" s="231"/>
      <c r="AB26" s="231"/>
      <c r="AC26" s="231"/>
      <c r="AD26" s="231"/>
      <c r="AE26" s="231"/>
      <c r="AF26" s="231"/>
      <c r="AG26" s="231"/>
      <c r="AH26" s="231"/>
      <c r="AI26" s="231"/>
      <c r="AJ26" s="231"/>
      <c r="AK26" s="231"/>
      <c r="AL26" s="231"/>
      <c r="AM26" s="231"/>
      <c r="AN26" s="231"/>
      <c r="AO26" s="231"/>
      <c r="AP26" s="231"/>
      <c r="AQ26" s="231"/>
    </row>
    <row r="27" spans="1:46" s="213" customFormat="1" ht="18" customHeight="1" outlineLevel="1" x14ac:dyDescent="0.15">
      <c r="A27" s="216" t="s">
        <v>298</v>
      </c>
      <c r="B27" s="210" t="str">
        <f>规划指标!F20</f>
        <v>储藏室</v>
      </c>
      <c r="C27" s="217">
        <f>SUM(D27:AQ27)</f>
        <v>12276</v>
      </c>
      <c r="D27" s="201">
        <f>D30*D28/10000</f>
        <v>0</v>
      </c>
      <c r="E27" s="201">
        <f t="shared" ref="E27:AQ27" si="9">E30*E28/10000</f>
        <v>0</v>
      </c>
      <c r="F27" s="201">
        <f t="shared" si="9"/>
        <v>0</v>
      </c>
      <c r="G27" s="201">
        <f t="shared" si="9"/>
        <v>0</v>
      </c>
      <c r="H27" s="201">
        <f t="shared" si="9"/>
        <v>0</v>
      </c>
      <c r="I27" s="201">
        <f t="shared" si="9"/>
        <v>1228</v>
      </c>
      <c r="J27" s="201">
        <f t="shared" si="9"/>
        <v>1841</v>
      </c>
      <c r="K27" s="201">
        <f t="shared" si="9"/>
        <v>2455</v>
      </c>
      <c r="L27" s="201">
        <f t="shared" si="9"/>
        <v>1841</v>
      </c>
      <c r="M27" s="201">
        <f t="shared" si="9"/>
        <v>1841</v>
      </c>
      <c r="N27" s="201">
        <f t="shared" si="9"/>
        <v>1228</v>
      </c>
      <c r="O27" s="201">
        <f t="shared" si="9"/>
        <v>1228</v>
      </c>
      <c r="P27" s="201">
        <f t="shared" si="9"/>
        <v>614</v>
      </c>
      <c r="Q27" s="201">
        <f t="shared" si="9"/>
        <v>0</v>
      </c>
      <c r="R27" s="201">
        <f t="shared" si="9"/>
        <v>0</v>
      </c>
      <c r="S27" s="201">
        <f t="shared" si="9"/>
        <v>0</v>
      </c>
      <c r="T27" s="201">
        <f t="shared" si="9"/>
        <v>0</v>
      </c>
      <c r="U27" s="201">
        <f t="shared" si="9"/>
        <v>0</v>
      </c>
      <c r="V27" s="201">
        <f t="shared" si="9"/>
        <v>0</v>
      </c>
      <c r="W27" s="201">
        <f t="shared" si="9"/>
        <v>0</v>
      </c>
      <c r="X27" s="201">
        <f t="shared" si="9"/>
        <v>0</v>
      </c>
      <c r="Y27" s="201">
        <f t="shared" si="9"/>
        <v>0</v>
      </c>
      <c r="Z27" s="201">
        <f t="shared" si="9"/>
        <v>0</v>
      </c>
      <c r="AA27" s="201">
        <f t="shared" si="9"/>
        <v>0</v>
      </c>
      <c r="AB27" s="201">
        <f t="shared" si="9"/>
        <v>0</v>
      </c>
      <c r="AC27" s="201">
        <f t="shared" si="9"/>
        <v>0</v>
      </c>
      <c r="AD27" s="201">
        <f t="shared" si="9"/>
        <v>0</v>
      </c>
      <c r="AE27" s="201">
        <f t="shared" si="9"/>
        <v>0</v>
      </c>
      <c r="AF27" s="201">
        <f t="shared" si="9"/>
        <v>0</v>
      </c>
      <c r="AG27" s="201">
        <f t="shared" si="9"/>
        <v>0</v>
      </c>
      <c r="AH27" s="201">
        <f t="shared" si="9"/>
        <v>0</v>
      </c>
      <c r="AI27" s="201">
        <f t="shared" si="9"/>
        <v>0</v>
      </c>
      <c r="AJ27" s="201">
        <f t="shared" si="9"/>
        <v>0</v>
      </c>
      <c r="AK27" s="201">
        <f t="shared" si="9"/>
        <v>0</v>
      </c>
      <c r="AL27" s="201">
        <f t="shared" si="9"/>
        <v>0</v>
      </c>
      <c r="AM27" s="201">
        <f t="shared" si="9"/>
        <v>0</v>
      </c>
      <c r="AN27" s="201">
        <f t="shared" si="9"/>
        <v>0</v>
      </c>
      <c r="AO27" s="201">
        <f t="shared" si="9"/>
        <v>0</v>
      </c>
      <c r="AP27" s="201">
        <f t="shared" si="9"/>
        <v>0</v>
      </c>
      <c r="AQ27" s="201">
        <f t="shared" si="9"/>
        <v>0</v>
      </c>
    </row>
    <row r="28" spans="1:46" s="213" customFormat="1" ht="18" customHeight="1" outlineLevel="2" x14ac:dyDescent="0.15">
      <c r="A28" s="216"/>
      <c r="B28" s="224" t="str">
        <f>$B$7</f>
        <v>销售数量</v>
      </c>
      <c r="C28" s="217">
        <f>SUM(D28:AQ28)</f>
        <v>20456</v>
      </c>
      <c r="D28" s="201">
        <f>D31*规划指标!$G$20</f>
        <v>0</v>
      </c>
      <c r="E28" s="201">
        <f>E31*规划指标!$G$20</f>
        <v>0</v>
      </c>
      <c r="F28" s="201">
        <f>F31*规划指标!$G$20</f>
        <v>0</v>
      </c>
      <c r="G28" s="201">
        <f>G31*规划指标!$G$20</f>
        <v>0</v>
      </c>
      <c r="H28" s="201">
        <f>H31*规划指标!$G$20</f>
        <v>0</v>
      </c>
      <c r="I28" s="201">
        <f>I31*规划指标!$G$20</f>
        <v>2046</v>
      </c>
      <c r="J28" s="201">
        <f>J31*规划指标!$G$20</f>
        <v>3068</v>
      </c>
      <c r="K28" s="201">
        <f>K31*规划指标!$G$20</f>
        <v>4091</v>
      </c>
      <c r="L28" s="201">
        <f>L31*规划指标!$G$20</f>
        <v>3068</v>
      </c>
      <c r="M28" s="201">
        <f>M31*规划指标!$G$20</f>
        <v>3068</v>
      </c>
      <c r="N28" s="201">
        <f>N31*规划指标!$G$20</f>
        <v>2046</v>
      </c>
      <c r="O28" s="201">
        <f>O31*规划指标!$G$20</f>
        <v>2046</v>
      </c>
      <c r="P28" s="201">
        <f>P31*规划指标!$G$20</f>
        <v>1023</v>
      </c>
      <c r="Q28" s="201">
        <f>Q31*规划指标!$G$20</f>
        <v>0</v>
      </c>
      <c r="R28" s="201">
        <f>R31*规划指标!$G$20</f>
        <v>0</v>
      </c>
      <c r="S28" s="201">
        <f>S31*规划指标!$G$20</f>
        <v>0</v>
      </c>
      <c r="T28" s="201">
        <f>T31*规划指标!$G$20</f>
        <v>0</v>
      </c>
      <c r="U28" s="201">
        <f>U31*规划指标!$G$20</f>
        <v>0</v>
      </c>
      <c r="V28" s="201">
        <f>V31*规划指标!$G$20</f>
        <v>0</v>
      </c>
      <c r="W28" s="201">
        <f>W31*规划指标!$G$20</f>
        <v>0</v>
      </c>
      <c r="X28" s="201">
        <f>X31*规划指标!$G$20</f>
        <v>0</v>
      </c>
      <c r="Y28" s="201">
        <f>Y31*规划指标!$G$20</f>
        <v>0</v>
      </c>
      <c r="Z28" s="201">
        <f>Z31*规划指标!$G$20</f>
        <v>0</v>
      </c>
      <c r="AA28" s="201">
        <f>AA31*规划指标!$G$20</f>
        <v>0</v>
      </c>
      <c r="AB28" s="201">
        <f>AB31*规划指标!$G$20</f>
        <v>0</v>
      </c>
      <c r="AC28" s="201">
        <f>AC31*规划指标!$G$20</f>
        <v>0</v>
      </c>
      <c r="AD28" s="201">
        <f>AD31*规划指标!$G$20</f>
        <v>0</v>
      </c>
      <c r="AE28" s="201">
        <f>AE31*规划指标!$G$20</f>
        <v>0</v>
      </c>
      <c r="AF28" s="201">
        <f>AF31*规划指标!$G$20</f>
        <v>0</v>
      </c>
      <c r="AG28" s="201">
        <f>AG31*规划指标!$G$20</f>
        <v>0</v>
      </c>
      <c r="AH28" s="201">
        <f>AH31*规划指标!$G$20</f>
        <v>0</v>
      </c>
      <c r="AI28" s="201">
        <f>AI31*规划指标!$G$20</f>
        <v>0</v>
      </c>
      <c r="AJ28" s="201">
        <f>AJ31*规划指标!$G$20</f>
        <v>0</v>
      </c>
      <c r="AK28" s="201">
        <f>AK31*规划指标!$G$20</f>
        <v>0</v>
      </c>
      <c r="AL28" s="201">
        <f>AL31*规划指标!$G$20</f>
        <v>0</v>
      </c>
      <c r="AM28" s="201">
        <f>AM31*规划指标!$G$20</f>
        <v>0</v>
      </c>
      <c r="AN28" s="201">
        <f>AN31*规划指标!$G$20</f>
        <v>0</v>
      </c>
      <c r="AO28" s="201">
        <f>AO31*规划指标!$G$20</f>
        <v>0</v>
      </c>
      <c r="AP28" s="201">
        <f>AP31*规划指标!$G$20</f>
        <v>0</v>
      </c>
      <c r="AQ28" s="201">
        <f>AQ31*规划指标!$G$20</f>
        <v>0</v>
      </c>
    </row>
    <row r="29" spans="1:46" s="213" customFormat="1" ht="18" customHeight="1" outlineLevel="2" x14ac:dyDescent="0.15">
      <c r="A29" s="216"/>
      <c r="B29" s="224" t="str">
        <f>B22</f>
        <v>销售套数</v>
      </c>
      <c r="C29" s="217">
        <f>SUM(D29:AQ29)</f>
        <v>0</v>
      </c>
      <c r="D29" s="201">
        <f>ROUND(D28/规划指标!$G$7*规划指标!$I$7,0)</f>
        <v>0</v>
      </c>
      <c r="E29" s="201">
        <f>ROUND(E28/规划指标!$G$7*规划指标!$I$7,0)</f>
        <v>0</v>
      </c>
      <c r="F29" s="201">
        <f>ROUND(F28/规划指标!$G$7*规划指标!$I$7,0)</f>
        <v>0</v>
      </c>
      <c r="G29" s="201">
        <f>ROUND(G28/规划指标!$G$7*规划指标!$I$7,0)</f>
        <v>0</v>
      </c>
      <c r="H29" s="201">
        <f>ROUND(H28/规划指标!$G$7*规划指标!$I$7,0)</f>
        <v>0</v>
      </c>
      <c r="I29" s="201">
        <f>ROUND(I28/规划指标!$G$7*规划指标!$I$7,0)</f>
        <v>0</v>
      </c>
      <c r="J29" s="201">
        <f>ROUND(J28/规划指标!$G$7*规划指标!$I$7,0)</f>
        <v>0</v>
      </c>
      <c r="K29" s="201">
        <f>ROUND(K28/规划指标!$G$7*规划指标!$I$7,0)</f>
        <v>0</v>
      </c>
      <c r="L29" s="201">
        <f>ROUND(L28/规划指标!$G$7*规划指标!$I$7,0)</f>
        <v>0</v>
      </c>
      <c r="M29" s="201">
        <f>ROUND(M28/规划指标!$G$7*规划指标!$I$7,0)</f>
        <v>0</v>
      </c>
      <c r="N29" s="201">
        <f>ROUND(N28/规划指标!$G$7*规划指标!$I$7,0)</f>
        <v>0</v>
      </c>
      <c r="O29" s="201">
        <f>ROUND(O28/规划指标!$G$7*规划指标!$I$7,0)</f>
        <v>0</v>
      </c>
      <c r="P29" s="201">
        <f>ROUND(P28/规划指标!$G$7*规划指标!$I$7,0)</f>
        <v>0</v>
      </c>
      <c r="Q29" s="201">
        <f>ROUND(Q28/规划指标!$G$7*规划指标!$I$7,0)</f>
        <v>0</v>
      </c>
      <c r="R29" s="201">
        <f>ROUND(R28/规划指标!$G$7*规划指标!$I$7,0)</f>
        <v>0</v>
      </c>
      <c r="S29" s="201">
        <f>ROUND(S28/规划指标!$G$7*规划指标!$I$7,0)</f>
        <v>0</v>
      </c>
      <c r="T29" s="201">
        <f>ROUND(T28/规划指标!$G$7*规划指标!$I$7,0)</f>
        <v>0</v>
      </c>
      <c r="U29" s="201">
        <f>ROUND(U28/规划指标!$G$7*规划指标!$I$7,0)</f>
        <v>0</v>
      </c>
      <c r="V29" s="201">
        <f>ROUND(V28/规划指标!$G$7*规划指标!$I$7,0)</f>
        <v>0</v>
      </c>
      <c r="W29" s="201">
        <f>ROUND(W28/规划指标!$G$7*规划指标!$I$7,0)</f>
        <v>0</v>
      </c>
      <c r="X29" s="201">
        <f>ROUND(X28/规划指标!$G$7*规划指标!$I$7,0)</f>
        <v>0</v>
      </c>
      <c r="Y29" s="201">
        <f>ROUND(Y28/规划指标!$G$7*规划指标!$I$7,0)</f>
        <v>0</v>
      </c>
      <c r="Z29" s="201">
        <f>ROUND(Z28/规划指标!$G$7*规划指标!$I$7,0)</f>
        <v>0</v>
      </c>
      <c r="AA29" s="201">
        <f>ROUND(AA28/规划指标!$G$7*规划指标!$I$7,0)</f>
        <v>0</v>
      </c>
      <c r="AB29" s="201">
        <f>ROUND(AB28/规划指标!$G$7*规划指标!$I$7,0)</f>
        <v>0</v>
      </c>
      <c r="AC29" s="201">
        <f>ROUND(AC28/规划指标!$G$7*规划指标!$I$7,0)</f>
        <v>0</v>
      </c>
      <c r="AD29" s="201">
        <f>ROUND(AD28/规划指标!$G$7*规划指标!$I$7,0)</f>
        <v>0</v>
      </c>
      <c r="AE29" s="201">
        <f>ROUND(AE28/规划指标!$G$7*规划指标!$I$7,0)</f>
        <v>0</v>
      </c>
      <c r="AF29" s="201">
        <f>ROUND(AF28/规划指标!$G$7*规划指标!$I$7,0)</f>
        <v>0</v>
      </c>
      <c r="AG29" s="201">
        <f>ROUND(AG28/规划指标!$G$7*规划指标!$I$7,0)</f>
        <v>0</v>
      </c>
      <c r="AH29" s="201">
        <f>ROUND(AH28/规划指标!$G$7*规划指标!$I$7,0)</f>
        <v>0</v>
      </c>
      <c r="AI29" s="201">
        <f>ROUND(AI28/规划指标!$G$7*规划指标!$I$7,0)</f>
        <v>0</v>
      </c>
      <c r="AJ29" s="201">
        <f>ROUND(AJ28/规划指标!$G$7*规划指标!$I$7,0)</f>
        <v>0</v>
      </c>
      <c r="AK29" s="201">
        <f>ROUND(AK28/规划指标!$G$7*规划指标!$I$7,0)</f>
        <v>0</v>
      </c>
      <c r="AL29" s="201">
        <f>ROUND(AL28/规划指标!$G$7*规划指标!$I$7,0)</f>
        <v>0</v>
      </c>
      <c r="AM29" s="201">
        <f>ROUND(AM28/规划指标!$G$7*规划指标!$I$7,0)</f>
        <v>0</v>
      </c>
      <c r="AN29" s="201">
        <f>ROUND(AN28/规划指标!$G$7*规划指标!$I$7,0)</f>
        <v>0</v>
      </c>
      <c r="AO29" s="201">
        <f>ROUND(AO28/规划指标!$G$7*规划指标!$I$7,0)</f>
        <v>0</v>
      </c>
      <c r="AP29" s="201">
        <f>ROUND(AP28/规划指标!$G$7*规划指标!$I$7,0)</f>
        <v>0</v>
      </c>
      <c r="AQ29" s="201">
        <f>ROUND(AQ28/规划指标!$G$7*规划指标!$I$7,0)</f>
        <v>0</v>
      </c>
    </row>
    <row r="30" spans="1:46" s="213" customFormat="1" ht="18" customHeight="1" outlineLevel="2" x14ac:dyDescent="0.15">
      <c r="A30" s="216"/>
      <c r="B30" s="224" t="str">
        <f>$B$9</f>
        <v>销售均价</v>
      </c>
      <c r="C30" s="225">
        <f>ROUND(C27/C28*10000,0)</f>
        <v>6001</v>
      </c>
      <c r="D30" s="226">
        <f>ROUND(C32*D155,0)</f>
        <v>6000</v>
      </c>
      <c r="E30" s="226">
        <f>D30</f>
        <v>6000</v>
      </c>
      <c r="F30" s="226">
        <f t="shared" ref="F30:AQ30" si="10">E30</f>
        <v>6000</v>
      </c>
      <c r="G30" s="226">
        <f t="shared" si="10"/>
        <v>6000</v>
      </c>
      <c r="H30" s="226">
        <f t="shared" si="10"/>
        <v>6000</v>
      </c>
      <c r="I30" s="226">
        <f t="shared" si="10"/>
        <v>6000</v>
      </c>
      <c r="J30" s="226">
        <f t="shared" si="10"/>
        <v>6000</v>
      </c>
      <c r="K30" s="226">
        <f t="shared" si="10"/>
        <v>6000</v>
      </c>
      <c r="L30" s="226">
        <f t="shared" si="10"/>
        <v>6000</v>
      </c>
      <c r="M30" s="226">
        <f t="shared" si="10"/>
        <v>6000</v>
      </c>
      <c r="N30" s="226">
        <f t="shared" si="10"/>
        <v>6000</v>
      </c>
      <c r="O30" s="226">
        <f t="shared" si="10"/>
        <v>6000</v>
      </c>
      <c r="P30" s="226">
        <f t="shared" si="10"/>
        <v>6000</v>
      </c>
      <c r="Q30" s="226">
        <f t="shared" si="10"/>
        <v>6000</v>
      </c>
      <c r="R30" s="226">
        <f t="shared" si="10"/>
        <v>6000</v>
      </c>
      <c r="S30" s="226">
        <f t="shared" si="10"/>
        <v>6000</v>
      </c>
      <c r="T30" s="226">
        <f t="shared" si="10"/>
        <v>6000</v>
      </c>
      <c r="U30" s="226">
        <f t="shared" si="10"/>
        <v>6000</v>
      </c>
      <c r="V30" s="226">
        <f t="shared" si="10"/>
        <v>6000</v>
      </c>
      <c r="W30" s="226">
        <f t="shared" si="10"/>
        <v>6000</v>
      </c>
      <c r="X30" s="226">
        <f t="shared" ref="X30:AM30" si="11">W30</f>
        <v>6000</v>
      </c>
      <c r="Y30" s="226">
        <f t="shared" si="11"/>
        <v>6000</v>
      </c>
      <c r="Z30" s="226">
        <f t="shared" si="11"/>
        <v>6000</v>
      </c>
      <c r="AA30" s="226">
        <f t="shared" si="11"/>
        <v>6000</v>
      </c>
      <c r="AB30" s="226">
        <f t="shared" si="11"/>
        <v>6000</v>
      </c>
      <c r="AC30" s="226">
        <f t="shared" si="11"/>
        <v>6000</v>
      </c>
      <c r="AD30" s="226">
        <f t="shared" si="11"/>
        <v>6000</v>
      </c>
      <c r="AE30" s="226">
        <f t="shared" si="11"/>
        <v>6000</v>
      </c>
      <c r="AF30" s="226">
        <f t="shared" si="11"/>
        <v>6000</v>
      </c>
      <c r="AG30" s="226">
        <f t="shared" si="11"/>
        <v>6000</v>
      </c>
      <c r="AH30" s="226">
        <f t="shared" si="11"/>
        <v>6000</v>
      </c>
      <c r="AI30" s="226">
        <f t="shared" si="11"/>
        <v>6000</v>
      </c>
      <c r="AJ30" s="226">
        <f t="shared" si="11"/>
        <v>6000</v>
      </c>
      <c r="AK30" s="226">
        <f t="shared" si="11"/>
        <v>6000</v>
      </c>
      <c r="AL30" s="226">
        <f t="shared" si="11"/>
        <v>6000</v>
      </c>
      <c r="AM30" s="226">
        <f t="shared" si="11"/>
        <v>6000</v>
      </c>
      <c r="AN30" s="226">
        <f>W30</f>
        <v>6000</v>
      </c>
      <c r="AO30" s="226">
        <f t="shared" si="10"/>
        <v>6000</v>
      </c>
      <c r="AP30" s="226">
        <f t="shared" si="10"/>
        <v>6000</v>
      </c>
      <c r="AQ30" s="226">
        <f t="shared" si="10"/>
        <v>6000</v>
      </c>
      <c r="AS30" s="571"/>
      <c r="AT30" s="202"/>
    </row>
    <row r="31" spans="1:46" s="229" customFormat="1" ht="18" customHeight="1" outlineLevel="2" x14ac:dyDescent="0.15">
      <c r="A31" s="227"/>
      <c r="B31" s="224" t="str">
        <f>$B$10</f>
        <v>销售率</v>
      </c>
      <c r="C31" s="228">
        <f>SUM(D31:AQ31)</f>
        <v>1</v>
      </c>
      <c r="D31" s="234"/>
      <c r="E31" s="234"/>
      <c r="F31" s="234"/>
      <c r="G31" s="234"/>
      <c r="H31" s="234"/>
      <c r="I31" s="234">
        <v>0.1</v>
      </c>
      <c r="J31" s="234">
        <v>0.15</v>
      </c>
      <c r="K31" s="234">
        <v>0.2</v>
      </c>
      <c r="L31" s="234">
        <v>0.15</v>
      </c>
      <c r="M31" s="234">
        <v>0.15</v>
      </c>
      <c r="N31" s="234">
        <v>0.1</v>
      </c>
      <c r="O31" s="234">
        <v>0.1</v>
      </c>
      <c r="P31" s="234">
        <v>0.05</v>
      </c>
      <c r="Q31" s="234">
        <f>Q24</f>
        <v>0</v>
      </c>
      <c r="R31" s="234">
        <f>R24</f>
        <v>0</v>
      </c>
      <c r="S31" s="234"/>
      <c r="T31" s="234"/>
      <c r="U31" s="234"/>
      <c r="V31" s="234"/>
      <c r="W31" s="234"/>
      <c r="X31" s="234"/>
      <c r="Y31" s="234"/>
      <c r="Z31" s="234"/>
      <c r="AA31" s="234"/>
      <c r="AB31" s="234"/>
      <c r="AC31" s="234"/>
      <c r="AD31" s="234"/>
      <c r="AE31" s="234"/>
      <c r="AF31" s="234"/>
      <c r="AG31" s="234"/>
      <c r="AH31" s="234"/>
      <c r="AI31" s="234"/>
      <c r="AJ31" s="234"/>
      <c r="AK31" s="234"/>
      <c r="AL31" s="234"/>
      <c r="AM31" s="234"/>
      <c r="AN31" s="234"/>
      <c r="AO31" s="234"/>
      <c r="AP31" s="234"/>
      <c r="AQ31" s="234"/>
    </row>
    <row r="32" spans="1:46" s="229" customFormat="1" ht="18" customHeight="1" outlineLevel="2" x14ac:dyDescent="0.15">
      <c r="A32" s="227"/>
      <c r="B32" s="224" t="s">
        <v>577</v>
      </c>
      <c r="C32" s="713">
        <v>6000</v>
      </c>
      <c r="D32" s="228"/>
      <c r="E32" s="228"/>
      <c r="F32" s="228"/>
      <c r="G32" s="228"/>
      <c r="H32" s="228"/>
      <c r="I32" s="228"/>
      <c r="J32" s="228"/>
      <c r="K32" s="228"/>
      <c r="L32" s="228"/>
      <c r="M32" s="228"/>
      <c r="N32" s="228"/>
      <c r="O32" s="228"/>
      <c r="P32" s="228"/>
      <c r="Q32" s="228"/>
      <c r="R32" s="228"/>
      <c r="S32" s="228"/>
      <c r="T32" s="228"/>
      <c r="U32" s="228"/>
      <c r="V32" s="228"/>
      <c r="W32" s="228"/>
      <c r="X32" s="228"/>
      <c r="Y32" s="228"/>
      <c r="Z32" s="228"/>
      <c r="AA32" s="228"/>
      <c r="AB32" s="228"/>
      <c r="AC32" s="228"/>
      <c r="AD32" s="228"/>
      <c r="AE32" s="228"/>
      <c r="AF32" s="228"/>
      <c r="AG32" s="228"/>
      <c r="AH32" s="228"/>
      <c r="AI32" s="228"/>
      <c r="AJ32" s="228"/>
      <c r="AK32" s="228"/>
      <c r="AL32" s="228"/>
      <c r="AM32" s="228"/>
      <c r="AN32" s="228"/>
      <c r="AO32" s="228"/>
      <c r="AP32" s="228"/>
      <c r="AQ32" s="228"/>
    </row>
    <row r="33" spans="1:46" s="213" customFormat="1" ht="18" customHeight="1" outlineLevel="2" x14ac:dyDescent="0.15">
      <c r="A33" s="216"/>
      <c r="B33" s="230"/>
      <c r="C33" s="228"/>
      <c r="D33" s="231"/>
      <c r="E33" s="231"/>
      <c r="F33" s="231"/>
      <c r="G33" s="231"/>
      <c r="H33" s="231"/>
      <c r="I33" s="231"/>
      <c r="J33" s="231"/>
      <c r="K33" s="231"/>
      <c r="L33" s="231"/>
      <c r="M33" s="231"/>
      <c r="N33" s="231"/>
      <c r="O33" s="231"/>
      <c r="P33" s="231"/>
      <c r="Q33" s="231"/>
      <c r="R33" s="231"/>
      <c r="S33" s="231"/>
      <c r="T33" s="231"/>
      <c r="U33" s="231"/>
      <c r="V33" s="231"/>
      <c r="W33" s="231"/>
      <c r="X33" s="231"/>
      <c r="Y33" s="231"/>
      <c r="Z33" s="231"/>
      <c r="AA33" s="231"/>
      <c r="AB33" s="231"/>
      <c r="AC33" s="231"/>
      <c r="AD33" s="231"/>
      <c r="AE33" s="231"/>
      <c r="AF33" s="231"/>
      <c r="AG33" s="231"/>
      <c r="AH33" s="231"/>
      <c r="AI33" s="231"/>
      <c r="AJ33" s="231"/>
      <c r="AK33" s="231"/>
      <c r="AL33" s="231"/>
      <c r="AM33" s="231"/>
      <c r="AN33" s="231"/>
      <c r="AO33" s="231"/>
      <c r="AP33" s="231"/>
      <c r="AQ33" s="231"/>
    </row>
    <row r="34" spans="1:46" s="213" customFormat="1" ht="18" customHeight="1" outlineLevel="1" x14ac:dyDescent="0.15">
      <c r="A34" s="216" t="s">
        <v>299</v>
      </c>
      <c r="B34" s="210" t="str">
        <f>规划指标!F21</f>
        <v>非人防地下车库</v>
      </c>
      <c r="C34" s="217">
        <f>SUM(D34:AQ34)</f>
        <v>20940</v>
      </c>
      <c r="D34" s="201">
        <f>ROUND(D37*D36/10000,0)</f>
        <v>0</v>
      </c>
      <c r="E34" s="201">
        <f t="shared" ref="E34:AQ34" si="12">ROUND(E37*E36/10000,0)</f>
        <v>0</v>
      </c>
      <c r="F34" s="201">
        <f t="shared" si="12"/>
        <v>0</v>
      </c>
      <c r="G34" s="201">
        <f t="shared" si="12"/>
        <v>0</v>
      </c>
      <c r="H34" s="201">
        <f t="shared" si="12"/>
        <v>0</v>
      </c>
      <c r="I34" s="201">
        <f t="shared" si="12"/>
        <v>2100</v>
      </c>
      <c r="J34" s="201">
        <f t="shared" si="12"/>
        <v>3135</v>
      </c>
      <c r="K34" s="201">
        <f t="shared" si="12"/>
        <v>4185</v>
      </c>
      <c r="L34" s="201">
        <f t="shared" si="12"/>
        <v>3135</v>
      </c>
      <c r="M34" s="201">
        <f t="shared" si="12"/>
        <v>3135</v>
      </c>
      <c r="N34" s="201">
        <f t="shared" si="12"/>
        <v>2100</v>
      </c>
      <c r="O34" s="201">
        <f t="shared" si="12"/>
        <v>2100</v>
      </c>
      <c r="P34" s="201">
        <f t="shared" si="12"/>
        <v>1050</v>
      </c>
      <c r="Q34" s="201">
        <f t="shared" si="12"/>
        <v>0</v>
      </c>
      <c r="R34" s="201">
        <f t="shared" si="12"/>
        <v>0</v>
      </c>
      <c r="S34" s="201">
        <f t="shared" si="12"/>
        <v>0</v>
      </c>
      <c r="T34" s="201">
        <f t="shared" si="12"/>
        <v>0</v>
      </c>
      <c r="U34" s="201">
        <f t="shared" si="12"/>
        <v>0</v>
      </c>
      <c r="V34" s="201">
        <f t="shared" si="12"/>
        <v>0</v>
      </c>
      <c r="W34" s="201">
        <f t="shared" si="12"/>
        <v>0</v>
      </c>
      <c r="X34" s="201">
        <f t="shared" si="12"/>
        <v>0</v>
      </c>
      <c r="Y34" s="201">
        <f t="shared" si="12"/>
        <v>0</v>
      </c>
      <c r="Z34" s="201">
        <f t="shared" si="12"/>
        <v>0</v>
      </c>
      <c r="AA34" s="201">
        <f t="shared" si="12"/>
        <v>0</v>
      </c>
      <c r="AB34" s="201">
        <f t="shared" si="12"/>
        <v>0</v>
      </c>
      <c r="AC34" s="201">
        <f t="shared" si="12"/>
        <v>0</v>
      </c>
      <c r="AD34" s="201">
        <f t="shared" si="12"/>
        <v>0</v>
      </c>
      <c r="AE34" s="201">
        <f t="shared" si="12"/>
        <v>0</v>
      </c>
      <c r="AF34" s="201">
        <f t="shared" si="12"/>
        <v>0</v>
      </c>
      <c r="AG34" s="201">
        <f t="shared" si="12"/>
        <v>0</v>
      </c>
      <c r="AH34" s="201">
        <f t="shared" si="12"/>
        <v>0</v>
      </c>
      <c r="AI34" s="201">
        <f t="shared" si="12"/>
        <v>0</v>
      </c>
      <c r="AJ34" s="201">
        <f t="shared" si="12"/>
        <v>0</v>
      </c>
      <c r="AK34" s="201">
        <f t="shared" si="12"/>
        <v>0</v>
      </c>
      <c r="AL34" s="201">
        <f t="shared" si="12"/>
        <v>0</v>
      </c>
      <c r="AM34" s="201">
        <f t="shared" si="12"/>
        <v>0</v>
      </c>
      <c r="AN34" s="201">
        <f t="shared" si="12"/>
        <v>0</v>
      </c>
      <c r="AO34" s="201">
        <f t="shared" si="12"/>
        <v>0</v>
      </c>
      <c r="AP34" s="201">
        <f t="shared" si="12"/>
        <v>0</v>
      </c>
      <c r="AQ34" s="201">
        <f t="shared" si="12"/>
        <v>0</v>
      </c>
    </row>
    <row r="35" spans="1:46" s="213" customFormat="1" ht="18" customHeight="1" outlineLevel="2" x14ac:dyDescent="0.15">
      <c r="A35" s="216"/>
      <c r="B35" s="224" t="str">
        <f>$B$7</f>
        <v>销售数量</v>
      </c>
      <c r="C35" s="217">
        <f>SUM(D35:AQ35)</f>
        <v>55840</v>
      </c>
      <c r="D35" s="201">
        <f>D38*规划指标!$G$21</f>
        <v>0</v>
      </c>
      <c r="E35" s="201">
        <f>E38*规划指标!$G$21</f>
        <v>0</v>
      </c>
      <c r="F35" s="201">
        <f>F38*规划指标!$G$21</f>
        <v>0</v>
      </c>
      <c r="G35" s="201">
        <f>G38*规划指标!$G$21</f>
        <v>0</v>
      </c>
      <c r="H35" s="201">
        <f>H38*规划指标!$G$21</f>
        <v>0</v>
      </c>
      <c r="I35" s="201">
        <f>I38*规划指标!$G$21</f>
        <v>5584</v>
      </c>
      <c r="J35" s="201">
        <f>J38*规划指标!$G$21</f>
        <v>8376</v>
      </c>
      <c r="K35" s="201">
        <f>K38*规划指标!$G$21</f>
        <v>11168</v>
      </c>
      <c r="L35" s="201">
        <f>L38*规划指标!$G$21</f>
        <v>8376</v>
      </c>
      <c r="M35" s="201">
        <f>M38*规划指标!$G$21</f>
        <v>8376</v>
      </c>
      <c r="N35" s="201">
        <f>N38*规划指标!$G$21</f>
        <v>5584</v>
      </c>
      <c r="O35" s="201">
        <f>O38*规划指标!$G$21</f>
        <v>5584</v>
      </c>
      <c r="P35" s="201">
        <f>P38*规划指标!$G$21</f>
        <v>2792</v>
      </c>
      <c r="Q35" s="201">
        <f>Q38*规划指标!$G$21</f>
        <v>0</v>
      </c>
      <c r="R35" s="201">
        <f>R38*规划指标!$G$21</f>
        <v>0</v>
      </c>
      <c r="S35" s="201">
        <f>S38*规划指标!$G$21</f>
        <v>0</v>
      </c>
      <c r="T35" s="201">
        <f>T38*规划指标!$G$21</f>
        <v>0</v>
      </c>
      <c r="U35" s="201">
        <f>U38*规划指标!$G$21</f>
        <v>0</v>
      </c>
      <c r="V35" s="201">
        <f>V38*规划指标!$G$21</f>
        <v>0</v>
      </c>
      <c r="W35" s="201">
        <f>W38*规划指标!$G$21</f>
        <v>0</v>
      </c>
      <c r="X35" s="201">
        <f>X38*规划指标!$G$21</f>
        <v>0</v>
      </c>
      <c r="Y35" s="201">
        <f>Y38*规划指标!$G$21</f>
        <v>0</v>
      </c>
      <c r="Z35" s="201">
        <f>Z38*规划指标!$G$21</f>
        <v>0</v>
      </c>
      <c r="AA35" s="201">
        <f>AA38*规划指标!$G$21</f>
        <v>0</v>
      </c>
      <c r="AB35" s="201">
        <f>AB38*规划指标!$G$21</f>
        <v>0</v>
      </c>
      <c r="AC35" s="201">
        <f>AC38*规划指标!$G$21</f>
        <v>0</v>
      </c>
      <c r="AD35" s="201">
        <f>AD38*规划指标!$G$21</f>
        <v>0</v>
      </c>
      <c r="AE35" s="201">
        <f>AE38*规划指标!$G$21</f>
        <v>0</v>
      </c>
      <c r="AF35" s="201">
        <f>AF38*规划指标!$G$21</f>
        <v>0</v>
      </c>
      <c r="AG35" s="201">
        <f>AG38*规划指标!$G$21</f>
        <v>0</v>
      </c>
      <c r="AH35" s="201">
        <f>AH38*规划指标!$G$21</f>
        <v>0</v>
      </c>
      <c r="AI35" s="201">
        <f>AI38*规划指标!$G$21</f>
        <v>0</v>
      </c>
      <c r="AJ35" s="201">
        <f>AJ38*规划指标!$G$21</f>
        <v>0</v>
      </c>
      <c r="AK35" s="201">
        <f>AK38*规划指标!$G$21</f>
        <v>0</v>
      </c>
      <c r="AL35" s="201">
        <f>AL38*规划指标!$G$21</f>
        <v>0</v>
      </c>
      <c r="AM35" s="201">
        <f>AM38*规划指标!$G$21</f>
        <v>0</v>
      </c>
      <c r="AN35" s="201">
        <f>AN38*规划指标!$G$21</f>
        <v>0</v>
      </c>
      <c r="AO35" s="201">
        <f>AO38*规划指标!$G$21</f>
        <v>0</v>
      </c>
      <c r="AP35" s="201">
        <f>AP38*规划指标!$G$21</f>
        <v>0</v>
      </c>
      <c r="AQ35" s="201">
        <f>AQ38*规划指标!$G$21</f>
        <v>0</v>
      </c>
    </row>
    <row r="36" spans="1:46" s="213" customFormat="1" ht="18" customHeight="1" outlineLevel="2" x14ac:dyDescent="0.15">
      <c r="A36" s="216"/>
      <c r="B36" s="224" t="str">
        <f>B29</f>
        <v>销售套数</v>
      </c>
      <c r="C36" s="217">
        <f>SUM(D36:AQ36)</f>
        <v>1396</v>
      </c>
      <c r="D36" s="245">
        <f>ROUND(D35/规划指标!$G$21*规划指标!$I$21,0)</f>
        <v>0</v>
      </c>
      <c r="E36" s="245">
        <f>ROUND(E35/规划指标!$G$21*规划指标!$I$21,0)</f>
        <v>0</v>
      </c>
      <c r="F36" s="245">
        <f>ROUND(F35/规划指标!$G$21*规划指标!$I$21,0)</f>
        <v>0</v>
      </c>
      <c r="G36" s="245">
        <f>ROUND(G35/规划指标!$G$21*规划指标!$I$21,0)</f>
        <v>0</v>
      </c>
      <c r="H36" s="245">
        <f>ROUND(H35/规划指标!$G$21*规划指标!$I$21,0)</f>
        <v>0</v>
      </c>
      <c r="I36" s="245">
        <f>ROUND(I35/规划指标!$G$21*规划指标!$I$21,0)</f>
        <v>140</v>
      </c>
      <c r="J36" s="245">
        <f>ROUND(J35/规划指标!$G$21*规划指标!$I$21,0)</f>
        <v>209</v>
      </c>
      <c r="K36" s="245">
        <f>ROUND(K35/规划指标!$G$21*规划指标!$I$21,0)</f>
        <v>279</v>
      </c>
      <c r="L36" s="245">
        <f>ROUND(L35/规划指标!$G$21*规划指标!$I$21,0)</f>
        <v>209</v>
      </c>
      <c r="M36" s="245">
        <f>ROUND(M35/规划指标!$G$21*规划指标!$I$21,0)</f>
        <v>209</v>
      </c>
      <c r="N36" s="245">
        <f>ROUND(N35/规划指标!$G$21*规划指标!$I$21,0)</f>
        <v>140</v>
      </c>
      <c r="O36" s="245">
        <f>ROUND(O35/规划指标!$G$21*规划指标!$I$21,0)</f>
        <v>140</v>
      </c>
      <c r="P36" s="245">
        <f>ROUND(P35/规划指标!$G$21*规划指标!$I$21,0)</f>
        <v>70</v>
      </c>
      <c r="Q36" s="245">
        <f>ROUND(Q35/规划指标!$G$21*规划指标!$I$21,0)</f>
        <v>0</v>
      </c>
      <c r="R36" s="245">
        <f>ROUND(R35/规划指标!$G$21*规划指标!$I$21,0)</f>
        <v>0</v>
      </c>
      <c r="S36" s="245">
        <f>ROUND(S35/规划指标!$G$21*规划指标!$I$21,0)</f>
        <v>0</v>
      </c>
      <c r="T36" s="245">
        <f>ROUND(T35/规划指标!$G$21*规划指标!$I$21,0)</f>
        <v>0</v>
      </c>
      <c r="U36" s="245">
        <f>ROUND(U35/规划指标!$G$21*规划指标!$I$21,0)</f>
        <v>0</v>
      </c>
      <c r="V36" s="245">
        <f>ROUND(V35/规划指标!$G$21*规划指标!$I$21,0)</f>
        <v>0</v>
      </c>
      <c r="W36" s="245">
        <f>ROUND(W35/规划指标!$G$21*规划指标!$I$21,0)</f>
        <v>0</v>
      </c>
      <c r="X36" s="245">
        <f>ROUND(X35/规划指标!$G$21*规划指标!$I$21,0)</f>
        <v>0</v>
      </c>
      <c r="Y36" s="245">
        <f>ROUND(Y35/规划指标!$G$21*规划指标!$I$21,0)</f>
        <v>0</v>
      </c>
      <c r="Z36" s="245">
        <f>ROUND(Z35/规划指标!$G$21*规划指标!$I$21,0)</f>
        <v>0</v>
      </c>
      <c r="AA36" s="245">
        <f>ROUND(AA35/规划指标!$G$21*规划指标!$I$21,0)</f>
        <v>0</v>
      </c>
      <c r="AB36" s="245">
        <f>ROUND(AB35/规划指标!$G$21*规划指标!$I$21,0)</f>
        <v>0</v>
      </c>
      <c r="AC36" s="245">
        <f>ROUND(AC35/规划指标!$G$21*规划指标!$I$21,0)</f>
        <v>0</v>
      </c>
      <c r="AD36" s="245">
        <f>ROUND(AD35/规划指标!$G$21*规划指标!$I$21,0)</f>
        <v>0</v>
      </c>
      <c r="AE36" s="245">
        <f>ROUND(AE35/规划指标!$G$21*规划指标!$I$21,0)</f>
        <v>0</v>
      </c>
      <c r="AF36" s="245">
        <f>ROUND(AF35/规划指标!$G$21*规划指标!$I$21,0)</f>
        <v>0</v>
      </c>
      <c r="AG36" s="245">
        <f>ROUND(AG35/规划指标!$G$21*规划指标!$I$21,0)</f>
        <v>0</v>
      </c>
      <c r="AH36" s="245">
        <f>ROUND(AH35/规划指标!$G$21*规划指标!$I$21,0)</f>
        <v>0</v>
      </c>
      <c r="AI36" s="245">
        <f>ROUND(AI35/规划指标!$G$21*规划指标!$I$21,0)</f>
        <v>0</v>
      </c>
      <c r="AJ36" s="245">
        <f>ROUND(AJ35/规划指标!$G$21*规划指标!$I$21,0)</f>
        <v>0</v>
      </c>
      <c r="AK36" s="245">
        <f>ROUND(AK35/规划指标!$G$21*规划指标!$I$21,0)</f>
        <v>0</v>
      </c>
      <c r="AL36" s="245">
        <f>ROUND(AL35/规划指标!$G$21*规划指标!$I$21,0)</f>
        <v>0</v>
      </c>
      <c r="AM36" s="245">
        <f>ROUND(AM35/规划指标!$G$21*规划指标!$I$21,0)</f>
        <v>0</v>
      </c>
      <c r="AN36" s="245">
        <f>ROUND(AN35/规划指标!$G$21*规划指标!$I$21,0)</f>
        <v>0</v>
      </c>
      <c r="AO36" s="245">
        <f>ROUND(AO35/规划指标!$G$21*规划指标!$I$21,0)</f>
        <v>0</v>
      </c>
      <c r="AP36" s="245">
        <f>ROUND(AP35/规划指标!$G$21*规划指标!$I$21,0)</f>
        <v>0</v>
      </c>
      <c r="AQ36" s="245">
        <f>ROUND(AQ35/规划指标!$G$21*规划指标!$I$21,0)</f>
        <v>0</v>
      </c>
    </row>
    <row r="37" spans="1:46" s="213" customFormat="1" ht="18" customHeight="1" outlineLevel="2" x14ac:dyDescent="0.15">
      <c r="A37" s="216"/>
      <c r="B37" s="224" t="str">
        <f>$B$9</f>
        <v>销售均价</v>
      </c>
      <c r="C37" s="225">
        <f>ROUND(C34/C35*10000,0)</f>
        <v>3750</v>
      </c>
      <c r="D37" s="226">
        <f>ROUND(C39*D156,0)</f>
        <v>150000</v>
      </c>
      <c r="E37" s="226">
        <f>D37</f>
        <v>150000</v>
      </c>
      <c r="F37" s="226">
        <f t="shared" ref="F37:AQ37" si="13">E37</f>
        <v>150000</v>
      </c>
      <c r="G37" s="226">
        <f t="shared" si="13"/>
        <v>150000</v>
      </c>
      <c r="H37" s="226">
        <f t="shared" si="13"/>
        <v>150000</v>
      </c>
      <c r="I37" s="226">
        <f t="shared" si="13"/>
        <v>150000</v>
      </c>
      <c r="J37" s="226">
        <f t="shared" si="13"/>
        <v>150000</v>
      </c>
      <c r="K37" s="226">
        <f t="shared" si="13"/>
        <v>150000</v>
      </c>
      <c r="L37" s="226">
        <f t="shared" si="13"/>
        <v>150000</v>
      </c>
      <c r="M37" s="226">
        <f t="shared" si="13"/>
        <v>150000</v>
      </c>
      <c r="N37" s="226">
        <f t="shared" si="13"/>
        <v>150000</v>
      </c>
      <c r="O37" s="226">
        <f t="shared" si="13"/>
        <v>150000</v>
      </c>
      <c r="P37" s="226">
        <f t="shared" si="13"/>
        <v>150000</v>
      </c>
      <c r="Q37" s="226">
        <f t="shared" si="13"/>
        <v>150000</v>
      </c>
      <c r="R37" s="226">
        <f t="shared" si="13"/>
        <v>150000</v>
      </c>
      <c r="S37" s="226">
        <f t="shared" si="13"/>
        <v>150000</v>
      </c>
      <c r="T37" s="226">
        <f t="shared" si="13"/>
        <v>150000</v>
      </c>
      <c r="U37" s="226">
        <f t="shared" si="13"/>
        <v>150000</v>
      </c>
      <c r="V37" s="226">
        <f t="shared" si="13"/>
        <v>150000</v>
      </c>
      <c r="W37" s="226">
        <f t="shared" si="13"/>
        <v>150000</v>
      </c>
      <c r="X37" s="226">
        <f t="shared" ref="X37:AM37" si="14">W37</f>
        <v>150000</v>
      </c>
      <c r="Y37" s="226">
        <f t="shared" si="14"/>
        <v>150000</v>
      </c>
      <c r="Z37" s="226">
        <f t="shared" si="14"/>
        <v>150000</v>
      </c>
      <c r="AA37" s="226">
        <f t="shared" si="14"/>
        <v>150000</v>
      </c>
      <c r="AB37" s="226">
        <f t="shared" si="14"/>
        <v>150000</v>
      </c>
      <c r="AC37" s="226">
        <f t="shared" si="14"/>
        <v>150000</v>
      </c>
      <c r="AD37" s="226">
        <f t="shared" si="14"/>
        <v>150000</v>
      </c>
      <c r="AE37" s="226">
        <f t="shared" si="14"/>
        <v>150000</v>
      </c>
      <c r="AF37" s="226">
        <f t="shared" si="14"/>
        <v>150000</v>
      </c>
      <c r="AG37" s="226">
        <f t="shared" si="14"/>
        <v>150000</v>
      </c>
      <c r="AH37" s="226">
        <f t="shared" si="14"/>
        <v>150000</v>
      </c>
      <c r="AI37" s="226">
        <f t="shared" si="14"/>
        <v>150000</v>
      </c>
      <c r="AJ37" s="226">
        <f t="shared" si="14"/>
        <v>150000</v>
      </c>
      <c r="AK37" s="226">
        <f t="shared" si="14"/>
        <v>150000</v>
      </c>
      <c r="AL37" s="226">
        <f t="shared" si="14"/>
        <v>150000</v>
      </c>
      <c r="AM37" s="226">
        <f t="shared" si="14"/>
        <v>150000</v>
      </c>
      <c r="AN37" s="226">
        <f>W37</f>
        <v>150000</v>
      </c>
      <c r="AO37" s="226">
        <f t="shared" si="13"/>
        <v>150000</v>
      </c>
      <c r="AP37" s="226">
        <f t="shared" si="13"/>
        <v>150000</v>
      </c>
      <c r="AQ37" s="226">
        <f t="shared" si="13"/>
        <v>150000</v>
      </c>
      <c r="AS37" s="571"/>
      <c r="AT37" s="202"/>
    </row>
    <row r="38" spans="1:46" s="229" customFormat="1" ht="18" customHeight="1" outlineLevel="2" x14ac:dyDescent="0.15">
      <c r="A38" s="227"/>
      <c r="B38" s="224" t="str">
        <f>$B$10</f>
        <v>销售率</v>
      </c>
      <c r="C38" s="228">
        <f>SUM(D38:AQ38)</f>
        <v>1</v>
      </c>
      <c r="D38" s="234"/>
      <c r="E38" s="234"/>
      <c r="F38" s="234"/>
      <c r="G38" s="234"/>
      <c r="H38" s="234"/>
      <c r="I38" s="234">
        <v>0.1</v>
      </c>
      <c r="J38" s="234">
        <v>0.15</v>
      </c>
      <c r="K38" s="234">
        <v>0.2</v>
      </c>
      <c r="L38" s="234">
        <v>0.15</v>
      </c>
      <c r="M38" s="234">
        <v>0.15</v>
      </c>
      <c r="N38" s="234">
        <v>0.1</v>
      </c>
      <c r="O38" s="234">
        <v>0.1</v>
      </c>
      <c r="P38" s="234">
        <v>0.05</v>
      </c>
      <c r="Q38" s="234"/>
      <c r="R38" s="234"/>
      <c r="S38" s="234"/>
      <c r="T38" s="234"/>
      <c r="U38" s="234"/>
      <c r="V38" s="234"/>
      <c r="W38" s="234"/>
      <c r="X38" s="234"/>
      <c r="Y38" s="234"/>
      <c r="Z38" s="234"/>
      <c r="AA38" s="234"/>
      <c r="AB38" s="234"/>
      <c r="AC38" s="234"/>
      <c r="AD38" s="234"/>
      <c r="AE38" s="234"/>
      <c r="AF38" s="234"/>
      <c r="AG38" s="234"/>
      <c r="AH38" s="234"/>
      <c r="AI38" s="234"/>
      <c r="AJ38" s="234"/>
      <c r="AK38" s="234"/>
      <c r="AL38" s="234"/>
      <c r="AM38" s="234"/>
      <c r="AN38" s="234"/>
      <c r="AO38" s="234"/>
      <c r="AP38" s="234"/>
      <c r="AQ38" s="234"/>
    </row>
    <row r="39" spans="1:46" s="229" customFormat="1" ht="18" customHeight="1" outlineLevel="2" x14ac:dyDescent="0.15">
      <c r="A39" s="227"/>
      <c r="B39" s="224" t="s">
        <v>577</v>
      </c>
      <c r="C39" s="713">
        <v>150000</v>
      </c>
      <c r="D39" s="228"/>
      <c r="E39" s="228"/>
      <c r="F39" s="228"/>
      <c r="G39" s="228"/>
      <c r="H39" s="228"/>
      <c r="I39" s="228"/>
      <c r="J39" s="228"/>
      <c r="K39" s="228"/>
      <c r="L39" s="228"/>
      <c r="M39" s="228"/>
      <c r="N39" s="228"/>
      <c r="O39" s="228"/>
      <c r="P39" s="228"/>
      <c r="Q39" s="228"/>
      <c r="R39" s="228"/>
      <c r="S39" s="228"/>
      <c r="T39" s="228"/>
      <c r="U39" s="228"/>
      <c r="V39" s="228"/>
      <c r="W39" s="228"/>
      <c r="X39" s="228"/>
      <c r="Y39" s="228"/>
      <c r="Z39" s="228"/>
      <c r="AA39" s="228"/>
      <c r="AB39" s="228"/>
      <c r="AC39" s="228"/>
      <c r="AD39" s="228"/>
      <c r="AE39" s="228"/>
      <c r="AF39" s="228"/>
      <c r="AG39" s="228"/>
      <c r="AH39" s="228"/>
      <c r="AI39" s="228"/>
      <c r="AJ39" s="228"/>
      <c r="AK39" s="228"/>
      <c r="AL39" s="228"/>
      <c r="AM39" s="228"/>
      <c r="AN39" s="228"/>
      <c r="AO39" s="228"/>
      <c r="AP39" s="228"/>
      <c r="AQ39" s="228"/>
    </row>
    <row r="40" spans="1:46" s="213" customFormat="1" ht="18" customHeight="1" outlineLevel="2" x14ac:dyDescent="0.15">
      <c r="A40" s="216"/>
      <c r="B40" s="230"/>
      <c r="C40" s="228"/>
      <c r="D40" s="231"/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  <c r="P40" s="231"/>
      <c r="Q40" s="231"/>
      <c r="R40" s="231"/>
      <c r="S40" s="231"/>
      <c r="T40" s="231"/>
      <c r="U40" s="231"/>
      <c r="V40" s="231"/>
      <c r="W40" s="231"/>
      <c r="X40" s="231"/>
      <c r="Y40" s="231"/>
      <c r="Z40" s="231"/>
      <c r="AA40" s="231"/>
      <c r="AB40" s="231"/>
      <c r="AC40" s="231"/>
      <c r="AD40" s="231"/>
      <c r="AE40" s="231"/>
      <c r="AF40" s="231"/>
      <c r="AG40" s="231"/>
      <c r="AH40" s="231"/>
      <c r="AI40" s="231"/>
      <c r="AJ40" s="231"/>
      <c r="AK40" s="231"/>
      <c r="AL40" s="231"/>
      <c r="AM40" s="231"/>
      <c r="AN40" s="231"/>
      <c r="AO40" s="231"/>
      <c r="AP40" s="231"/>
      <c r="AQ40" s="231"/>
    </row>
    <row r="41" spans="1:46" s="213" customFormat="1" ht="18" hidden="1" customHeight="1" outlineLevel="1" x14ac:dyDescent="0.15">
      <c r="A41" s="216" t="s">
        <v>300</v>
      </c>
      <c r="B41" s="210">
        <f>规划指标!F9</f>
        <v>0</v>
      </c>
      <c r="C41" s="217">
        <f>SUM(D41:AQ41)</f>
        <v>0</v>
      </c>
      <c r="D41" s="201">
        <f>ROUND(D44*D42/10000,0)</f>
        <v>0</v>
      </c>
      <c r="E41" s="201">
        <f t="shared" ref="E41:AQ41" si="15">ROUND(E44*E42/10000,0)</f>
        <v>0</v>
      </c>
      <c r="F41" s="201">
        <f t="shared" si="15"/>
        <v>0</v>
      </c>
      <c r="G41" s="201">
        <f t="shared" si="15"/>
        <v>0</v>
      </c>
      <c r="H41" s="201">
        <f t="shared" si="15"/>
        <v>0</v>
      </c>
      <c r="I41" s="201">
        <f t="shared" si="15"/>
        <v>0</v>
      </c>
      <c r="J41" s="201">
        <f t="shared" si="15"/>
        <v>0</v>
      </c>
      <c r="K41" s="201">
        <f t="shared" si="15"/>
        <v>0</v>
      </c>
      <c r="L41" s="201">
        <f t="shared" si="15"/>
        <v>0</v>
      </c>
      <c r="M41" s="201">
        <f t="shared" si="15"/>
        <v>0</v>
      </c>
      <c r="N41" s="201">
        <f t="shared" si="15"/>
        <v>0</v>
      </c>
      <c r="O41" s="201">
        <f t="shared" si="15"/>
        <v>0</v>
      </c>
      <c r="P41" s="201">
        <f t="shared" si="15"/>
        <v>0</v>
      </c>
      <c r="Q41" s="201">
        <f t="shared" si="15"/>
        <v>0</v>
      </c>
      <c r="R41" s="201">
        <f t="shared" si="15"/>
        <v>0</v>
      </c>
      <c r="S41" s="201">
        <f t="shared" si="15"/>
        <v>0</v>
      </c>
      <c r="T41" s="201">
        <f t="shared" si="15"/>
        <v>0</v>
      </c>
      <c r="U41" s="201">
        <f t="shared" si="15"/>
        <v>0</v>
      </c>
      <c r="V41" s="201">
        <f t="shared" si="15"/>
        <v>0</v>
      </c>
      <c r="W41" s="201">
        <f t="shared" si="15"/>
        <v>0</v>
      </c>
      <c r="X41" s="201">
        <f t="shared" si="15"/>
        <v>0</v>
      </c>
      <c r="Y41" s="201">
        <f t="shared" si="15"/>
        <v>0</v>
      </c>
      <c r="Z41" s="201">
        <f t="shared" si="15"/>
        <v>0</v>
      </c>
      <c r="AA41" s="201">
        <f t="shared" si="15"/>
        <v>0</v>
      </c>
      <c r="AB41" s="201">
        <f t="shared" si="15"/>
        <v>0</v>
      </c>
      <c r="AC41" s="201">
        <f t="shared" si="15"/>
        <v>0</v>
      </c>
      <c r="AD41" s="201">
        <f t="shared" si="15"/>
        <v>0</v>
      </c>
      <c r="AE41" s="201">
        <f t="shared" si="15"/>
        <v>0</v>
      </c>
      <c r="AF41" s="201">
        <f t="shared" si="15"/>
        <v>0</v>
      </c>
      <c r="AG41" s="201">
        <f t="shared" si="15"/>
        <v>0</v>
      </c>
      <c r="AH41" s="201">
        <f t="shared" si="15"/>
        <v>0</v>
      </c>
      <c r="AI41" s="201">
        <f t="shared" si="15"/>
        <v>0</v>
      </c>
      <c r="AJ41" s="201">
        <f t="shared" si="15"/>
        <v>0</v>
      </c>
      <c r="AK41" s="201">
        <f t="shared" si="15"/>
        <v>0</v>
      </c>
      <c r="AL41" s="201">
        <f t="shared" si="15"/>
        <v>0</v>
      </c>
      <c r="AM41" s="201">
        <f t="shared" si="15"/>
        <v>0</v>
      </c>
      <c r="AN41" s="201">
        <f t="shared" si="15"/>
        <v>0</v>
      </c>
      <c r="AO41" s="201">
        <f t="shared" si="15"/>
        <v>0</v>
      </c>
      <c r="AP41" s="201">
        <f t="shared" si="15"/>
        <v>0</v>
      </c>
      <c r="AQ41" s="201">
        <f t="shared" si="15"/>
        <v>0</v>
      </c>
    </row>
    <row r="42" spans="1:46" s="213" customFormat="1" ht="18" hidden="1" customHeight="1" outlineLevel="2" x14ac:dyDescent="0.15">
      <c r="A42" s="216"/>
      <c r="B42" s="224" t="str">
        <f>$B$7</f>
        <v>销售数量</v>
      </c>
      <c r="C42" s="217">
        <f>SUM(D42:AQ42)</f>
        <v>0</v>
      </c>
      <c r="D42" s="201">
        <f>D45*规划指标!$G$9</f>
        <v>0</v>
      </c>
      <c r="E42" s="201">
        <f>E45*规划指标!$G$9</f>
        <v>0</v>
      </c>
      <c r="F42" s="201">
        <f>F45*规划指标!$G$9</f>
        <v>0</v>
      </c>
      <c r="G42" s="201">
        <f>G45*规划指标!$G$9</f>
        <v>0</v>
      </c>
      <c r="H42" s="201">
        <f>H45*规划指标!$G$9</f>
        <v>0</v>
      </c>
      <c r="I42" s="201">
        <f>I45*规划指标!$G$9</f>
        <v>0</v>
      </c>
      <c r="J42" s="201">
        <f>J45*规划指标!$G$9</f>
        <v>0</v>
      </c>
      <c r="K42" s="201">
        <f>K45*规划指标!$G$9</f>
        <v>0</v>
      </c>
      <c r="L42" s="201">
        <f>L45*规划指标!$G$9</f>
        <v>0</v>
      </c>
      <c r="M42" s="201">
        <f>M45*规划指标!$G$9</f>
        <v>0</v>
      </c>
      <c r="N42" s="201">
        <f>N45*规划指标!$G$9</f>
        <v>0</v>
      </c>
      <c r="O42" s="201">
        <f>O45*规划指标!$G$9</f>
        <v>0</v>
      </c>
      <c r="P42" s="201">
        <f>P45*规划指标!$G$9</f>
        <v>0</v>
      </c>
      <c r="Q42" s="201">
        <f>Q45*规划指标!$G$9</f>
        <v>0</v>
      </c>
      <c r="R42" s="201">
        <f>R45*规划指标!$G$9</f>
        <v>0</v>
      </c>
      <c r="S42" s="201">
        <f>S45*规划指标!$G$9</f>
        <v>0</v>
      </c>
      <c r="T42" s="201">
        <f>T45*规划指标!$G$9</f>
        <v>0</v>
      </c>
      <c r="U42" s="201">
        <f>U45*规划指标!$G$9</f>
        <v>0</v>
      </c>
      <c r="V42" s="201">
        <f>V45*规划指标!$G$9</f>
        <v>0</v>
      </c>
      <c r="W42" s="201">
        <f>W45*规划指标!$G$9</f>
        <v>0</v>
      </c>
      <c r="X42" s="201">
        <f>X45*规划指标!$G$9</f>
        <v>0</v>
      </c>
      <c r="Y42" s="201">
        <f>Y45*规划指标!$G$9</f>
        <v>0</v>
      </c>
      <c r="Z42" s="201">
        <f>Z45*规划指标!$G$9</f>
        <v>0</v>
      </c>
      <c r="AA42" s="201">
        <f>AA45*规划指标!$G$9</f>
        <v>0</v>
      </c>
      <c r="AB42" s="201">
        <f>AB45*规划指标!$G$9</f>
        <v>0</v>
      </c>
      <c r="AC42" s="201">
        <f>AC45*规划指标!$G$9</f>
        <v>0</v>
      </c>
      <c r="AD42" s="201">
        <f>AD45*规划指标!$G$9</f>
        <v>0</v>
      </c>
      <c r="AE42" s="201">
        <f>AE45*规划指标!$G$9</f>
        <v>0</v>
      </c>
      <c r="AF42" s="201">
        <f>AF45*规划指标!$G$9</f>
        <v>0</v>
      </c>
      <c r="AG42" s="201">
        <f>AG45*规划指标!$G$9</f>
        <v>0</v>
      </c>
      <c r="AH42" s="201">
        <f>AH45*规划指标!$G$9</f>
        <v>0</v>
      </c>
      <c r="AI42" s="201">
        <f>AI45*规划指标!$G$9</f>
        <v>0</v>
      </c>
      <c r="AJ42" s="201">
        <f>AJ45*规划指标!$G$9</f>
        <v>0</v>
      </c>
      <c r="AK42" s="201">
        <f>AK45*规划指标!$G$9</f>
        <v>0</v>
      </c>
      <c r="AL42" s="201">
        <f>AL45*规划指标!$G$9</f>
        <v>0</v>
      </c>
      <c r="AM42" s="201">
        <f>AM45*规划指标!$G$9</f>
        <v>0</v>
      </c>
      <c r="AN42" s="201">
        <f>AN45*规划指标!$G$9</f>
        <v>0</v>
      </c>
      <c r="AO42" s="201">
        <f>AO45*规划指标!$G$9</f>
        <v>0</v>
      </c>
      <c r="AP42" s="201">
        <f>AP45*规划指标!$G$9</f>
        <v>0</v>
      </c>
      <c r="AQ42" s="201">
        <f>AQ45*规划指标!$G$9</f>
        <v>0</v>
      </c>
    </row>
    <row r="43" spans="1:46" s="213" customFormat="1" ht="18" hidden="1" customHeight="1" outlineLevel="2" x14ac:dyDescent="0.15">
      <c r="A43" s="216"/>
      <c r="B43" s="224" t="str">
        <f>B36</f>
        <v>销售套数</v>
      </c>
      <c r="C43" s="217" t="e">
        <f>SUM(D43:AQ43)</f>
        <v>#DIV/0!</v>
      </c>
      <c r="D43" s="245" t="e">
        <f>D42/规划指标!$G$9*规划指标!$I$9</f>
        <v>#DIV/0!</v>
      </c>
      <c r="E43" s="245" t="e">
        <f>E42/规划指标!$G$9*规划指标!$I$9</f>
        <v>#DIV/0!</v>
      </c>
      <c r="F43" s="245" t="e">
        <f>F42/规划指标!$G$9*规划指标!$I$9</f>
        <v>#DIV/0!</v>
      </c>
      <c r="G43" s="245" t="e">
        <f>G42/规划指标!$G$9*规划指标!$I$9</f>
        <v>#DIV/0!</v>
      </c>
      <c r="H43" s="245" t="e">
        <f>H42/规划指标!$G$9*规划指标!$I$9</f>
        <v>#DIV/0!</v>
      </c>
      <c r="I43" s="245" t="e">
        <f>I42/规划指标!$G$9*规划指标!$I$9</f>
        <v>#DIV/0!</v>
      </c>
      <c r="J43" s="245" t="e">
        <f>J42/规划指标!$G$9*规划指标!$I$9</f>
        <v>#DIV/0!</v>
      </c>
      <c r="K43" s="245" t="e">
        <f>K42/规划指标!$G$9*规划指标!$I$9</f>
        <v>#DIV/0!</v>
      </c>
      <c r="L43" s="245" t="e">
        <f>L42/规划指标!$G$9*规划指标!$I$9</f>
        <v>#DIV/0!</v>
      </c>
      <c r="M43" s="245" t="e">
        <f>M42/规划指标!$G$9*规划指标!$I$9</f>
        <v>#DIV/0!</v>
      </c>
      <c r="N43" s="245" t="e">
        <f>N42/规划指标!$G$9*规划指标!$I$9</f>
        <v>#DIV/0!</v>
      </c>
      <c r="O43" s="245" t="e">
        <f>O42/规划指标!$G$9*规划指标!$I$9</f>
        <v>#DIV/0!</v>
      </c>
      <c r="P43" s="245" t="e">
        <f>P42/规划指标!$G$9*规划指标!$I$9</f>
        <v>#DIV/0!</v>
      </c>
      <c r="Q43" s="245" t="e">
        <f>Q42/规划指标!$G$9*规划指标!$I$9</f>
        <v>#DIV/0!</v>
      </c>
      <c r="R43" s="245" t="e">
        <f>R42/规划指标!$G$9*规划指标!$I$9</f>
        <v>#DIV/0!</v>
      </c>
      <c r="S43" s="245" t="e">
        <f>S42/规划指标!$G$9*规划指标!$I$9</f>
        <v>#DIV/0!</v>
      </c>
      <c r="T43" s="245" t="e">
        <f>T42/规划指标!$G$9*规划指标!$I$9</f>
        <v>#DIV/0!</v>
      </c>
      <c r="U43" s="245" t="e">
        <f>U42/规划指标!$G$9*规划指标!$I$9</f>
        <v>#DIV/0!</v>
      </c>
      <c r="V43" s="245" t="e">
        <f>V42/规划指标!$G$9*规划指标!$I$9</f>
        <v>#DIV/0!</v>
      </c>
      <c r="W43" s="245" t="e">
        <f>W42/规划指标!$G$9*规划指标!$I$9</f>
        <v>#DIV/0!</v>
      </c>
      <c r="X43" s="245" t="e">
        <f>X42/规划指标!$G$9*规划指标!$I$9</f>
        <v>#DIV/0!</v>
      </c>
      <c r="Y43" s="245" t="e">
        <f>Y42/规划指标!$G$9*规划指标!$I$9</f>
        <v>#DIV/0!</v>
      </c>
      <c r="Z43" s="245" t="e">
        <f>Z42/规划指标!$G$9*规划指标!$I$9</f>
        <v>#DIV/0!</v>
      </c>
      <c r="AA43" s="245" t="e">
        <f>AA42/规划指标!$G$9*规划指标!$I$9</f>
        <v>#DIV/0!</v>
      </c>
      <c r="AB43" s="245" t="e">
        <f>AB42/规划指标!$G$9*规划指标!$I$9</f>
        <v>#DIV/0!</v>
      </c>
      <c r="AC43" s="245" t="e">
        <f>AC42/规划指标!$G$9*规划指标!$I$9</f>
        <v>#DIV/0!</v>
      </c>
      <c r="AD43" s="245" t="e">
        <f>AD42/规划指标!$G$9*规划指标!$I$9</f>
        <v>#DIV/0!</v>
      </c>
      <c r="AE43" s="245" t="e">
        <f>AE42/规划指标!$G$9*规划指标!$I$9</f>
        <v>#DIV/0!</v>
      </c>
      <c r="AF43" s="245" t="e">
        <f>AF42/规划指标!$G$9*规划指标!$I$9</f>
        <v>#DIV/0!</v>
      </c>
      <c r="AG43" s="245" t="e">
        <f>AG42/规划指标!$G$9*规划指标!$I$9</f>
        <v>#DIV/0!</v>
      </c>
      <c r="AH43" s="245" t="e">
        <f>AH42/规划指标!$G$9*规划指标!$I$9</f>
        <v>#DIV/0!</v>
      </c>
      <c r="AI43" s="245" t="e">
        <f>AI42/规划指标!$G$9*规划指标!$I$9</f>
        <v>#DIV/0!</v>
      </c>
      <c r="AJ43" s="245" t="e">
        <f>AJ42/规划指标!$G$9*规划指标!$I$9</f>
        <v>#DIV/0!</v>
      </c>
      <c r="AK43" s="245" t="e">
        <f>AK42/规划指标!$G$9*规划指标!$I$9</f>
        <v>#DIV/0!</v>
      </c>
      <c r="AL43" s="245" t="e">
        <f>AL42/规划指标!$G$9*规划指标!$I$9</f>
        <v>#DIV/0!</v>
      </c>
      <c r="AM43" s="245" t="e">
        <f>AM42/规划指标!$G$9*规划指标!$I$9</f>
        <v>#DIV/0!</v>
      </c>
      <c r="AN43" s="245" t="e">
        <f>AN42/规划指标!$G$9*规划指标!$I$9</f>
        <v>#DIV/0!</v>
      </c>
      <c r="AO43" s="245" t="e">
        <f>AO42/规划指标!$G$9*规划指标!$I$9</f>
        <v>#DIV/0!</v>
      </c>
      <c r="AP43" s="245" t="e">
        <f>AP42/规划指标!$G$9*规划指标!$I$9</f>
        <v>#DIV/0!</v>
      </c>
      <c r="AQ43" s="245" t="e">
        <f>AQ42/规划指标!$G$9*规划指标!$I$9</f>
        <v>#DIV/0!</v>
      </c>
    </row>
    <row r="44" spans="1:46" s="213" customFormat="1" ht="18" hidden="1" customHeight="1" outlineLevel="2" x14ac:dyDescent="0.15">
      <c r="A44" s="216"/>
      <c r="B44" s="224" t="str">
        <f>$B$9</f>
        <v>销售均价</v>
      </c>
      <c r="C44" s="225" t="e">
        <f>ROUND(C41/C42*10000,0)</f>
        <v>#DIV/0!</v>
      </c>
      <c r="D44" s="226">
        <f>ROUND(C46*D157,0)</f>
        <v>0</v>
      </c>
      <c r="E44" s="226">
        <f>D44</f>
        <v>0</v>
      </c>
      <c r="F44" s="226">
        <f t="shared" ref="F44:AQ44" si="16">E44</f>
        <v>0</v>
      </c>
      <c r="G44" s="226">
        <f t="shared" si="16"/>
        <v>0</v>
      </c>
      <c r="H44" s="226">
        <f t="shared" si="16"/>
        <v>0</v>
      </c>
      <c r="I44" s="226">
        <f t="shared" si="16"/>
        <v>0</v>
      </c>
      <c r="J44" s="226">
        <f t="shared" si="16"/>
        <v>0</v>
      </c>
      <c r="K44" s="226">
        <f t="shared" si="16"/>
        <v>0</v>
      </c>
      <c r="L44" s="226">
        <f t="shared" si="16"/>
        <v>0</v>
      </c>
      <c r="M44" s="226">
        <f t="shared" si="16"/>
        <v>0</v>
      </c>
      <c r="N44" s="226">
        <f t="shared" si="16"/>
        <v>0</v>
      </c>
      <c r="O44" s="226">
        <f t="shared" si="16"/>
        <v>0</v>
      </c>
      <c r="P44" s="226">
        <f t="shared" si="16"/>
        <v>0</v>
      </c>
      <c r="Q44" s="226">
        <f t="shared" si="16"/>
        <v>0</v>
      </c>
      <c r="R44" s="226">
        <f t="shared" si="16"/>
        <v>0</v>
      </c>
      <c r="S44" s="226">
        <f t="shared" si="16"/>
        <v>0</v>
      </c>
      <c r="T44" s="226">
        <f t="shared" si="16"/>
        <v>0</v>
      </c>
      <c r="U44" s="226">
        <f t="shared" si="16"/>
        <v>0</v>
      </c>
      <c r="V44" s="226">
        <f t="shared" si="16"/>
        <v>0</v>
      </c>
      <c r="W44" s="226">
        <f t="shared" si="16"/>
        <v>0</v>
      </c>
      <c r="X44" s="226">
        <f t="shared" ref="X44:AM44" si="17">W44</f>
        <v>0</v>
      </c>
      <c r="Y44" s="226">
        <f t="shared" si="17"/>
        <v>0</v>
      </c>
      <c r="Z44" s="226">
        <f t="shared" si="17"/>
        <v>0</v>
      </c>
      <c r="AA44" s="226">
        <f t="shared" si="17"/>
        <v>0</v>
      </c>
      <c r="AB44" s="226">
        <f t="shared" si="17"/>
        <v>0</v>
      </c>
      <c r="AC44" s="226">
        <f t="shared" si="17"/>
        <v>0</v>
      </c>
      <c r="AD44" s="226">
        <f t="shared" si="17"/>
        <v>0</v>
      </c>
      <c r="AE44" s="226">
        <f t="shared" si="17"/>
        <v>0</v>
      </c>
      <c r="AF44" s="226">
        <f t="shared" si="17"/>
        <v>0</v>
      </c>
      <c r="AG44" s="226">
        <f t="shared" si="17"/>
        <v>0</v>
      </c>
      <c r="AH44" s="226">
        <f t="shared" si="17"/>
        <v>0</v>
      </c>
      <c r="AI44" s="226">
        <f t="shared" si="17"/>
        <v>0</v>
      </c>
      <c r="AJ44" s="226">
        <f t="shared" si="17"/>
        <v>0</v>
      </c>
      <c r="AK44" s="226">
        <f t="shared" si="17"/>
        <v>0</v>
      </c>
      <c r="AL44" s="226">
        <f t="shared" si="17"/>
        <v>0</v>
      </c>
      <c r="AM44" s="226">
        <f t="shared" si="17"/>
        <v>0</v>
      </c>
      <c r="AN44" s="226">
        <f>W44</f>
        <v>0</v>
      </c>
      <c r="AO44" s="226">
        <f t="shared" si="16"/>
        <v>0</v>
      </c>
      <c r="AP44" s="226">
        <f t="shared" si="16"/>
        <v>0</v>
      </c>
      <c r="AQ44" s="226">
        <f t="shared" si="16"/>
        <v>0</v>
      </c>
    </row>
    <row r="45" spans="1:46" s="229" customFormat="1" ht="18" hidden="1" customHeight="1" outlineLevel="2" x14ac:dyDescent="0.15">
      <c r="A45" s="227"/>
      <c r="B45" s="224" t="str">
        <f>$B$10</f>
        <v>销售率</v>
      </c>
      <c r="C45" s="228">
        <f>SUM(D45:AQ45)</f>
        <v>0</v>
      </c>
      <c r="D45" s="234"/>
      <c r="E45" s="234"/>
      <c r="F45" s="234"/>
      <c r="G45" s="234"/>
      <c r="H45" s="234"/>
      <c r="I45" s="234"/>
      <c r="J45" s="234"/>
      <c r="K45" s="234"/>
      <c r="L45" s="234"/>
      <c r="M45" s="234"/>
      <c r="N45" s="234"/>
      <c r="O45" s="234"/>
      <c r="P45" s="234"/>
      <c r="Q45" s="234"/>
      <c r="R45" s="234"/>
      <c r="S45" s="234"/>
      <c r="T45" s="234"/>
      <c r="U45" s="234"/>
      <c r="V45" s="234"/>
      <c r="W45" s="234"/>
      <c r="X45" s="234"/>
      <c r="Y45" s="234"/>
      <c r="Z45" s="234"/>
      <c r="AA45" s="234"/>
      <c r="AB45" s="234"/>
      <c r="AC45" s="234"/>
      <c r="AD45" s="234"/>
      <c r="AE45" s="234"/>
      <c r="AF45" s="234"/>
      <c r="AG45" s="234"/>
      <c r="AH45" s="234"/>
      <c r="AI45" s="234"/>
      <c r="AJ45" s="234"/>
      <c r="AK45" s="234"/>
      <c r="AL45" s="234"/>
      <c r="AM45" s="234"/>
      <c r="AN45" s="234"/>
      <c r="AO45" s="234"/>
      <c r="AP45" s="234"/>
      <c r="AQ45" s="234"/>
    </row>
    <row r="46" spans="1:46" s="229" customFormat="1" ht="18" hidden="1" customHeight="1" outlineLevel="2" x14ac:dyDescent="0.15">
      <c r="A46" s="227"/>
      <c r="B46" s="224" t="s">
        <v>577</v>
      </c>
      <c r="C46" s="713"/>
      <c r="D46" s="228"/>
      <c r="E46" s="228"/>
      <c r="F46" s="228"/>
      <c r="G46" s="228"/>
      <c r="H46" s="228"/>
      <c r="I46" s="228"/>
      <c r="J46" s="228"/>
      <c r="K46" s="228"/>
      <c r="L46" s="228"/>
      <c r="M46" s="228"/>
      <c r="N46" s="228"/>
      <c r="O46" s="228"/>
      <c r="P46" s="228"/>
      <c r="Q46" s="228"/>
      <c r="R46" s="228"/>
      <c r="S46" s="228"/>
      <c r="T46" s="228"/>
      <c r="U46" s="228"/>
      <c r="V46" s="228"/>
      <c r="W46" s="228"/>
      <c r="X46" s="228"/>
      <c r="Y46" s="228"/>
      <c r="Z46" s="228"/>
      <c r="AA46" s="228"/>
      <c r="AB46" s="228"/>
      <c r="AC46" s="228"/>
      <c r="AD46" s="228"/>
      <c r="AE46" s="228"/>
      <c r="AF46" s="228"/>
      <c r="AG46" s="228"/>
      <c r="AH46" s="228"/>
      <c r="AI46" s="228"/>
      <c r="AJ46" s="228"/>
      <c r="AK46" s="228"/>
      <c r="AL46" s="228"/>
      <c r="AM46" s="228"/>
      <c r="AN46" s="228"/>
      <c r="AO46" s="228"/>
      <c r="AP46" s="228"/>
      <c r="AQ46" s="228"/>
    </row>
    <row r="47" spans="1:46" s="213" customFormat="1" ht="18" hidden="1" customHeight="1" outlineLevel="2" x14ac:dyDescent="0.15">
      <c r="A47" s="216"/>
      <c r="B47" s="230"/>
      <c r="C47" s="228"/>
      <c r="D47" s="231"/>
      <c r="E47" s="231"/>
      <c r="F47" s="231"/>
      <c r="G47" s="231"/>
      <c r="H47" s="231"/>
      <c r="I47" s="231"/>
      <c r="J47" s="231"/>
      <c r="K47" s="231"/>
      <c r="L47" s="231"/>
      <c r="M47" s="231"/>
      <c r="N47" s="231"/>
      <c r="O47" s="231"/>
      <c r="P47" s="231"/>
      <c r="Q47" s="231"/>
      <c r="R47" s="231"/>
      <c r="S47" s="231"/>
      <c r="T47" s="231"/>
      <c r="U47" s="231"/>
      <c r="V47" s="231"/>
      <c r="W47" s="231"/>
      <c r="X47" s="231"/>
      <c r="Y47" s="231"/>
      <c r="Z47" s="231"/>
      <c r="AA47" s="231"/>
      <c r="AB47" s="231"/>
      <c r="AC47" s="231"/>
      <c r="AD47" s="231"/>
      <c r="AE47" s="231"/>
      <c r="AF47" s="231"/>
      <c r="AG47" s="231"/>
      <c r="AH47" s="231"/>
      <c r="AI47" s="231"/>
      <c r="AJ47" s="231"/>
      <c r="AK47" s="231"/>
      <c r="AL47" s="231"/>
      <c r="AM47" s="231"/>
      <c r="AN47" s="231"/>
      <c r="AO47" s="231"/>
      <c r="AP47" s="231"/>
      <c r="AQ47" s="231"/>
    </row>
    <row r="48" spans="1:46" s="213" customFormat="1" ht="18" hidden="1" customHeight="1" outlineLevel="1" x14ac:dyDescent="0.15">
      <c r="A48" s="216" t="s">
        <v>301</v>
      </c>
      <c r="B48" s="210">
        <f>规划指标!F10</f>
        <v>0</v>
      </c>
      <c r="C48" s="217">
        <f>SUM(D48:AQ48)</f>
        <v>0</v>
      </c>
      <c r="D48" s="201">
        <f>ROUND(D51*D49/10000,0)</f>
        <v>0</v>
      </c>
      <c r="E48" s="201">
        <f t="shared" ref="E48:AQ48" si="18">ROUND(E51*E49/10000,0)</f>
        <v>0</v>
      </c>
      <c r="F48" s="201">
        <f t="shared" si="18"/>
        <v>0</v>
      </c>
      <c r="G48" s="201">
        <f t="shared" si="18"/>
        <v>0</v>
      </c>
      <c r="H48" s="201">
        <f t="shared" si="18"/>
        <v>0</v>
      </c>
      <c r="I48" s="201">
        <f t="shared" si="18"/>
        <v>0</v>
      </c>
      <c r="J48" s="201">
        <f t="shared" si="18"/>
        <v>0</v>
      </c>
      <c r="K48" s="201">
        <f t="shared" si="18"/>
        <v>0</v>
      </c>
      <c r="L48" s="201">
        <f t="shared" si="18"/>
        <v>0</v>
      </c>
      <c r="M48" s="201">
        <f t="shared" si="18"/>
        <v>0</v>
      </c>
      <c r="N48" s="201">
        <f t="shared" si="18"/>
        <v>0</v>
      </c>
      <c r="O48" s="201">
        <f t="shared" si="18"/>
        <v>0</v>
      </c>
      <c r="P48" s="201">
        <f t="shared" si="18"/>
        <v>0</v>
      </c>
      <c r="Q48" s="201">
        <f t="shared" si="18"/>
        <v>0</v>
      </c>
      <c r="R48" s="201">
        <f t="shared" si="18"/>
        <v>0</v>
      </c>
      <c r="S48" s="201">
        <f t="shared" si="18"/>
        <v>0</v>
      </c>
      <c r="T48" s="201">
        <f t="shared" si="18"/>
        <v>0</v>
      </c>
      <c r="U48" s="201">
        <f t="shared" si="18"/>
        <v>0</v>
      </c>
      <c r="V48" s="201">
        <f t="shared" si="18"/>
        <v>0</v>
      </c>
      <c r="W48" s="201">
        <f t="shared" si="18"/>
        <v>0</v>
      </c>
      <c r="X48" s="201">
        <f t="shared" si="18"/>
        <v>0</v>
      </c>
      <c r="Y48" s="201">
        <f t="shared" si="18"/>
        <v>0</v>
      </c>
      <c r="Z48" s="201">
        <f t="shared" si="18"/>
        <v>0</v>
      </c>
      <c r="AA48" s="201">
        <f t="shared" si="18"/>
        <v>0</v>
      </c>
      <c r="AB48" s="201">
        <f t="shared" si="18"/>
        <v>0</v>
      </c>
      <c r="AC48" s="201">
        <f t="shared" si="18"/>
        <v>0</v>
      </c>
      <c r="AD48" s="201">
        <f t="shared" si="18"/>
        <v>0</v>
      </c>
      <c r="AE48" s="201">
        <f t="shared" si="18"/>
        <v>0</v>
      </c>
      <c r="AF48" s="201">
        <f t="shared" si="18"/>
        <v>0</v>
      </c>
      <c r="AG48" s="201">
        <f t="shared" si="18"/>
        <v>0</v>
      </c>
      <c r="AH48" s="201">
        <f t="shared" si="18"/>
        <v>0</v>
      </c>
      <c r="AI48" s="201">
        <f t="shared" si="18"/>
        <v>0</v>
      </c>
      <c r="AJ48" s="201">
        <f t="shared" si="18"/>
        <v>0</v>
      </c>
      <c r="AK48" s="201">
        <f t="shared" si="18"/>
        <v>0</v>
      </c>
      <c r="AL48" s="201">
        <f t="shared" si="18"/>
        <v>0</v>
      </c>
      <c r="AM48" s="201">
        <f t="shared" si="18"/>
        <v>0</v>
      </c>
      <c r="AN48" s="201">
        <f t="shared" si="18"/>
        <v>0</v>
      </c>
      <c r="AO48" s="201">
        <f t="shared" si="18"/>
        <v>0</v>
      </c>
      <c r="AP48" s="201">
        <f t="shared" si="18"/>
        <v>0</v>
      </c>
      <c r="AQ48" s="201">
        <f t="shared" si="18"/>
        <v>0</v>
      </c>
    </row>
    <row r="49" spans="1:43" s="213" customFormat="1" ht="18" hidden="1" customHeight="1" outlineLevel="2" x14ac:dyDescent="0.15">
      <c r="A49" s="216"/>
      <c r="B49" s="224" t="str">
        <f>$B$7</f>
        <v>销售数量</v>
      </c>
      <c r="C49" s="217">
        <f>SUM(D49:AQ49)</f>
        <v>0</v>
      </c>
      <c r="D49" s="201">
        <f>D52*规划指标!$G$10</f>
        <v>0</v>
      </c>
      <c r="E49" s="201">
        <f>E52*规划指标!$G$10</f>
        <v>0</v>
      </c>
      <c r="F49" s="201">
        <f>F52*规划指标!$G$10</f>
        <v>0</v>
      </c>
      <c r="G49" s="201">
        <f>G52*规划指标!$G$10</f>
        <v>0</v>
      </c>
      <c r="H49" s="201">
        <f>H52*规划指标!$G$10</f>
        <v>0</v>
      </c>
      <c r="I49" s="201">
        <f>I52*规划指标!$G$10</f>
        <v>0</v>
      </c>
      <c r="J49" s="201">
        <f>J52*规划指标!$G$10</f>
        <v>0</v>
      </c>
      <c r="K49" s="201">
        <f>K52*规划指标!$G$10</f>
        <v>0</v>
      </c>
      <c r="L49" s="201">
        <f>L52*规划指标!$G$10</f>
        <v>0</v>
      </c>
      <c r="M49" s="201">
        <f>M52*规划指标!$G$10</f>
        <v>0</v>
      </c>
      <c r="N49" s="201">
        <f>N52*规划指标!$G$10</f>
        <v>0</v>
      </c>
      <c r="O49" s="201">
        <f>O52*规划指标!$G$10</f>
        <v>0</v>
      </c>
      <c r="P49" s="201">
        <f>P52*规划指标!$G$10</f>
        <v>0</v>
      </c>
      <c r="Q49" s="201">
        <f>Q52*规划指标!$G$10</f>
        <v>0</v>
      </c>
      <c r="R49" s="201">
        <f>R52*规划指标!$G$10</f>
        <v>0</v>
      </c>
      <c r="S49" s="201">
        <f>S52*规划指标!$G$10</f>
        <v>0</v>
      </c>
      <c r="T49" s="201">
        <f>T52*规划指标!$G$10</f>
        <v>0</v>
      </c>
      <c r="U49" s="201">
        <f>U52*规划指标!$G$10</f>
        <v>0</v>
      </c>
      <c r="V49" s="201">
        <f>V52*规划指标!$G$10</f>
        <v>0</v>
      </c>
      <c r="W49" s="201">
        <f>W52*规划指标!$G$10</f>
        <v>0</v>
      </c>
      <c r="X49" s="201">
        <f>X52*规划指标!$G$10</f>
        <v>0</v>
      </c>
      <c r="Y49" s="201">
        <f>Y52*规划指标!$G$10</f>
        <v>0</v>
      </c>
      <c r="Z49" s="201">
        <f>Z52*规划指标!$G$10</f>
        <v>0</v>
      </c>
      <c r="AA49" s="201">
        <f>AA52*规划指标!$G$10</f>
        <v>0</v>
      </c>
      <c r="AB49" s="201">
        <f>AB52*规划指标!$G$10</f>
        <v>0</v>
      </c>
      <c r="AC49" s="201">
        <f>AC52*规划指标!$G$10</f>
        <v>0</v>
      </c>
      <c r="AD49" s="201">
        <f>AD52*规划指标!$G$10</f>
        <v>0</v>
      </c>
      <c r="AE49" s="201">
        <f>AE52*规划指标!$G$10</f>
        <v>0</v>
      </c>
      <c r="AF49" s="201">
        <f>AF52*规划指标!$G$10</f>
        <v>0</v>
      </c>
      <c r="AG49" s="201">
        <f>AG52*规划指标!$G$10</f>
        <v>0</v>
      </c>
      <c r="AH49" s="201">
        <f>AH52*规划指标!$G$10</f>
        <v>0</v>
      </c>
      <c r="AI49" s="201">
        <f>AI52*规划指标!$G$10</f>
        <v>0</v>
      </c>
      <c r="AJ49" s="201">
        <f>AJ52*规划指标!$G$10</f>
        <v>0</v>
      </c>
      <c r="AK49" s="201">
        <f>AK52*规划指标!$G$10</f>
        <v>0</v>
      </c>
      <c r="AL49" s="201">
        <f>AL52*规划指标!$G$10</f>
        <v>0</v>
      </c>
      <c r="AM49" s="201">
        <f>AM52*规划指标!$G$10</f>
        <v>0</v>
      </c>
      <c r="AN49" s="201">
        <f>AN52*规划指标!$G$10</f>
        <v>0</v>
      </c>
      <c r="AO49" s="201">
        <f>AO52*规划指标!$G$10</f>
        <v>0</v>
      </c>
      <c r="AP49" s="201">
        <f>AP52*规划指标!$G$10</f>
        <v>0</v>
      </c>
      <c r="AQ49" s="201">
        <f>AQ52*规划指标!$G$10</f>
        <v>0</v>
      </c>
    </row>
    <row r="50" spans="1:43" s="213" customFormat="1" ht="18" hidden="1" customHeight="1" outlineLevel="2" x14ac:dyDescent="0.15">
      <c r="A50" s="216"/>
      <c r="B50" s="224" t="str">
        <f>B43</f>
        <v>销售套数</v>
      </c>
      <c r="C50" s="217" t="e">
        <f>SUM(D50:AQ50)</f>
        <v>#DIV/0!</v>
      </c>
      <c r="D50" s="245" t="e">
        <f>D49/规划指标!$G$10*规划指标!$I$10</f>
        <v>#DIV/0!</v>
      </c>
      <c r="E50" s="245" t="e">
        <f>E49/规划指标!$G$10*规划指标!$I$10</f>
        <v>#DIV/0!</v>
      </c>
      <c r="F50" s="245" t="e">
        <f>F49/规划指标!$G$10*规划指标!$I$10</f>
        <v>#DIV/0!</v>
      </c>
      <c r="G50" s="245" t="e">
        <f>G49/规划指标!$G$10*规划指标!$I$10</f>
        <v>#DIV/0!</v>
      </c>
      <c r="H50" s="245" t="e">
        <f>H49/规划指标!$G$10*规划指标!$I$10</f>
        <v>#DIV/0!</v>
      </c>
      <c r="I50" s="245" t="e">
        <f>I49/规划指标!$G$10*规划指标!$I$10</f>
        <v>#DIV/0!</v>
      </c>
      <c r="J50" s="245" t="e">
        <f>J49/规划指标!$G$10*规划指标!$I$10</f>
        <v>#DIV/0!</v>
      </c>
      <c r="K50" s="245" t="e">
        <f>K49/规划指标!$G$10*规划指标!$I$10</f>
        <v>#DIV/0!</v>
      </c>
      <c r="L50" s="245" t="e">
        <f>L49/规划指标!$G$10*规划指标!$I$10</f>
        <v>#DIV/0!</v>
      </c>
      <c r="M50" s="245" t="e">
        <f>M49/规划指标!$G$10*规划指标!$I$10</f>
        <v>#DIV/0!</v>
      </c>
      <c r="N50" s="245" t="e">
        <f>N49/规划指标!$G$10*规划指标!$I$10</f>
        <v>#DIV/0!</v>
      </c>
      <c r="O50" s="245" t="e">
        <f>O49/规划指标!$G$10*规划指标!$I$10</f>
        <v>#DIV/0!</v>
      </c>
      <c r="P50" s="245" t="e">
        <f>P49/规划指标!$G$10*规划指标!$I$10</f>
        <v>#DIV/0!</v>
      </c>
      <c r="Q50" s="245" t="e">
        <f>Q49/规划指标!$G$10*规划指标!$I$10</f>
        <v>#DIV/0!</v>
      </c>
      <c r="R50" s="245" t="e">
        <f>R49/规划指标!$G$10*规划指标!$I$10</f>
        <v>#DIV/0!</v>
      </c>
      <c r="S50" s="245" t="e">
        <f>S49/规划指标!$G$10*规划指标!$I$10</f>
        <v>#DIV/0!</v>
      </c>
      <c r="T50" s="245" t="e">
        <f>T49/规划指标!$G$10*规划指标!$I$10</f>
        <v>#DIV/0!</v>
      </c>
      <c r="U50" s="245" t="e">
        <f>U49/规划指标!$G$10*规划指标!$I$10</f>
        <v>#DIV/0!</v>
      </c>
      <c r="V50" s="245" t="e">
        <f>V49/规划指标!$G$10*规划指标!$I$10</f>
        <v>#DIV/0!</v>
      </c>
      <c r="W50" s="245" t="e">
        <f>W49/规划指标!$G$10*规划指标!$I$10</f>
        <v>#DIV/0!</v>
      </c>
      <c r="X50" s="245" t="e">
        <f>X49/规划指标!$G$10*规划指标!$I$10</f>
        <v>#DIV/0!</v>
      </c>
      <c r="Y50" s="245" t="e">
        <f>Y49/规划指标!$G$10*规划指标!$I$10</f>
        <v>#DIV/0!</v>
      </c>
      <c r="Z50" s="245" t="e">
        <f>Z49/规划指标!$G$10*规划指标!$I$10</f>
        <v>#DIV/0!</v>
      </c>
      <c r="AA50" s="245" t="e">
        <f>AA49/规划指标!$G$10*规划指标!$I$10</f>
        <v>#DIV/0!</v>
      </c>
      <c r="AB50" s="245" t="e">
        <f>AB49/规划指标!$G$10*规划指标!$I$10</f>
        <v>#DIV/0!</v>
      </c>
      <c r="AC50" s="245" t="e">
        <f>AC49/规划指标!$G$10*规划指标!$I$10</f>
        <v>#DIV/0!</v>
      </c>
      <c r="AD50" s="245" t="e">
        <f>AD49/规划指标!$G$10*规划指标!$I$10</f>
        <v>#DIV/0!</v>
      </c>
      <c r="AE50" s="245" t="e">
        <f>AE49/规划指标!$G$10*规划指标!$I$10</f>
        <v>#DIV/0!</v>
      </c>
      <c r="AF50" s="245" t="e">
        <f>AF49/规划指标!$G$10*规划指标!$I$10</f>
        <v>#DIV/0!</v>
      </c>
      <c r="AG50" s="245" t="e">
        <f>AG49/规划指标!$G$10*规划指标!$I$10</f>
        <v>#DIV/0!</v>
      </c>
      <c r="AH50" s="245" t="e">
        <f>AH49/规划指标!$G$10*规划指标!$I$10</f>
        <v>#DIV/0!</v>
      </c>
      <c r="AI50" s="245" t="e">
        <f>AI49/规划指标!$G$10*规划指标!$I$10</f>
        <v>#DIV/0!</v>
      </c>
      <c r="AJ50" s="245" t="e">
        <f>AJ49/规划指标!$G$10*规划指标!$I$10</f>
        <v>#DIV/0!</v>
      </c>
      <c r="AK50" s="245" t="e">
        <f>AK49/规划指标!$G$10*规划指标!$I$10</f>
        <v>#DIV/0!</v>
      </c>
      <c r="AL50" s="245" t="e">
        <f>AL49/规划指标!$G$10*规划指标!$I$10</f>
        <v>#DIV/0!</v>
      </c>
      <c r="AM50" s="245" t="e">
        <f>AM49/规划指标!$G$10*规划指标!$I$10</f>
        <v>#DIV/0!</v>
      </c>
      <c r="AN50" s="245" t="e">
        <f>AN49/规划指标!$G$10*规划指标!$I$10</f>
        <v>#DIV/0!</v>
      </c>
      <c r="AO50" s="245" t="e">
        <f>AO49/规划指标!$G$10*规划指标!$I$10</f>
        <v>#DIV/0!</v>
      </c>
      <c r="AP50" s="245" t="e">
        <f>AP49/规划指标!$G$10*规划指标!$I$10</f>
        <v>#DIV/0!</v>
      </c>
      <c r="AQ50" s="245" t="e">
        <f>AQ49/规划指标!$G$10*规划指标!$I$10</f>
        <v>#DIV/0!</v>
      </c>
    </row>
    <row r="51" spans="1:43" s="213" customFormat="1" ht="18" hidden="1" customHeight="1" outlineLevel="2" x14ac:dyDescent="0.15">
      <c r="A51" s="216"/>
      <c r="B51" s="224" t="str">
        <f>$B$9</f>
        <v>销售均价</v>
      </c>
      <c r="C51" s="225" t="e">
        <f>ROUND(C48/C49*10000,0)</f>
        <v>#DIV/0!</v>
      </c>
      <c r="D51" s="226">
        <f>ROUND(C53*D158,0)</f>
        <v>0</v>
      </c>
      <c r="E51" s="226">
        <f>D51</f>
        <v>0</v>
      </c>
      <c r="F51" s="226">
        <f t="shared" ref="F51:AQ51" si="19">E51</f>
        <v>0</v>
      </c>
      <c r="G51" s="226">
        <f t="shared" si="19"/>
        <v>0</v>
      </c>
      <c r="H51" s="226">
        <f t="shared" si="19"/>
        <v>0</v>
      </c>
      <c r="I51" s="226">
        <f t="shared" si="19"/>
        <v>0</v>
      </c>
      <c r="J51" s="226">
        <f t="shared" si="19"/>
        <v>0</v>
      </c>
      <c r="K51" s="226">
        <f t="shared" si="19"/>
        <v>0</v>
      </c>
      <c r="L51" s="226">
        <f t="shared" si="19"/>
        <v>0</v>
      </c>
      <c r="M51" s="226">
        <f t="shared" si="19"/>
        <v>0</v>
      </c>
      <c r="N51" s="226">
        <f t="shared" si="19"/>
        <v>0</v>
      </c>
      <c r="O51" s="226">
        <f t="shared" si="19"/>
        <v>0</v>
      </c>
      <c r="P51" s="226">
        <f t="shared" si="19"/>
        <v>0</v>
      </c>
      <c r="Q51" s="226">
        <f t="shared" si="19"/>
        <v>0</v>
      </c>
      <c r="R51" s="226">
        <f t="shared" si="19"/>
        <v>0</v>
      </c>
      <c r="S51" s="226">
        <f t="shared" si="19"/>
        <v>0</v>
      </c>
      <c r="T51" s="226">
        <f t="shared" si="19"/>
        <v>0</v>
      </c>
      <c r="U51" s="226">
        <f t="shared" si="19"/>
        <v>0</v>
      </c>
      <c r="V51" s="226">
        <f t="shared" si="19"/>
        <v>0</v>
      </c>
      <c r="W51" s="226">
        <f t="shared" si="19"/>
        <v>0</v>
      </c>
      <c r="X51" s="226">
        <f t="shared" ref="X51:AM51" si="20">W51</f>
        <v>0</v>
      </c>
      <c r="Y51" s="226">
        <f t="shared" si="20"/>
        <v>0</v>
      </c>
      <c r="Z51" s="226">
        <f t="shared" si="20"/>
        <v>0</v>
      </c>
      <c r="AA51" s="226">
        <f t="shared" si="20"/>
        <v>0</v>
      </c>
      <c r="AB51" s="226">
        <f t="shared" si="20"/>
        <v>0</v>
      </c>
      <c r="AC51" s="226">
        <f t="shared" si="20"/>
        <v>0</v>
      </c>
      <c r="AD51" s="226">
        <f t="shared" si="20"/>
        <v>0</v>
      </c>
      <c r="AE51" s="226">
        <f t="shared" si="20"/>
        <v>0</v>
      </c>
      <c r="AF51" s="226">
        <f t="shared" si="20"/>
        <v>0</v>
      </c>
      <c r="AG51" s="226">
        <f t="shared" si="20"/>
        <v>0</v>
      </c>
      <c r="AH51" s="226">
        <f t="shared" si="20"/>
        <v>0</v>
      </c>
      <c r="AI51" s="226">
        <f t="shared" si="20"/>
        <v>0</v>
      </c>
      <c r="AJ51" s="226">
        <f t="shared" si="20"/>
        <v>0</v>
      </c>
      <c r="AK51" s="226">
        <f t="shared" si="20"/>
        <v>0</v>
      </c>
      <c r="AL51" s="226">
        <f t="shared" si="20"/>
        <v>0</v>
      </c>
      <c r="AM51" s="226">
        <f t="shared" si="20"/>
        <v>0</v>
      </c>
      <c r="AN51" s="226">
        <f>W51</f>
        <v>0</v>
      </c>
      <c r="AO51" s="226">
        <f t="shared" si="19"/>
        <v>0</v>
      </c>
      <c r="AP51" s="226">
        <f t="shared" si="19"/>
        <v>0</v>
      </c>
      <c r="AQ51" s="226">
        <f t="shared" si="19"/>
        <v>0</v>
      </c>
    </row>
    <row r="52" spans="1:43" s="229" customFormat="1" ht="18" hidden="1" customHeight="1" outlineLevel="2" x14ac:dyDescent="0.15">
      <c r="A52" s="227"/>
      <c r="B52" s="224" t="str">
        <f>$B$10</f>
        <v>销售率</v>
      </c>
      <c r="C52" s="228">
        <f>SUM(D52:AQ52)</f>
        <v>0</v>
      </c>
      <c r="D52" s="234"/>
      <c r="E52" s="234"/>
      <c r="F52" s="234"/>
      <c r="G52" s="234"/>
      <c r="H52" s="234"/>
      <c r="I52" s="234"/>
      <c r="J52" s="234"/>
      <c r="K52" s="234"/>
      <c r="L52" s="234"/>
      <c r="M52" s="234"/>
      <c r="N52" s="234"/>
      <c r="O52" s="234"/>
      <c r="P52" s="234"/>
      <c r="Q52" s="234"/>
      <c r="R52" s="234"/>
      <c r="S52" s="234"/>
      <c r="T52" s="234"/>
      <c r="U52" s="234"/>
      <c r="V52" s="234"/>
      <c r="W52" s="234"/>
      <c r="X52" s="234"/>
      <c r="Y52" s="234"/>
      <c r="Z52" s="234"/>
      <c r="AA52" s="234"/>
      <c r="AB52" s="234"/>
      <c r="AC52" s="234"/>
      <c r="AD52" s="234"/>
      <c r="AE52" s="234"/>
      <c r="AF52" s="234"/>
      <c r="AG52" s="234"/>
      <c r="AH52" s="234"/>
      <c r="AI52" s="234"/>
      <c r="AJ52" s="234"/>
      <c r="AK52" s="234"/>
      <c r="AL52" s="234"/>
      <c r="AM52" s="234"/>
      <c r="AN52" s="234"/>
      <c r="AO52" s="234"/>
      <c r="AP52" s="234"/>
      <c r="AQ52" s="234"/>
    </row>
    <row r="53" spans="1:43" s="229" customFormat="1" ht="18" hidden="1" customHeight="1" outlineLevel="2" x14ac:dyDescent="0.15">
      <c r="A53" s="227"/>
      <c r="B53" s="224" t="s">
        <v>577</v>
      </c>
      <c r="C53" s="713"/>
      <c r="D53" s="228"/>
      <c r="E53" s="228"/>
      <c r="F53" s="228"/>
      <c r="G53" s="228"/>
      <c r="H53" s="228"/>
      <c r="I53" s="228"/>
      <c r="J53" s="228"/>
      <c r="K53" s="228"/>
      <c r="L53" s="228"/>
      <c r="M53" s="228"/>
      <c r="N53" s="228"/>
      <c r="O53" s="228"/>
      <c r="P53" s="228"/>
      <c r="Q53" s="228"/>
      <c r="R53" s="228"/>
      <c r="S53" s="228"/>
      <c r="T53" s="228"/>
      <c r="U53" s="228"/>
      <c r="V53" s="228"/>
      <c r="W53" s="228"/>
      <c r="X53" s="228"/>
      <c r="Y53" s="228"/>
      <c r="Z53" s="228"/>
      <c r="AA53" s="228"/>
      <c r="AB53" s="228"/>
      <c r="AC53" s="228"/>
      <c r="AD53" s="228"/>
      <c r="AE53" s="228"/>
      <c r="AF53" s="228"/>
      <c r="AG53" s="228"/>
      <c r="AH53" s="228"/>
      <c r="AI53" s="228"/>
      <c r="AJ53" s="228"/>
      <c r="AK53" s="228"/>
      <c r="AL53" s="228"/>
      <c r="AM53" s="228"/>
      <c r="AN53" s="228"/>
      <c r="AO53" s="228"/>
      <c r="AP53" s="228"/>
      <c r="AQ53" s="228"/>
    </row>
    <row r="54" spans="1:43" s="213" customFormat="1" ht="18" hidden="1" customHeight="1" outlineLevel="2" x14ac:dyDescent="0.15">
      <c r="A54" s="216"/>
      <c r="B54" s="230"/>
      <c r="C54" s="228"/>
      <c r="D54" s="231"/>
      <c r="E54" s="231"/>
      <c r="F54" s="231"/>
      <c r="G54" s="231"/>
      <c r="H54" s="231"/>
      <c r="I54" s="231"/>
      <c r="J54" s="231"/>
      <c r="K54" s="231"/>
      <c r="L54" s="231"/>
      <c r="M54" s="231"/>
      <c r="N54" s="231"/>
      <c r="O54" s="231"/>
      <c r="P54" s="231"/>
      <c r="Q54" s="231"/>
      <c r="R54" s="231"/>
      <c r="S54" s="231"/>
      <c r="T54" s="231"/>
      <c r="U54" s="231"/>
      <c r="V54" s="231"/>
      <c r="W54" s="231"/>
      <c r="X54" s="231"/>
      <c r="Y54" s="231"/>
      <c r="Z54" s="231"/>
      <c r="AA54" s="231"/>
      <c r="AB54" s="231"/>
      <c r="AC54" s="231"/>
      <c r="AD54" s="231"/>
      <c r="AE54" s="231"/>
      <c r="AF54" s="231"/>
      <c r="AG54" s="231"/>
      <c r="AH54" s="231"/>
      <c r="AI54" s="231"/>
      <c r="AJ54" s="231"/>
      <c r="AK54" s="231"/>
      <c r="AL54" s="231"/>
      <c r="AM54" s="231"/>
      <c r="AN54" s="231"/>
      <c r="AO54" s="231"/>
      <c r="AP54" s="231"/>
      <c r="AQ54" s="231"/>
    </row>
    <row r="55" spans="1:43" s="213" customFormat="1" ht="18" hidden="1" customHeight="1" outlineLevel="1" x14ac:dyDescent="0.15">
      <c r="A55" s="216" t="s">
        <v>302</v>
      </c>
      <c r="B55" s="210">
        <f>规划指标!F11</f>
        <v>0</v>
      </c>
      <c r="C55" s="217">
        <f>SUM(D55:AQ55)</f>
        <v>0</v>
      </c>
      <c r="D55" s="201">
        <f>ROUND(D58*D56/10000,0)</f>
        <v>0</v>
      </c>
      <c r="E55" s="201">
        <f t="shared" ref="E55:AQ55" si="21">ROUND(E58*E56/10000,0)</f>
        <v>0</v>
      </c>
      <c r="F55" s="201">
        <f t="shared" si="21"/>
        <v>0</v>
      </c>
      <c r="G55" s="201">
        <f t="shared" si="21"/>
        <v>0</v>
      </c>
      <c r="H55" s="201">
        <f t="shared" si="21"/>
        <v>0</v>
      </c>
      <c r="I55" s="201">
        <f t="shared" si="21"/>
        <v>0</v>
      </c>
      <c r="J55" s="201">
        <f t="shared" si="21"/>
        <v>0</v>
      </c>
      <c r="K55" s="201">
        <f t="shared" si="21"/>
        <v>0</v>
      </c>
      <c r="L55" s="201">
        <f t="shared" si="21"/>
        <v>0</v>
      </c>
      <c r="M55" s="201">
        <f t="shared" si="21"/>
        <v>0</v>
      </c>
      <c r="N55" s="201">
        <f t="shared" si="21"/>
        <v>0</v>
      </c>
      <c r="O55" s="201">
        <f t="shared" si="21"/>
        <v>0</v>
      </c>
      <c r="P55" s="201">
        <f t="shared" si="21"/>
        <v>0</v>
      </c>
      <c r="Q55" s="201">
        <f t="shared" si="21"/>
        <v>0</v>
      </c>
      <c r="R55" s="201">
        <f t="shared" si="21"/>
        <v>0</v>
      </c>
      <c r="S55" s="201">
        <f t="shared" si="21"/>
        <v>0</v>
      </c>
      <c r="T55" s="201">
        <f t="shared" si="21"/>
        <v>0</v>
      </c>
      <c r="U55" s="201">
        <f t="shared" si="21"/>
        <v>0</v>
      </c>
      <c r="V55" s="201">
        <f t="shared" si="21"/>
        <v>0</v>
      </c>
      <c r="W55" s="201">
        <f t="shared" si="21"/>
        <v>0</v>
      </c>
      <c r="X55" s="201">
        <f t="shared" si="21"/>
        <v>0</v>
      </c>
      <c r="Y55" s="201">
        <f t="shared" si="21"/>
        <v>0</v>
      </c>
      <c r="Z55" s="201">
        <f t="shared" si="21"/>
        <v>0</v>
      </c>
      <c r="AA55" s="201">
        <f t="shared" si="21"/>
        <v>0</v>
      </c>
      <c r="AB55" s="201">
        <f t="shared" si="21"/>
        <v>0</v>
      </c>
      <c r="AC55" s="201">
        <f t="shared" si="21"/>
        <v>0</v>
      </c>
      <c r="AD55" s="201">
        <f t="shared" si="21"/>
        <v>0</v>
      </c>
      <c r="AE55" s="201">
        <f t="shared" si="21"/>
        <v>0</v>
      </c>
      <c r="AF55" s="201">
        <f t="shared" si="21"/>
        <v>0</v>
      </c>
      <c r="AG55" s="201">
        <f t="shared" si="21"/>
        <v>0</v>
      </c>
      <c r="AH55" s="201">
        <f t="shared" si="21"/>
        <v>0</v>
      </c>
      <c r="AI55" s="201">
        <f t="shared" si="21"/>
        <v>0</v>
      </c>
      <c r="AJ55" s="201">
        <f t="shared" si="21"/>
        <v>0</v>
      </c>
      <c r="AK55" s="201">
        <f t="shared" si="21"/>
        <v>0</v>
      </c>
      <c r="AL55" s="201">
        <f t="shared" si="21"/>
        <v>0</v>
      </c>
      <c r="AM55" s="201">
        <f t="shared" si="21"/>
        <v>0</v>
      </c>
      <c r="AN55" s="201">
        <f t="shared" si="21"/>
        <v>0</v>
      </c>
      <c r="AO55" s="201">
        <f t="shared" si="21"/>
        <v>0</v>
      </c>
      <c r="AP55" s="201">
        <f t="shared" si="21"/>
        <v>0</v>
      </c>
      <c r="AQ55" s="201">
        <f t="shared" si="21"/>
        <v>0</v>
      </c>
    </row>
    <row r="56" spans="1:43" s="213" customFormat="1" ht="18" hidden="1" customHeight="1" outlineLevel="2" x14ac:dyDescent="0.15">
      <c r="A56" s="216"/>
      <c r="B56" s="224" t="str">
        <f>$B$7</f>
        <v>销售数量</v>
      </c>
      <c r="C56" s="217">
        <f>SUM(D56:AQ56)</f>
        <v>0</v>
      </c>
      <c r="D56" s="201">
        <f>D59*规划指标!$G$11</f>
        <v>0</v>
      </c>
      <c r="E56" s="201">
        <f>E59*规划指标!$G$11</f>
        <v>0</v>
      </c>
      <c r="F56" s="201">
        <f>F59*规划指标!$G$11</f>
        <v>0</v>
      </c>
      <c r="G56" s="201">
        <f>G59*规划指标!$G$11</f>
        <v>0</v>
      </c>
      <c r="H56" s="201">
        <f>H59*规划指标!$G$11</f>
        <v>0</v>
      </c>
      <c r="I56" s="201">
        <f>I59*规划指标!$G$11</f>
        <v>0</v>
      </c>
      <c r="J56" s="201">
        <f>J59*规划指标!$G$11</f>
        <v>0</v>
      </c>
      <c r="K56" s="201">
        <f>K59*规划指标!$G$11</f>
        <v>0</v>
      </c>
      <c r="L56" s="201">
        <f>L59*规划指标!$G$11</f>
        <v>0</v>
      </c>
      <c r="M56" s="201">
        <f>M59*规划指标!$G$11</f>
        <v>0</v>
      </c>
      <c r="N56" s="201">
        <f>N59*规划指标!$G$11</f>
        <v>0</v>
      </c>
      <c r="O56" s="201">
        <f>O59*规划指标!$G$11</f>
        <v>0</v>
      </c>
      <c r="P56" s="201">
        <f>P59*规划指标!$G$11</f>
        <v>0</v>
      </c>
      <c r="Q56" s="201">
        <f>Q59*规划指标!$G$11</f>
        <v>0</v>
      </c>
      <c r="R56" s="201">
        <f>R59*规划指标!$G$11</f>
        <v>0</v>
      </c>
      <c r="S56" s="201">
        <f>S59*规划指标!$G$11</f>
        <v>0</v>
      </c>
      <c r="T56" s="201">
        <f>T59*规划指标!$G$11</f>
        <v>0</v>
      </c>
      <c r="U56" s="201">
        <f>U59*规划指标!$G$11</f>
        <v>0</v>
      </c>
      <c r="V56" s="201">
        <f>V59*规划指标!$G$11</f>
        <v>0</v>
      </c>
      <c r="W56" s="201">
        <f>W59*规划指标!$G$11</f>
        <v>0</v>
      </c>
      <c r="X56" s="201">
        <f>X59*规划指标!$G$11</f>
        <v>0</v>
      </c>
      <c r="Y56" s="201">
        <f>Y59*规划指标!$G$11</f>
        <v>0</v>
      </c>
      <c r="Z56" s="201">
        <f>Z59*规划指标!$G$11</f>
        <v>0</v>
      </c>
      <c r="AA56" s="201">
        <f>AA59*规划指标!$G$11</f>
        <v>0</v>
      </c>
      <c r="AB56" s="201">
        <f>AB59*规划指标!$G$11</f>
        <v>0</v>
      </c>
      <c r="AC56" s="201">
        <f>AC59*规划指标!$G$11</f>
        <v>0</v>
      </c>
      <c r="AD56" s="201">
        <f>AD59*规划指标!$G$11</f>
        <v>0</v>
      </c>
      <c r="AE56" s="201">
        <f>AE59*规划指标!$G$11</f>
        <v>0</v>
      </c>
      <c r="AF56" s="201">
        <f>AF59*规划指标!$G$11</f>
        <v>0</v>
      </c>
      <c r="AG56" s="201">
        <f>AG59*规划指标!$G$11</f>
        <v>0</v>
      </c>
      <c r="AH56" s="201">
        <f>AH59*规划指标!$G$11</f>
        <v>0</v>
      </c>
      <c r="AI56" s="201">
        <f>AI59*规划指标!$G$11</f>
        <v>0</v>
      </c>
      <c r="AJ56" s="201">
        <f>AJ59*规划指标!$G$11</f>
        <v>0</v>
      </c>
      <c r="AK56" s="201">
        <f>AK59*规划指标!$G$11</f>
        <v>0</v>
      </c>
      <c r="AL56" s="201">
        <f>AL59*规划指标!$G$11</f>
        <v>0</v>
      </c>
      <c r="AM56" s="201">
        <f>AM59*规划指标!$G$11</f>
        <v>0</v>
      </c>
      <c r="AN56" s="201">
        <f>AN59*规划指标!$G$11</f>
        <v>0</v>
      </c>
      <c r="AO56" s="201">
        <f>AO59*规划指标!$G$11</f>
        <v>0</v>
      </c>
      <c r="AP56" s="201">
        <f>AP59*规划指标!$G$11</f>
        <v>0</v>
      </c>
      <c r="AQ56" s="201">
        <f>AQ59*规划指标!$G$11</f>
        <v>0</v>
      </c>
    </row>
    <row r="57" spans="1:43" s="213" customFormat="1" ht="18" hidden="1" customHeight="1" outlineLevel="2" x14ac:dyDescent="0.15">
      <c r="A57" s="216"/>
      <c r="B57" s="224" t="str">
        <f>B50</f>
        <v>销售套数</v>
      </c>
      <c r="C57" s="217" t="e">
        <f>SUM(D57:AQ57)</f>
        <v>#DIV/0!</v>
      </c>
      <c r="D57" s="201" t="e">
        <f>D56/规划指标!$G$11*规划指标!$I$11</f>
        <v>#DIV/0!</v>
      </c>
      <c r="E57" s="201" t="e">
        <f>E56/规划指标!$G$11*规划指标!$I$11</f>
        <v>#DIV/0!</v>
      </c>
      <c r="F57" s="201" t="e">
        <f>F56/规划指标!$G$11*规划指标!$I$11</f>
        <v>#DIV/0!</v>
      </c>
      <c r="G57" s="201" t="e">
        <f>G56/规划指标!$G$11*规划指标!$I$11</f>
        <v>#DIV/0!</v>
      </c>
      <c r="H57" s="201" t="e">
        <f>H56/规划指标!$G$11*规划指标!$I$11</f>
        <v>#DIV/0!</v>
      </c>
      <c r="I57" s="201" t="e">
        <f>I56/规划指标!$G$11*规划指标!$I$11</f>
        <v>#DIV/0!</v>
      </c>
      <c r="J57" s="201" t="e">
        <f>J56/规划指标!$G$11*规划指标!$I$11</f>
        <v>#DIV/0!</v>
      </c>
      <c r="K57" s="201" t="e">
        <f>K56/规划指标!$G$11*规划指标!$I$11</f>
        <v>#DIV/0!</v>
      </c>
      <c r="L57" s="201" t="e">
        <f>L56/规划指标!$G$11*规划指标!$I$11</f>
        <v>#DIV/0!</v>
      </c>
      <c r="M57" s="201" t="e">
        <f>M56/规划指标!$G$11*规划指标!$I$11</f>
        <v>#DIV/0!</v>
      </c>
      <c r="N57" s="201" t="e">
        <f>N56/规划指标!$G$11*规划指标!$I$11</f>
        <v>#DIV/0!</v>
      </c>
      <c r="O57" s="201" t="e">
        <f>O56/规划指标!$G$11*规划指标!$I$11</f>
        <v>#DIV/0!</v>
      </c>
      <c r="P57" s="201" t="e">
        <f>P56/规划指标!$G$11*规划指标!$I$11</f>
        <v>#DIV/0!</v>
      </c>
      <c r="Q57" s="201" t="e">
        <f>Q56/规划指标!$G$11*规划指标!$I$11</f>
        <v>#DIV/0!</v>
      </c>
      <c r="R57" s="201" t="e">
        <f>R56/规划指标!$G$11*规划指标!$I$11</f>
        <v>#DIV/0!</v>
      </c>
      <c r="S57" s="201" t="e">
        <f>S56/规划指标!$G$11*规划指标!$I$11</f>
        <v>#DIV/0!</v>
      </c>
      <c r="T57" s="201" t="e">
        <f>T56/规划指标!$G$11*规划指标!$I$11</f>
        <v>#DIV/0!</v>
      </c>
      <c r="U57" s="201" t="e">
        <f>U56/规划指标!$G$11*规划指标!$I$11</f>
        <v>#DIV/0!</v>
      </c>
      <c r="V57" s="201" t="e">
        <f>V56/规划指标!$G$11*规划指标!$I$11</f>
        <v>#DIV/0!</v>
      </c>
      <c r="W57" s="201" t="e">
        <f>W56/规划指标!$G$11*规划指标!$I$11</f>
        <v>#DIV/0!</v>
      </c>
      <c r="X57" s="201" t="e">
        <f>X56/规划指标!$G$11*规划指标!$I$11</f>
        <v>#DIV/0!</v>
      </c>
      <c r="Y57" s="201" t="e">
        <f>Y56/规划指标!$G$11*规划指标!$I$11</f>
        <v>#DIV/0!</v>
      </c>
      <c r="Z57" s="201" t="e">
        <f>Z56/规划指标!$G$11*规划指标!$I$11</f>
        <v>#DIV/0!</v>
      </c>
      <c r="AA57" s="201" t="e">
        <f>AA56/规划指标!$G$11*规划指标!$I$11</f>
        <v>#DIV/0!</v>
      </c>
      <c r="AB57" s="201" t="e">
        <f>AB56/规划指标!$G$11*规划指标!$I$11</f>
        <v>#DIV/0!</v>
      </c>
      <c r="AC57" s="201" t="e">
        <f>AC56/规划指标!$G$11*规划指标!$I$11</f>
        <v>#DIV/0!</v>
      </c>
      <c r="AD57" s="201" t="e">
        <f>AD56/规划指标!$G$11*规划指标!$I$11</f>
        <v>#DIV/0!</v>
      </c>
      <c r="AE57" s="201" t="e">
        <f>AE56/规划指标!$G$11*规划指标!$I$11</f>
        <v>#DIV/0!</v>
      </c>
      <c r="AF57" s="201" t="e">
        <f>AF56/规划指标!$G$11*规划指标!$I$11</f>
        <v>#DIV/0!</v>
      </c>
      <c r="AG57" s="201" t="e">
        <f>AG56/规划指标!$G$11*规划指标!$I$11</f>
        <v>#DIV/0!</v>
      </c>
      <c r="AH57" s="201" t="e">
        <f>AH56/规划指标!$G$11*规划指标!$I$11</f>
        <v>#DIV/0!</v>
      </c>
      <c r="AI57" s="201" t="e">
        <f>AI56/规划指标!$G$11*规划指标!$I$11</f>
        <v>#DIV/0!</v>
      </c>
      <c r="AJ57" s="201" t="e">
        <f>AJ56/规划指标!$G$11*规划指标!$I$11</f>
        <v>#DIV/0!</v>
      </c>
      <c r="AK57" s="201" t="e">
        <f>AK56/规划指标!$G$11*规划指标!$I$11</f>
        <v>#DIV/0!</v>
      </c>
      <c r="AL57" s="201" t="e">
        <f>AL56/规划指标!$G$11*规划指标!$I$11</f>
        <v>#DIV/0!</v>
      </c>
      <c r="AM57" s="201" t="e">
        <f>AM56/规划指标!$G$11*规划指标!$I$11</f>
        <v>#DIV/0!</v>
      </c>
      <c r="AN57" s="201" t="e">
        <f>AN56/规划指标!$G$11*规划指标!$I$11</f>
        <v>#DIV/0!</v>
      </c>
      <c r="AO57" s="201" t="e">
        <f>AO56/规划指标!$G$11*规划指标!$I$11</f>
        <v>#DIV/0!</v>
      </c>
      <c r="AP57" s="201" t="e">
        <f>AP56/规划指标!$G$11*规划指标!$I$11</f>
        <v>#DIV/0!</v>
      </c>
      <c r="AQ57" s="201" t="e">
        <f>AQ56/规划指标!$G$11*规划指标!$I$11</f>
        <v>#DIV/0!</v>
      </c>
    </row>
    <row r="58" spans="1:43" s="213" customFormat="1" ht="18" hidden="1" customHeight="1" outlineLevel="2" x14ac:dyDescent="0.15">
      <c r="A58" s="216"/>
      <c r="B58" s="224" t="str">
        <f>$B$9</f>
        <v>销售均价</v>
      </c>
      <c r="C58" s="225" t="e">
        <f>ROUND(C55/C56*10000,0)</f>
        <v>#DIV/0!</v>
      </c>
      <c r="D58" s="226">
        <f>ROUND(C60*D159,0)</f>
        <v>0</v>
      </c>
      <c r="E58" s="226">
        <f>D58</f>
        <v>0</v>
      </c>
      <c r="F58" s="226">
        <f t="shared" ref="F58:AQ58" si="22">E58</f>
        <v>0</v>
      </c>
      <c r="G58" s="226">
        <f t="shared" si="22"/>
        <v>0</v>
      </c>
      <c r="H58" s="226">
        <f t="shared" si="22"/>
        <v>0</v>
      </c>
      <c r="I58" s="226">
        <f t="shared" si="22"/>
        <v>0</v>
      </c>
      <c r="J58" s="226">
        <f t="shared" si="22"/>
        <v>0</v>
      </c>
      <c r="K58" s="226">
        <f t="shared" si="22"/>
        <v>0</v>
      </c>
      <c r="L58" s="226">
        <f t="shared" si="22"/>
        <v>0</v>
      </c>
      <c r="M58" s="226">
        <f t="shared" si="22"/>
        <v>0</v>
      </c>
      <c r="N58" s="226">
        <f t="shared" si="22"/>
        <v>0</v>
      </c>
      <c r="O58" s="226">
        <f t="shared" si="22"/>
        <v>0</v>
      </c>
      <c r="P58" s="226">
        <f t="shared" si="22"/>
        <v>0</v>
      </c>
      <c r="Q58" s="226">
        <f t="shared" si="22"/>
        <v>0</v>
      </c>
      <c r="R58" s="226">
        <f t="shared" si="22"/>
        <v>0</v>
      </c>
      <c r="S58" s="226">
        <f t="shared" si="22"/>
        <v>0</v>
      </c>
      <c r="T58" s="226">
        <f t="shared" si="22"/>
        <v>0</v>
      </c>
      <c r="U58" s="226">
        <f t="shared" si="22"/>
        <v>0</v>
      </c>
      <c r="V58" s="226">
        <f t="shared" si="22"/>
        <v>0</v>
      </c>
      <c r="W58" s="226">
        <f t="shared" si="22"/>
        <v>0</v>
      </c>
      <c r="X58" s="226">
        <f t="shared" ref="X58:AM58" si="23">W58</f>
        <v>0</v>
      </c>
      <c r="Y58" s="226">
        <f t="shared" si="23"/>
        <v>0</v>
      </c>
      <c r="Z58" s="226">
        <f t="shared" si="23"/>
        <v>0</v>
      </c>
      <c r="AA58" s="226">
        <f t="shared" si="23"/>
        <v>0</v>
      </c>
      <c r="AB58" s="226">
        <f t="shared" si="23"/>
        <v>0</v>
      </c>
      <c r="AC58" s="226">
        <f t="shared" si="23"/>
        <v>0</v>
      </c>
      <c r="AD58" s="226">
        <f t="shared" si="23"/>
        <v>0</v>
      </c>
      <c r="AE58" s="226">
        <f t="shared" si="23"/>
        <v>0</v>
      </c>
      <c r="AF58" s="226">
        <f t="shared" si="23"/>
        <v>0</v>
      </c>
      <c r="AG58" s="226">
        <f t="shared" si="23"/>
        <v>0</v>
      </c>
      <c r="AH58" s="226">
        <f t="shared" si="23"/>
        <v>0</v>
      </c>
      <c r="AI58" s="226">
        <f t="shared" si="23"/>
        <v>0</v>
      </c>
      <c r="AJ58" s="226">
        <f t="shared" si="23"/>
        <v>0</v>
      </c>
      <c r="AK58" s="226">
        <f t="shared" si="23"/>
        <v>0</v>
      </c>
      <c r="AL58" s="226">
        <f t="shared" si="23"/>
        <v>0</v>
      </c>
      <c r="AM58" s="226">
        <f t="shared" si="23"/>
        <v>0</v>
      </c>
      <c r="AN58" s="226">
        <f>W58</f>
        <v>0</v>
      </c>
      <c r="AO58" s="226">
        <f t="shared" si="22"/>
        <v>0</v>
      </c>
      <c r="AP58" s="226">
        <f t="shared" si="22"/>
        <v>0</v>
      </c>
      <c r="AQ58" s="226">
        <f t="shared" si="22"/>
        <v>0</v>
      </c>
    </row>
    <row r="59" spans="1:43" s="229" customFormat="1" ht="18" hidden="1" customHeight="1" outlineLevel="2" x14ac:dyDescent="0.15">
      <c r="A59" s="227"/>
      <c r="B59" s="224" t="str">
        <f>$B$10</f>
        <v>销售率</v>
      </c>
      <c r="C59" s="228">
        <f>SUM(D59:AQ59)</f>
        <v>0</v>
      </c>
      <c r="D59" s="234"/>
      <c r="E59" s="234"/>
      <c r="F59" s="234"/>
      <c r="G59" s="234"/>
      <c r="H59" s="234"/>
      <c r="I59" s="234"/>
      <c r="J59" s="234"/>
      <c r="K59" s="234"/>
      <c r="L59" s="234"/>
      <c r="M59" s="234"/>
      <c r="N59" s="234"/>
      <c r="O59" s="234"/>
      <c r="P59" s="234"/>
      <c r="Q59" s="234"/>
      <c r="R59" s="234"/>
      <c r="S59" s="234"/>
      <c r="T59" s="234"/>
      <c r="U59" s="234"/>
      <c r="V59" s="234"/>
      <c r="W59" s="234"/>
      <c r="X59" s="234"/>
      <c r="Y59" s="234"/>
      <c r="Z59" s="234"/>
      <c r="AA59" s="234"/>
      <c r="AB59" s="234"/>
      <c r="AC59" s="234"/>
      <c r="AD59" s="234"/>
      <c r="AE59" s="234"/>
      <c r="AF59" s="234"/>
      <c r="AG59" s="234"/>
      <c r="AH59" s="234"/>
      <c r="AI59" s="234"/>
      <c r="AJ59" s="234"/>
      <c r="AK59" s="234"/>
      <c r="AL59" s="234"/>
      <c r="AM59" s="234"/>
      <c r="AN59" s="234"/>
      <c r="AO59" s="234"/>
      <c r="AP59" s="234"/>
      <c r="AQ59" s="234"/>
    </row>
    <row r="60" spans="1:43" s="229" customFormat="1" ht="18" hidden="1" customHeight="1" outlineLevel="2" x14ac:dyDescent="0.15">
      <c r="A60" s="227"/>
      <c r="B60" s="224" t="s">
        <v>577</v>
      </c>
      <c r="C60" s="713"/>
      <c r="D60" s="228"/>
      <c r="E60" s="228"/>
      <c r="F60" s="228"/>
      <c r="G60" s="228"/>
      <c r="H60" s="228"/>
      <c r="I60" s="228"/>
      <c r="J60" s="228"/>
      <c r="K60" s="228"/>
      <c r="L60" s="228"/>
      <c r="M60" s="228"/>
      <c r="N60" s="228"/>
      <c r="O60" s="228"/>
      <c r="P60" s="228"/>
      <c r="Q60" s="228"/>
      <c r="R60" s="228"/>
      <c r="S60" s="228"/>
      <c r="T60" s="228"/>
      <c r="U60" s="228"/>
      <c r="V60" s="228"/>
      <c r="W60" s="228"/>
      <c r="X60" s="228"/>
      <c r="Y60" s="228"/>
      <c r="Z60" s="228"/>
      <c r="AA60" s="228"/>
      <c r="AB60" s="228"/>
      <c r="AC60" s="228"/>
      <c r="AD60" s="228"/>
      <c r="AE60" s="228"/>
      <c r="AF60" s="228"/>
      <c r="AG60" s="228"/>
      <c r="AH60" s="228"/>
      <c r="AI60" s="228"/>
      <c r="AJ60" s="228"/>
      <c r="AK60" s="228"/>
      <c r="AL60" s="228"/>
      <c r="AM60" s="228"/>
      <c r="AN60" s="228"/>
      <c r="AO60" s="228"/>
      <c r="AP60" s="228"/>
      <c r="AQ60" s="228"/>
    </row>
    <row r="61" spans="1:43" s="213" customFormat="1" ht="18" hidden="1" customHeight="1" outlineLevel="2" x14ac:dyDescent="0.15">
      <c r="A61" s="216"/>
      <c r="B61" s="230"/>
      <c r="C61" s="228"/>
      <c r="D61" s="231"/>
      <c r="E61" s="231"/>
      <c r="F61" s="231"/>
      <c r="G61" s="231"/>
      <c r="H61" s="231"/>
      <c r="I61" s="231"/>
      <c r="J61" s="231"/>
      <c r="K61" s="231"/>
      <c r="L61" s="231"/>
      <c r="M61" s="231"/>
      <c r="N61" s="231"/>
      <c r="O61" s="231"/>
      <c r="P61" s="231"/>
      <c r="Q61" s="231"/>
      <c r="R61" s="231"/>
      <c r="S61" s="231"/>
      <c r="T61" s="231"/>
      <c r="U61" s="231"/>
      <c r="V61" s="231"/>
      <c r="W61" s="231"/>
      <c r="X61" s="231"/>
      <c r="Y61" s="231"/>
      <c r="Z61" s="231"/>
      <c r="AA61" s="231"/>
      <c r="AB61" s="231"/>
      <c r="AC61" s="231"/>
      <c r="AD61" s="231"/>
      <c r="AE61" s="231"/>
      <c r="AF61" s="231"/>
      <c r="AG61" s="231"/>
      <c r="AH61" s="231"/>
      <c r="AI61" s="231"/>
      <c r="AJ61" s="231"/>
      <c r="AK61" s="231"/>
      <c r="AL61" s="231"/>
      <c r="AM61" s="231"/>
      <c r="AN61" s="231"/>
      <c r="AO61" s="231"/>
      <c r="AP61" s="231"/>
      <c r="AQ61" s="231"/>
    </row>
    <row r="62" spans="1:43" s="213" customFormat="1" ht="18" hidden="1" customHeight="1" outlineLevel="1" x14ac:dyDescent="0.15">
      <c r="A62" s="216" t="s">
        <v>303</v>
      </c>
      <c r="B62" s="210">
        <f>规划指标!F12</f>
        <v>0</v>
      </c>
      <c r="C62" s="217">
        <f>SUM(D62:AQ62)</f>
        <v>0</v>
      </c>
      <c r="D62" s="201">
        <f>ROUND(D65*D63/10000,0)</f>
        <v>0</v>
      </c>
      <c r="E62" s="201">
        <f t="shared" ref="E62:AQ62" si="24">ROUND(E65*E63/10000,0)</f>
        <v>0</v>
      </c>
      <c r="F62" s="201">
        <f t="shared" si="24"/>
        <v>0</v>
      </c>
      <c r="G62" s="201">
        <f t="shared" si="24"/>
        <v>0</v>
      </c>
      <c r="H62" s="201">
        <f t="shared" si="24"/>
        <v>0</v>
      </c>
      <c r="I62" s="201">
        <f t="shared" si="24"/>
        <v>0</v>
      </c>
      <c r="J62" s="201">
        <f t="shared" si="24"/>
        <v>0</v>
      </c>
      <c r="K62" s="201">
        <f t="shared" si="24"/>
        <v>0</v>
      </c>
      <c r="L62" s="201">
        <f t="shared" si="24"/>
        <v>0</v>
      </c>
      <c r="M62" s="201">
        <f t="shared" si="24"/>
        <v>0</v>
      </c>
      <c r="N62" s="201">
        <f t="shared" si="24"/>
        <v>0</v>
      </c>
      <c r="O62" s="201">
        <f t="shared" si="24"/>
        <v>0</v>
      </c>
      <c r="P62" s="201">
        <f t="shared" si="24"/>
        <v>0</v>
      </c>
      <c r="Q62" s="201">
        <f t="shared" si="24"/>
        <v>0</v>
      </c>
      <c r="R62" s="201">
        <f t="shared" si="24"/>
        <v>0</v>
      </c>
      <c r="S62" s="201">
        <f t="shared" si="24"/>
        <v>0</v>
      </c>
      <c r="T62" s="201">
        <f t="shared" si="24"/>
        <v>0</v>
      </c>
      <c r="U62" s="201">
        <f t="shared" si="24"/>
        <v>0</v>
      </c>
      <c r="V62" s="201">
        <f t="shared" si="24"/>
        <v>0</v>
      </c>
      <c r="W62" s="201">
        <f t="shared" si="24"/>
        <v>0</v>
      </c>
      <c r="X62" s="201">
        <f t="shared" si="24"/>
        <v>0</v>
      </c>
      <c r="Y62" s="201">
        <f t="shared" si="24"/>
        <v>0</v>
      </c>
      <c r="Z62" s="201">
        <f t="shared" si="24"/>
        <v>0</v>
      </c>
      <c r="AA62" s="201">
        <f t="shared" si="24"/>
        <v>0</v>
      </c>
      <c r="AB62" s="201">
        <f t="shared" si="24"/>
        <v>0</v>
      </c>
      <c r="AC62" s="201">
        <f t="shared" si="24"/>
        <v>0</v>
      </c>
      <c r="AD62" s="201">
        <f t="shared" si="24"/>
        <v>0</v>
      </c>
      <c r="AE62" s="201">
        <f t="shared" si="24"/>
        <v>0</v>
      </c>
      <c r="AF62" s="201">
        <f t="shared" si="24"/>
        <v>0</v>
      </c>
      <c r="AG62" s="201">
        <f t="shared" si="24"/>
        <v>0</v>
      </c>
      <c r="AH62" s="201">
        <f t="shared" si="24"/>
        <v>0</v>
      </c>
      <c r="AI62" s="201">
        <f t="shared" si="24"/>
        <v>0</v>
      </c>
      <c r="AJ62" s="201">
        <f t="shared" si="24"/>
        <v>0</v>
      </c>
      <c r="AK62" s="201">
        <f t="shared" si="24"/>
        <v>0</v>
      </c>
      <c r="AL62" s="201">
        <f t="shared" si="24"/>
        <v>0</v>
      </c>
      <c r="AM62" s="201">
        <f t="shared" si="24"/>
        <v>0</v>
      </c>
      <c r="AN62" s="201">
        <f t="shared" si="24"/>
        <v>0</v>
      </c>
      <c r="AO62" s="201">
        <f t="shared" si="24"/>
        <v>0</v>
      </c>
      <c r="AP62" s="201">
        <f t="shared" si="24"/>
        <v>0</v>
      </c>
      <c r="AQ62" s="201">
        <f t="shared" si="24"/>
        <v>0</v>
      </c>
    </row>
    <row r="63" spans="1:43" s="213" customFormat="1" ht="18" hidden="1" customHeight="1" outlineLevel="2" x14ac:dyDescent="0.15">
      <c r="A63" s="216"/>
      <c r="B63" s="224" t="str">
        <f>$B$7</f>
        <v>销售数量</v>
      </c>
      <c r="C63" s="217">
        <f>SUM(D63:AQ63)</f>
        <v>0</v>
      </c>
      <c r="D63" s="201">
        <f>D66*规划指标!$G$12</f>
        <v>0</v>
      </c>
      <c r="E63" s="201">
        <f>E66*规划指标!$G$12</f>
        <v>0</v>
      </c>
      <c r="F63" s="201">
        <f>F66*规划指标!$G$12</f>
        <v>0</v>
      </c>
      <c r="G63" s="201">
        <f>G66*规划指标!$G$12</f>
        <v>0</v>
      </c>
      <c r="H63" s="201">
        <f>H66*规划指标!$G$12</f>
        <v>0</v>
      </c>
      <c r="I63" s="201">
        <f>I66*规划指标!$G$12</f>
        <v>0</v>
      </c>
      <c r="J63" s="201">
        <f>J66*规划指标!$G$12</f>
        <v>0</v>
      </c>
      <c r="K63" s="201">
        <f>K66*规划指标!$G$12</f>
        <v>0</v>
      </c>
      <c r="L63" s="201">
        <f>L66*规划指标!$G$12</f>
        <v>0</v>
      </c>
      <c r="M63" s="201">
        <f>M66*规划指标!$G$12</f>
        <v>0</v>
      </c>
      <c r="N63" s="201">
        <f>N66*规划指标!$G$12</f>
        <v>0</v>
      </c>
      <c r="O63" s="201">
        <f>O66*规划指标!$G$12</f>
        <v>0</v>
      </c>
      <c r="P63" s="201">
        <f>P66*规划指标!$G$12</f>
        <v>0</v>
      </c>
      <c r="Q63" s="201">
        <f>Q66*规划指标!$G$12</f>
        <v>0</v>
      </c>
      <c r="R63" s="201">
        <f>R66*规划指标!$G$12</f>
        <v>0</v>
      </c>
      <c r="S63" s="201">
        <f>S66*规划指标!$G$12</f>
        <v>0</v>
      </c>
      <c r="T63" s="201">
        <f>T66*规划指标!$G$12</f>
        <v>0</v>
      </c>
      <c r="U63" s="201">
        <f>U66*规划指标!$G$12</f>
        <v>0</v>
      </c>
      <c r="V63" s="201">
        <f>V66*规划指标!$G$12</f>
        <v>0</v>
      </c>
      <c r="W63" s="201">
        <f>W66*规划指标!$G$12</f>
        <v>0</v>
      </c>
      <c r="X63" s="201">
        <f>X66*规划指标!$G$12</f>
        <v>0</v>
      </c>
      <c r="Y63" s="201">
        <f>Y66*规划指标!$G$12</f>
        <v>0</v>
      </c>
      <c r="Z63" s="201">
        <f>Z66*规划指标!$G$12</f>
        <v>0</v>
      </c>
      <c r="AA63" s="201">
        <f>AA66*规划指标!$G$12</f>
        <v>0</v>
      </c>
      <c r="AB63" s="201">
        <f>AB66*规划指标!$G$12</f>
        <v>0</v>
      </c>
      <c r="AC63" s="201">
        <f>AC66*规划指标!$G$12</f>
        <v>0</v>
      </c>
      <c r="AD63" s="201">
        <f>AD66*规划指标!$G$12</f>
        <v>0</v>
      </c>
      <c r="AE63" s="201">
        <f>AE66*规划指标!$G$12</f>
        <v>0</v>
      </c>
      <c r="AF63" s="201">
        <f>AF66*规划指标!$G$12</f>
        <v>0</v>
      </c>
      <c r="AG63" s="201">
        <f>AG66*规划指标!$G$12</f>
        <v>0</v>
      </c>
      <c r="AH63" s="201">
        <f>AH66*规划指标!$G$12</f>
        <v>0</v>
      </c>
      <c r="AI63" s="201">
        <f>AI66*规划指标!$G$12</f>
        <v>0</v>
      </c>
      <c r="AJ63" s="201">
        <f>AJ66*规划指标!$G$12</f>
        <v>0</v>
      </c>
      <c r="AK63" s="201">
        <f>AK66*规划指标!$G$12</f>
        <v>0</v>
      </c>
      <c r="AL63" s="201">
        <f>AL66*规划指标!$G$12</f>
        <v>0</v>
      </c>
      <c r="AM63" s="201">
        <f>AM66*规划指标!$G$12</f>
        <v>0</v>
      </c>
      <c r="AN63" s="201">
        <f>AN66*规划指标!$G$12</f>
        <v>0</v>
      </c>
      <c r="AO63" s="201">
        <f>AO66*规划指标!$G$12</f>
        <v>0</v>
      </c>
      <c r="AP63" s="201">
        <f>AP66*规划指标!$G$12</f>
        <v>0</v>
      </c>
      <c r="AQ63" s="201">
        <f>AQ66*规划指标!$G$12</f>
        <v>0</v>
      </c>
    </row>
    <row r="64" spans="1:43" s="213" customFormat="1" ht="18" hidden="1" customHeight="1" outlineLevel="2" x14ac:dyDescent="0.15">
      <c r="A64" s="216"/>
      <c r="B64" s="224" t="str">
        <f>B57</f>
        <v>销售套数</v>
      </c>
      <c r="C64" s="217" t="e">
        <f>SUM(D64:AQ64)</f>
        <v>#DIV/0!</v>
      </c>
      <c r="D64" s="245" t="e">
        <f>D63/规划指标!$G$12*规划指标!$I$12</f>
        <v>#DIV/0!</v>
      </c>
      <c r="E64" s="245" t="e">
        <f>E63/规划指标!$G$12*规划指标!$I$12</f>
        <v>#DIV/0!</v>
      </c>
      <c r="F64" s="245" t="e">
        <f>F63/规划指标!$G$12*规划指标!$I$12</f>
        <v>#DIV/0!</v>
      </c>
      <c r="G64" s="245" t="e">
        <f>G63/规划指标!$G$12*规划指标!$I$12</f>
        <v>#DIV/0!</v>
      </c>
      <c r="H64" s="245" t="e">
        <f>H63/规划指标!$G$12*规划指标!$I$12</f>
        <v>#DIV/0!</v>
      </c>
      <c r="I64" s="245" t="e">
        <f>I63/规划指标!$G$12*规划指标!$I$12</f>
        <v>#DIV/0!</v>
      </c>
      <c r="J64" s="245" t="e">
        <f>J63/规划指标!$G$12*规划指标!$I$12</f>
        <v>#DIV/0!</v>
      </c>
      <c r="K64" s="245" t="e">
        <f>K63/规划指标!$G$12*规划指标!$I$12</f>
        <v>#DIV/0!</v>
      </c>
      <c r="L64" s="245" t="e">
        <f>L63/规划指标!$G$12*规划指标!$I$12</f>
        <v>#DIV/0!</v>
      </c>
      <c r="M64" s="245" t="e">
        <f>M63/规划指标!$G$12*规划指标!$I$12</f>
        <v>#DIV/0!</v>
      </c>
      <c r="N64" s="245" t="e">
        <f>N63/规划指标!$G$12*规划指标!$I$12</f>
        <v>#DIV/0!</v>
      </c>
      <c r="O64" s="245" t="e">
        <f>O63/规划指标!$G$12*规划指标!$I$12</f>
        <v>#DIV/0!</v>
      </c>
      <c r="P64" s="245" t="e">
        <f>P63/规划指标!$G$12*规划指标!$I$12</f>
        <v>#DIV/0!</v>
      </c>
      <c r="Q64" s="245" t="e">
        <f>Q63/规划指标!$G$12*规划指标!$I$12</f>
        <v>#DIV/0!</v>
      </c>
      <c r="R64" s="245" t="e">
        <f>R63/规划指标!$G$12*规划指标!$I$12</f>
        <v>#DIV/0!</v>
      </c>
      <c r="S64" s="245" t="e">
        <f>S63/规划指标!$G$12*规划指标!$I$12</f>
        <v>#DIV/0!</v>
      </c>
      <c r="T64" s="245" t="e">
        <f>T63/规划指标!$G$12*规划指标!$I$12</f>
        <v>#DIV/0!</v>
      </c>
      <c r="U64" s="245" t="e">
        <f>U63/规划指标!$G$12*规划指标!$I$12</f>
        <v>#DIV/0!</v>
      </c>
      <c r="V64" s="245" t="e">
        <f>V63/规划指标!$G$12*规划指标!$I$12</f>
        <v>#DIV/0!</v>
      </c>
      <c r="W64" s="245" t="e">
        <f>W63/规划指标!$G$12*规划指标!$I$12</f>
        <v>#DIV/0!</v>
      </c>
      <c r="X64" s="245" t="e">
        <f>X63/规划指标!$G$12*规划指标!$I$12</f>
        <v>#DIV/0!</v>
      </c>
      <c r="Y64" s="245" t="e">
        <f>Y63/规划指标!$G$12*规划指标!$I$12</f>
        <v>#DIV/0!</v>
      </c>
      <c r="Z64" s="245" t="e">
        <f>Z63/规划指标!$G$12*规划指标!$I$12</f>
        <v>#DIV/0!</v>
      </c>
      <c r="AA64" s="245" t="e">
        <f>AA63/规划指标!$G$12*规划指标!$I$12</f>
        <v>#DIV/0!</v>
      </c>
      <c r="AB64" s="245" t="e">
        <f>AB63/规划指标!$G$12*规划指标!$I$12</f>
        <v>#DIV/0!</v>
      </c>
      <c r="AC64" s="245" t="e">
        <f>AC63/规划指标!$G$12*规划指标!$I$12</f>
        <v>#DIV/0!</v>
      </c>
      <c r="AD64" s="245" t="e">
        <f>AD63/规划指标!$G$12*规划指标!$I$12</f>
        <v>#DIV/0!</v>
      </c>
      <c r="AE64" s="245" t="e">
        <f>AE63/规划指标!$G$12*规划指标!$I$12</f>
        <v>#DIV/0!</v>
      </c>
      <c r="AF64" s="245" t="e">
        <f>AF63/规划指标!$G$12*规划指标!$I$12</f>
        <v>#DIV/0!</v>
      </c>
      <c r="AG64" s="245" t="e">
        <f>AG63/规划指标!$G$12*规划指标!$I$12</f>
        <v>#DIV/0!</v>
      </c>
      <c r="AH64" s="245" t="e">
        <f>AH63/规划指标!$G$12*规划指标!$I$12</f>
        <v>#DIV/0!</v>
      </c>
      <c r="AI64" s="245" t="e">
        <f>AI63/规划指标!$G$12*规划指标!$I$12</f>
        <v>#DIV/0!</v>
      </c>
      <c r="AJ64" s="245" t="e">
        <f>AJ63/规划指标!$G$12*规划指标!$I$12</f>
        <v>#DIV/0!</v>
      </c>
      <c r="AK64" s="245" t="e">
        <f>AK63/规划指标!$G$12*规划指标!$I$12</f>
        <v>#DIV/0!</v>
      </c>
      <c r="AL64" s="245" t="e">
        <f>AL63/规划指标!$G$12*规划指标!$I$12</f>
        <v>#DIV/0!</v>
      </c>
      <c r="AM64" s="245" t="e">
        <f>AM63/规划指标!$G$12*规划指标!$I$12</f>
        <v>#DIV/0!</v>
      </c>
      <c r="AN64" s="245" t="e">
        <f>AN63/规划指标!$G$12*规划指标!$I$12</f>
        <v>#DIV/0!</v>
      </c>
      <c r="AO64" s="245" t="e">
        <f>AO63/规划指标!$G$12*规划指标!$I$12</f>
        <v>#DIV/0!</v>
      </c>
      <c r="AP64" s="245" t="e">
        <f>AP63/规划指标!$G$12*规划指标!$I$12</f>
        <v>#DIV/0!</v>
      </c>
      <c r="AQ64" s="245" t="e">
        <f>AQ63/规划指标!$G$12*规划指标!$I$12</f>
        <v>#DIV/0!</v>
      </c>
    </row>
    <row r="65" spans="1:46" s="213" customFormat="1" ht="18" hidden="1" customHeight="1" outlineLevel="2" x14ac:dyDescent="0.15">
      <c r="A65" s="216"/>
      <c r="B65" s="224" t="str">
        <f>$B$9</f>
        <v>销售均价</v>
      </c>
      <c r="C65" s="225" t="e">
        <f>ROUND(C62/C63*10000,0)</f>
        <v>#DIV/0!</v>
      </c>
      <c r="D65" s="226">
        <f>ROUND(C67*D160,0)</f>
        <v>0</v>
      </c>
      <c r="E65" s="226">
        <f>D65</f>
        <v>0</v>
      </c>
      <c r="F65" s="226">
        <f t="shared" ref="F65:AQ65" si="25">E65</f>
        <v>0</v>
      </c>
      <c r="G65" s="226">
        <f t="shared" si="25"/>
        <v>0</v>
      </c>
      <c r="H65" s="226">
        <f t="shared" si="25"/>
        <v>0</v>
      </c>
      <c r="I65" s="226">
        <f t="shared" si="25"/>
        <v>0</v>
      </c>
      <c r="J65" s="226">
        <f t="shared" si="25"/>
        <v>0</v>
      </c>
      <c r="K65" s="226">
        <f t="shared" si="25"/>
        <v>0</v>
      </c>
      <c r="L65" s="226">
        <f t="shared" si="25"/>
        <v>0</v>
      </c>
      <c r="M65" s="226">
        <f t="shared" si="25"/>
        <v>0</v>
      </c>
      <c r="N65" s="226">
        <f t="shared" si="25"/>
        <v>0</v>
      </c>
      <c r="O65" s="226">
        <f t="shared" si="25"/>
        <v>0</v>
      </c>
      <c r="P65" s="226">
        <f t="shared" si="25"/>
        <v>0</v>
      </c>
      <c r="Q65" s="226">
        <f t="shared" si="25"/>
        <v>0</v>
      </c>
      <c r="R65" s="226">
        <f t="shared" si="25"/>
        <v>0</v>
      </c>
      <c r="S65" s="226">
        <f t="shared" si="25"/>
        <v>0</v>
      </c>
      <c r="T65" s="226">
        <f t="shared" si="25"/>
        <v>0</v>
      </c>
      <c r="U65" s="226">
        <f t="shared" si="25"/>
        <v>0</v>
      </c>
      <c r="V65" s="226">
        <f t="shared" si="25"/>
        <v>0</v>
      </c>
      <c r="W65" s="226">
        <f t="shared" si="25"/>
        <v>0</v>
      </c>
      <c r="X65" s="226">
        <f t="shared" ref="X65:AM65" si="26">W65</f>
        <v>0</v>
      </c>
      <c r="Y65" s="226">
        <f t="shared" si="26"/>
        <v>0</v>
      </c>
      <c r="Z65" s="226">
        <f t="shared" si="26"/>
        <v>0</v>
      </c>
      <c r="AA65" s="226">
        <f t="shared" si="26"/>
        <v>0</v>
      </c>
      <c r="AB65" s="226">
        <f t="shared" si="26"/>
        <v>0</v>
      </c>
      <c r="AC65" s="226">
        <f t="shared" si="26"/>
        <v>0</v>
      </c>
      <c r="AD65" s="226">
        <f t="shared" si="26"/>
        <v>0</v>
      </c>
      <c r="AE65" s="226">
        <f t="shared" si="26"/>
        <v>0</v>
      </c>
      <c r="AF65" s="226">
        <f t="shared" si="26"/>
        <v>0</v>
      </c>
      <c r="AG65" s="226">
        <f t="shared" si="26"/>
        <v>0</v>
      </c>
      <c r="AH65" s="226">
        <f t="shared" si="26"/>
        <v>0</v>
      </c>
      <c r="AI65" s="226">
        <f t="shared" si="26"/>
        <v>0</v>
      </c>
      <c r="AJ65" s="226">
        <f t="shared" si="26"/>
        <v>0</v>
      </c>
      <c r="AK65" s="226">
        <f t="shared" si="26"/>
        <v>0</v>
      </c>
      <c r="AL65" s="226">
        <f t="shared" si="26"/>
        <v>0</v>
      </c>
      <c r="AM65" s="226">
        <f t="shared" si="26"/>
        <v>0</v>
      </c>
      <c r="AN65" s="226">
        <f>W65</f>
        <v>0</v>
      </c>
      <c r="AO65" s="226">
        <f t="shared" si="25"/>
        <v>0</v>
      </c>
      <c r="AP65" s="226">
        <f t="shared" si="25"/>
        <v>0</v>
      </c>
      <c r="AQ65" s="226">
        <f t="shared" si="25"/>
        <v>0</v>
      </c>
      <c r="AS65" s="571"/>
      <c r="AT65" s="202"/>
    </row>
    <row r="66" spans="1:46" s="229" customFormat="1" ht="18" hidden="1" customHeight="1" outlineLevel="2" x14ac:dyDescent="0.15">
      <c r="A66" s="227"/>
      <c r="B66" s="224" t="str">
        <f>$B$10</f>
        <v>销售率</v>
      </c>
      <c r="C66" s="228">
        <f>SUM(D66:AQ66)</f>
        <v>0</v>
      </c>
      <c r="D66" s="234"/>
      <c r="E66" s="234"/>
      <c r="F66" s="234"/>
      <c r="G66" s="234"/>
      <c r="H66" s="234"/>
      <c r="I66" s="234"/>
      <c r="J66" s="234"/>
      <c r="K66" s="234"/>
      <c r="L66" s="234"/>
      <c r="M66" s="234"/>
      <c r="N66" s="234"/>
      <c r="O66" s="234"/>
      <c r="P66" s="234"/>
      <c r="Q66" s="234"/>
      <c r="R66" s="234"/>
      <c r="S66" s="234"/>
      <c r="T66" s="234"/>
      <c r="U66" s="234"/>
      <c r="V66" s="234"/>
      <c r="W66" s="234"/>
      <c r="X66" s="234"/>
      <c r="Y66" s="234"/>
      <c r="Z66" s="234"/>
      <c r="AA66" s="234"/>
      <c r="AB66" s="234"/>
      <c r="AC66" s="234"/>
      <c r="AD66" s="234"/>
      <c r="AE66" s="234"/>
      <c r="AF66" s="234"/>
      <c r="AG66" s="234"/>
      <c r="AH66" s="234"/>
      <c r="AI66" s="234"/>
      <c r="AJ66" s="234"/>
      <c r="AK66" s="234"/>
      <c r="AL66" s="234"/>
      <c r="AM66" s="234"/>
      <c r="AN66" s="234"/>
      <c r="AO66" s="234"/>
      <c r="AP66" s="234"/>
      <c r="AQ66" s="234"/>
    </row>
    <row r="67" spans="1:46" s="229" customFormat="1" ht="18" hidden="1" customHeight="1" outlineLevel="2" x14ac:dyDescent="0.15">
      <c r="A67" s="227"/>
      <c r="B67" s="224" t="s">
        <v>577</v>
      </c>
      <c r="C67" s="713"/>
      <c r="D67" s="228"/>
      <c r="E67" s="228"/>
      <c r="F67" s="228"/>
      <c r="G67" s="228"/>
      <c r="H67" s="228"/>
      <c r="I67" s="228"/>
      <c r="J67" s="228"/>
      <c r="K67" s="228"/>
      <c r="L67" s="228"/>
      <c r="M67" s="228"/>
      <c r="N67" s="228"/>
      <c r="O67" s="228"/>
      <c r="P67" s="228"/>
      <c r="Q67" s="228"/>
      <c r="R67" s="228"/>
      <c r="S67" s="228"/>
      <c r="T67" s="228"/>
      <c r="U67" s="228"/>
      <c r="V67" s="228"/>
      <c r="W67" s="228"/>
      <c r="X67" s="228"/>
      <c r="Y67" s="228"/>
      <c r="Z67" s="228"/>
      <c r="AA67" s="228"/>
      <c r="AB67" s="228"/>
      <c r="AC67" s="228"/>
      <c r="AD67" s="228"/>
      <c r="AE67" s="228"/>
      <c r="AF67" s="228"/>
      <c r="AG67" s="228"/>
      <c r="AH67" s="228"/>
      <c r="AI67" s="228"/>
      <c r="AJ67" s="228"/>
      <c r="AK67" s="228"/>
      <c r="AL67" s="228"/>
      <c r="AM67" s="228"/>
      <c r="AN67" s="228"/>
      <c r="AO67" s="228"/>
      <c r="AP67" s="228"/>
      <c r="AQ67" s="228"/>
    </row>
    <row r="68" spans="1:46" s="213" customFormat="1" ht="18" hidden="1" customHeight="1" outlineLevel="2" x14ac:dyDescent="0.15">
      <c r="A68" s="216"/>
      <c r="B68" s="230"/>
      <c r="C68" s="228"/>
      <c r="D68" s="231"/>
      <c r="E68" s="231"/>
      <c r="F68" s="231"/>
      <c r="G68" s="231"/>
      <c r="H68" s="231"/>
      <c r="I68" s="231"/>
      <c r="J68" s="231"/>
      <c r="K68" s="231"/>
      <c r="L68" s="231"/>
      <c r="M68" s="231"/>
      <c r="N68" s="231"/>
      <c r="O68" s="231"/>
      <c r="P68" s="231"/>
      <c r="Q68" s="231"/>
      <c r="R68" s="231"/>
      <c r="S68" s="231"/>
      <c r="T68" s="231"/>
      <c r="U68" s="231"/>
      <c r="V68" s="231"/>
      <c r="W68" s="231"/>
      <c r="X68" s="231"/>
      <c r="Y68" s="231"/>
      <c r="Z68" s="231"/>
      <c r="AA68" s="231"/>
      <c r="AB68" s="231"/>
      <c r="AC68" s="231"/>
      <c r="AD68" s="231"/>
      <c r="AE68" s="231"/>
      <c r="AF68" s="231"/>
      <c r="AG68" s="231"/>
      <c r="AH68" s="231"/>
      <c r="AI68" s="231"/>
      <c r="AJ68" s="231"/>
      <c r="AK68" s="231"/>
      <c r="AL68" s="231"/>
      <c r="AM68" s="231"/>
      <c r="AN68" s="231"/>
      <c r="AO68" s="231"/>
      <c r="AP68" s="231"/>
      <c r="AQ68" s="231"/>
    </row>
    <row r="69" spans="1:46" s="213" customFormat="1" ht="18" hidden="1" customHeight="1" outlineLevel="1" x14ac:dyDescent="0.15">
      <c r="A69" s="216" t="s">
        <v>294</v>
      </c>
      <c r="B69" s="210">
        <f>规划指标!F13</f>
        <v>0</v>
      </c>
      <c r="C69" s="217">
        <f>SUM(D69:AQ69)</f>
        <v>0</v>
      </c>
      <c r="D69" s="201">
        <f>D72*D70/10000</f>
        <v>0</v>
      </c>
      <c r="E69" s="201">
        <f t="shared" ref="E69:AQ69" si="27">E72*E70/10000</f>
        <v>0</v>
      </c>
      <c r="F69" s="201">
        <f t="shared" si="27"/>
        <v>0</v>
      </c>
      <c r="G69" s="201">
        <f t="shared" si="27"/>
        <v>0</v>
      </c>
      <c r="H69" s="201">
        <f t="shared" si="27"/>
        <v>0</v>
      </c>
      <c r="I69" s="201">
        <f t="shared" si="27"/>
        <v>0</v>
      </c>
      <c r="J69" s="201">
        <f t="shared" si="27"/>
        <v>0</v>
      </c>
      <c r="K69" s="201">
        <f t="shared" si="27"/>
        <v>0</v>
      </c>
      <c r="L69" s="201">
        <f t="shared" si="27"/>
        <v>0</v>
      </c>
      <c r="M69" s="201">
        <f t="shared" si="27"/>
        <v>0</v>
      </c>
      <c r="N69" s="201">
        <f t="shared" si="27"/>
        <v>0</v>
      </c>
      <c r="O69" s="201">
        <f t="shared" si="27"/>
        <v>0</v>
      </c>
      <c r="P69" s="201">
        <f t="shared" si="27"/>
        <v>0</v>
      </c>
      <c r="Q69" s="201">
        <f t="shared" si="27"/>
        <v>0</v>
      </c>
      <c r="R69" s="201">
        <f t="shared" si="27"/>
        <v>0</v>
      </c>
      <c r="S69" s="201">
        <f t="shared" si="27"/>
        <v>0</v>
      </c>
      <c r="T69" s="201">
        <f t="shared" si="27"/>
        <v>0</v>
      </c>
      <c r="U69" s="201">
        <f t="shared" si="27"/>
        <v>0</v>
      </c>
      <c r="V69" s="201">
        <f t="shared" si="27"/>
        <v>0</v>
      </c>
      <c r="W69" s="201">
        <f t="shared" si="27"/>
        <v>0</v>
      </c>
      <c r="X69" s="201">
        <f t="shared" si="27"/>
        <v>0</v>
      </c>
      <c r="Y69" s="201">
        <f t="shared" si="27"/>
        <v>0</v>
      </c>
      <c r="Z69" s="201">
        <f t="shared" si="27"/>
        <v>0</v>
      </c>
      <c r="AA69" s="201">
        <f t="shared" si="27"/>
        <v>0</v>
      </c>
      <c r="AB69" s="201">
        <f t="shared" si="27"/>
        <v>0</v>
      </c>
      <c r="AC69" s="201">
        <f t="shared" si="27"/>
        <v>0</v>
      </c>
      <c r="AD69" s="201">
        <f t="shared" si="27"/>
        <v>0</v>
      </c>
      <c r="AE69" s="201">
        <f t="shared" si="27"/>
        <v>0</v>
      </c>
      <c r="AF69" s="201">
        <f t="shared" si="27"/>
        <v>0</v>
      </c>
      <c r="AG69" s="201">
        <f t="shared" si="27"/>
        <v>0</v>
      </c>
      <c r="AH69" s="201">
        <f t="shared" si="27"/>
        <v>0</v>
      </c>
      <c r="AI69" s="201">
        <f t="shared" si="27"/>
        <v>0</v>
      </c>
      <c r="AJ69" s="201">
        <f t="shared" si="27"/>
        <v>0</v>
      </c>
      <c r="AK69" s="201">
        <f t="shared" si="27"/>
        <v>0</v>
      </c>
      <c r="AL69" s="201">
        <f t="shared" si="27"/>
        <v>0</v>
      </c>
      <c r="AM69" s="201">
        <f t="shared" si="27"/>
        <v>0</v>
      </c>
      <c r="AN69" s="201">
        <f t="shared" si="27"/>
        <v>0</v>
      </c>
      <c r="AO69" s="201">
        <f t="shared" si="27"/>
        <v>0</v>
      </c>
      <c r="AP69" s="201">
        <f t="shared" si="27"/>
        <v>0</v>
      </c>
      <c r="AQ69" s="201">
        <f t="shared" si="27"/>
        <v>0</v>
      </c>
    </row>
    <row r="70" spans="1:46" s="213" customFormat="1" ht="18" hidden="1" customHeight="1" outlineLevel="2" x14ac:dyDescent="0.15">
      <c r="A70" s="216"/>
      <c r="B70" s="224" t="str">
        <f>$B$7</f>
        <v>销售数量</v>
      </c>
      <c r="C70" s="217">
        <f>SUM(D70:AQ70)</f>
        <v>0</v>
      </c>
      <c r="D70" s="201">
        <f>D73*规划指标!$G$13</f>
        <v>0</v>
      </c>
      <c r="E70" s="201">
        <f>E73*规划指标!$G$13</f>
        <v>0</v>
      </c>
      <c r="F70" s="201">
        <f>F73*规划指标!$G$13</f>
        <v>0</v>
      </c>
      <c r="G70" s="201">
        <f>G73*规划指标!$G$13</f>
        <v>0</v>
      </c>
      <c r="H70" s="201">
        <f>H73*规划指标!$G$13</f>
        <v>0</v>
      </c>
      <c r="I70" s="201">
        <f>I73*规划指标!$G$13</f>
        <v>0</v>
      </c>
      <c r="J70" s="201">
        <f>J73*规划指标!$G$13</f>
        <v>0</v>
      </c>
      <c r="K70" s="201">
        <f>K73*规划指标!$G$13</f>
        <v>0</v>
      </c>
      <c r="L70" s="201">
        <f>L73*规划指标!$G$13</f>
        <v>0</v>
      </c>
      <c r="M70" s="201">
        <f>M73*规划指标!$G$13</f>
        <v>0</v>
      </c>
      <c r="N70" s="201">
        <f>N73*规划指标!$G$13</f>
        <v>0</v>
      </c>
      <c r="O70" s="201">
        <f>O73*规划指标!$G$13</f>
        <v>0</v>
      </c>
      <c r="P70" s="201">
        <f>P73*规划指标!$G$13</f>
        <v>0</v>
      </c>
      <c r="Q70" s="201">
        <f>Q73*规划指标!$G$13</f>
        <v>0</v>
      </c>
      <c r="R70" s="201">
        <f>R73*规划指标!$G$13</f>
        <v>0</v>
      </c>
      <c r="S70" s="201">
        <f>S73*规划指标!$G$13</f>
        <v>0</v>
      </c>
      <c r="T70" s="201">
        <f>T73*规划指标!$G$13</f>
        <v>0</v>
      </c>
      <c r="U70" s="201">
        <f>U73*规划指标!$G$13</f>
        <v>0</v>
      </c>
      <c r="V70" s="201">
        <f>V73*规划指标!$G$13</f>
        <v>0</v>
      </c>
      <c r="W70" s="201">
        <f>W73*规划指标!$G$13</f>
        <v>0</v>
      </c>
      <c r="X70" s="201">
        <f>X73*规划指标!$G$13</f>
        <v>0</v>
      </c>
      <c r="Y70" s="201">
        <f>Y73*规划指标!$G$13</f>
        <v>0</v>
      </c>
      <c r="Z70" s="201">
        <f>Z73*规划指标!$G$13</f>
        <v>0</v>
      </c>
      <c r="AA70" s="201">
        <f>AA73*规划指标!$G$13</f>
        <v>0</v>
      </c>
      <c r="AB70" s="201">
        <f>AB73*规划指标!$G$13</f>
        <v>0</v>
      </c>
      <c r="AC70" s="201">
        <f>AC73*规划指标!$G$13</f>
        <v>0</v>
      </c>
      <c r="AD70" s="201">
        <f>AD73*规划指标!$G$13</f>
        <v>0</v>
      </c>
      <c r="AE70" s="201">
        <f>AE73*规划指标!$G$13</f>
        <v>0</v>
      </c>
      <c r="AF70" s="201">
        <f>AF73*规划指标!$G$13</f>
        <v>0</v>
      </c>
      <c r="AG70" s="201">
        <f>AG73*规划指标!$G$13</f>
        <v>0</v>
      </c>
      <c r="AH70" s="201">
        <f>AH73*规划指标!$G$13</f>
        <v>0</v>
      </c>
      <c r="AI70" s="201">
        <f>AI73*规划指标!$G$13</f>
        <v>0</v>
      </c>
      <c r="AJ70" s="201">
        <f>AJ73*规划指标!$G$13</f>
        <v>0</v>
      </c>
      <c r="AK70" s="201">
        <f>AK73*规划指标!$G$13</f>
        <v>0</v>
      </c>
      <c r="AL70" s="201">
        <f>AL73*规划指标!$G$13</f>
        <v>0</v>
      </c>
      <c r="AM70" s="201">
        <f>AM73*规划指标!$G$13</f>
        <v>0</v>
      </c>
      <c r="AN70" s="201">
        <f>AN73*规划指标!$G$13</f>
        <v>0</v>
      </c>
      <c r="AO70" s="201">
        <f>AO73*规划指标!$G$13</f>
        <v>0</v>
      </c>
      <c r="AP70" s="201">
        <f>AP73*规划指标!$G$13</f>
        <v>0</v>
      </c>
      <c r="AQ70" s="201">
        <f>AQ73*规划指标!$G$13</f>
        <v>0</v>
      </c>
    </row>
    <row r="71" spans="1:46" s="213" customFormat="1" ht="18" hidden="1" customHeight="1" outlineLevel="2" x14ac:dyDescent="0.15">
      <c r="A71" s="216"/>
      <c r="B71" s="224" t="str">
        <f>B64</f>
        <v>销售套数</v>
      </c>
      <c r="C71" s="217" t="e">
        <f>SUM(D71:AQ71)</f>
        <v>#DIV/0!</v>
      </c>
      <c r="D71" s="245" t="e">
        <f>D70/规划指标!$G$13*规划指标!$I$13</f>
        <v>#DIV/0!</v>
      </c>
      <c r="E71" s="245" t="e">
        <f>E70/规划指标!$G$13*规划指标!$I$13</f>
        <v>#DIV/0!</v>
      </c>
      <c r="F71" s="245" t="e">
        <f>F70/规划指标!$G$13*规划指标!$I$13</f>
        <v>#DIV/0!</v>
      </c>
      <c r="G71" s="245" t="e">
        <f>G70/规划指标!$G$13*规划指标!$I$13</f>
        <v>#DIV/0!</v>
      </c>
      <c r="H71" s="245" t="e">
        <f>H70/规划指标!$G$13*规划指标!$I$13</f>
        <v>#DIV/0!</v>
      </c>
      <c r="I71" s="245" t="e">
        <f>I70/规划指标!$G$13*规划指标!$I$13</f>
        <v>#DIV/0!</v>
      </c>
      <c r="J71" s="245" t="e">
        <f>J70/规划指标!$G$13*规划指标!$I$13</f>
        <v>#DIV/0!</v>
      </c>
      <c r="K71" s="245" t="e">
        <f>K70/规划指标!$G$13*规划指标!$I$13</f>
        <v>#DIV/0!</v>
      </c>
      <c r="L71" s="245" t="e">
        <f>L70/规划指标!$G$13*规划指标!$I$13</f>
        <v>#DIV/0!</v>
      </c>
      <c r="M71" s="245" t="e">
        <f>M70/规划指标!$G$13*规划指标!$I$13</f>
        <v>#DIV/0!</v>
      </c>
      <c r="N71" s="245" t="e">
        <f>N70/规划指标!$G$13*规划指标!$I$13</f>
        <v>#DIV/0!</v>
      </c>
      <c r="O71" s="245" t="e">
        <f>O70/规划指标!$G$13*规划指标!$I$13</f>
        <v>#DIV/0!</v>
      </c>
      <c r="P71" s="245" t="e">
        <f>P70/规划指标!$G$13*规划指标!$I$13</f>
        <v>#DIV/0!</v>
      </c>
      <c r="Q71" s="245" t="e">
        <f>Q70/规划指标!$G$13*规划指标!$I$13</f>
        <v>#DIV/0!</v>
      </c>
      <c r="R71" s="245" t="e">
        <f>R70/规划指标!$G$13*规划指标!$I$13</f>
        <v>#DIV/0!</v>
      </c>
      <c r="S71" s="245" t="e">
        <f>S70/规划指标!$G$13*规划指标!$I$13</f>
        <v>#DIV/0!</v>
      </c>
      <c r="T71" s="245" t="e">
        <f>T70/规划指标!$G$13*规划指标!$I$13</f>
        <v>#DIV/0!</v>
      </c>
      <c r="U71" s="245" t="e">
        <f>U70/规划指标!$G$13*规划指标!$I$13</f>
        <v>#DIV/0!</v>
      </c>
      <c r="V71" s="245" t="e">
        <f>V70/规划指标!$G$13*规划指标!$I$13</f>
        <v>#DIV/0!</v>
      </c>
      <c r="W71" s="245" t="e">
        <f>W70/规划指标!$G$13*规划指标!$I$13</f>
        <v>#DIV/0!</v>
      </c>
      <c r="X71" s="245" t="e">
        <f>X70/规划指标!$G$13*规划指标!$I$13</f>
        <v>#DIV/0!</v>
      </c>
      <c r="Y71" s="245" t="e">
        <f>Y70/规划指标!$G$13*规划指标!$I$13</f>
        <v>#DIV/0!</v>
      </c>
      <c r="Z71" s="245" t="e">
        <f>Z70/规划指标!$G$13*规划指标!$I$13</f>
        <v>#DIV/0!</v>
      </c>
      <c r="AA71" s="245" t="e">
        <f>AA70/规划指标!$G$13*规划指标!$I$13</f>
        <v>#DIV/0!</v>
      </c>
      <c r="AB71" s="245" t="e">
        <f>AB70/规划指标!$G$13*规划指标!$I$13</f>
        <v>#DIV/0!</v>
      </c>
      <c r="AC71" s="245" t="e">
        <f>AC70/规划指标!$G$13*规划指标!$I$13</f>
        <v>#DIV/0!</v>
      </c>
      <c r="AD71" s="245" t="e">
        <f>AD70/规划指标!$G$13*规划指标!$I$13</f>
        <v>#DIV/0!</v>
      </c>
      <c r="AE71" s="245" t="e">
        <f>AE70/规划指标!$G$13*规划指标!$I$13</f>
        <v>#DIV/0!</v>
      </c>
      <c r="AF71" s="245" t="e">
        <f>AF70/规划指标!$G$13*规划指标!$I$13</f>
        <v>#DIV/0!</v>
      </c>
      <c r="AG71" s="245" t="e">
        <f>AG70/规划指标!$G$13*规划指标!$I$13</f>
        <v>#DIV/0!</v>
      </c>
      <c r="AH71" s="245" t="e">
        <f>AH70/规划指标!$G$13*规划指标!$I$13</f>
        <v>#DIV/0!</v>
      </c>
      <c r="AI71" s="245" t="e">
        <f>AI70/规划指标!$G$13*规划指标!$I$13</f>
        <v>#DIV/0!</v>
      </c>
      <c r="AJ71" s="245" t="e">
        <f>AJ70/规划指标!$G$13*规划指标!$I$13</f>
        <v>#DIV/0!</v>
      </c>
      <c r="AK71" s="245" t="e">
        <f>AK70/规划指标!$G$13*规划指标!$I$13</f>
        <v>#DIV/0!</v>
      </c>
      <c r="AL71" s="245" t="e">
        <f>AL70/规划指标!$G$13*规划指标!$I$13</f>
        <v>#DIV/0!</v>
      </c>
      <c r="AM71" s="245" t="e">
        <f>AM70/规划指标!$G$13*规划指标!$I$13</f>
        <v>#DIV/0!</v>
      </c>
      <c r="AN71" s="245" t="e">
        <f>AN70/规划指标!$G$13*规划指标!$I$13</f>
        <v>#DIV/0!</v>
      </c>
      <c r="AO71" s="245" t="e">
        <f>AO70/规划指标!$G$13*规划指标!$I$13</f>
        <v>#DIV/0!</v>
      </c>
      <c r="AP71" s="245" t="e">
        <f>AP70/规划指标!$G$13*规划指标!$I$13</f>
        <v>#DIV/0!</v>
      </c>
      <c r="AQ71" s="245" t="e">
        <f>AQ70/规划指标!$G$13*规划指标!$I$13</f>
        <v>#DIV/0!</v>
      </c>
    </row>
    <row r="72" spans="1:46" s="213" customFormat="1" ht="18" hidden="1" customHeight="1" outlineLevel="2" x14ac:dyDescent="0.15">
      <c r="A72" s="216"/>
      <c r="B72" s="224" t="str">
        <f>$B$9</f>
        <v>销售均价</v>
      </c>
      <c r="C72" s="225" t="e">
        <f>ROUND(C69/C70*10000,0)</f>
        <v>#DIV/0!</v>
      </c>
      <c r="D72" s="226">
        <f>ROUND(C74*D161,0)</f>
        <v>0</v>
      </c>
      <c r="E72" s="226">
        <f>D72</f>
        <v>0</v>
      </c>
      <c r="F72" s="226">
        <f t="shared" ref="F72:AQ72" si="28">E72</f>
        <v>0</v>
      </c>
      <c r="G72" s="226">
        <f t="shared" si="28"/>
        <v>0</v>
      </c>
      <c r="H72" s="226">
        <f t="shared" si="28"/>
        <v>0</v>
      </c>
      <c r="I72" s="226">
        <f t="shared" si="28"/>
        <v>0</v>
      </c>
      <c r="J72" s="226">
        <f t="shared" si="28"/>
        <v>0</v>
      </c>
      <c r="K72" s="226">
        <f t="shared" si="28"/>
        <v>0</v>
      </c>
      <c r="L72" s="226">
        <f t="shared" si="28"/>
        <v>0</v>
      </c>
      <c r="M72" s="226">
        <f t="shared" si="28"/>
        <v>0</v>
      </c>
      <c r="N72" s="226">
        <f t="shared" si="28"/>
        <v>0</v>
      </c>
      <c r="O72" s="226">
        <f t="shared" si="28"/>
        <v>0</v>
      </c>
      <c r="P72" s="226">
        <f t="shared" si="28"/>
        <v>0</v>
      </c>
      <c r="Q72" s="226">
        <f t="shared" si="28"/>
        <v>0</v>
      </c>
      <c r="R72" s="226">
        <f t="shared" si="28"/>
        <v>0</v>
      </c>
      <c r="S72" s="226">
        <f t="shared" si="28"/>
        <v>0</v>
      </c>
      <c r="T72" s="226">
        <f t="shared" si="28"/>
        <v>0</v>
      </c>
      <c r="U72" s="226">
        <f t="shared" si="28"/>
        <v>0</v>
      </c>
      <c r="V72" s="226">
        <f t="shared" si="28"/>
        <v>0</v>
      </c>
      <c r="W72" s="226">
        <f t="shared" si="28"/>
        <v>0</v>
      </c>
      <c r="X72" s="226">
        <f t="shared" ref="X72:AM72" si="29">W72</f>
        <v>0</v>
      </c>
      <c r="Y72" s="226">
        <f t="shared" si="29"/>
        <v>0</v>
      </c>
      <c r="Z72" s="226">
        <f t="shared" si="29"/>
        <v>0</v>
      </c>
      <c r="AA72" s="226">
        <f t="shared" si="29"/>
        <v>0</v>
      </c>
      <c r="AB72" s="226">
        <f t="shared" si="29"/>
        <v>0</v>
      </c>
      <c r="AC72" s="226">
        <f t="shared" si="29"/>
        <v>0</v>
      </c>
      <c r="AD72" s="226">
        <f t="shared" si="29"/>
        <v>0</v>
      </c>
      <c r="AE72" s="226">
        <f t="shared" si="29"/>
        <v>0</v>
      </c>
      <c r="AF72" s="226">
        <f t="shared" si="29"/>
        <v>0</v>
      </c>
      <c r="AG72" s="226">
        <f t="shared" si="29"/>
        <v>0</v>
      </c>
      <c r="AH72" s="226">
        <f t="shared" si="29"/>
        <v>0</v>
      </c>
      <c r="AI72" s="226">
        <f t="shared" si="29"/>
        <v>0</v>
      </c>
      <c r="AJ72" s="226">
        <f t="shared" si="29"/>
        <v>0</v>
      </c>
      <c r="AK72" s="226">
        <f t="shared" si="29"/>
        <v>0</v>
      </c>
      <c r="AL72" s="226">
        <f t="shared" si="29"/>
        <v>0</v>
      </c>
      <c r="AM72" s="226">
        <f t="shared" si="29"/>
        <v>0</v>
      </c>
      <c r="AN72" s="226">
        <f>W72</f>
        <v>0</v>
      </c>
      <c r="AO72" s="226">
        <f t="shared" si="28"/>
        <v>0</v>
      </c>
      <c r="AP72" s="226">
        <f t="shared" si="28"/>
        <v>0</v>
      </c>
      <c r="AQ72" s="226">
        <f t="shared" si="28"/>
        <v>0</v>
      </c>
    </row>
    <row r="73" spans="1:46" s="229" customFormat="1" ht="18" hidden="1" customHeight="1" outlineLevel="2" x14ac:dyDescent="0.15">
      <c r="A73" s="227"/>
      <c r="B73" s="224" t="str">
        <f>$B$10</f>
        <v>销售率</v>
      </c>
      <c r="C73" s="228">
        <f>SUM(D73:AQ73)</f>
        <v>0</v>
      </c>
      <c r="D73" s="234"/>
      <c r="E73" s="234"/>
      <c r="F73" s="234"/>
      <c r="G73" s="234"/>
      <c r="H73" s="234"/>
      <c r="I73" s="234"/>
      <c r="J73" s="234"/>
      <c r="K73" s="234"/>
      <c r="L73" s="234"/>
      <c r="M73" s="234"/>
      <c r="N73" s="234"/>
      <c r="O73" s="234"/>
      <c r="P73" s="234"/>
      <c r="Q73" s="234"/>
      <c r="R73" s="234"/>
      <c r="S73" s="234"/>
      <c r="T73" s="234"/>
      <c r="U73" s="234"/>
      <c r="V73" s="234"/>
      <c r="W73" s="234"/>
      <c r="X73" s="234"/>
      <c r="Y73" s="234"/>
      <c r="Z73" s="234"/>
      <c r="AA73" s="234"/>
      <c r="AB73" s="234"/>
      <c r="AC73" s="234"/>
      <c r="AD73" s="234"/>
      <c r="AE73" s="234"/>
      <c r="AF73" s="234"/>
      <c r="AG73" s="234"/>
      <c r="AH73" s="234"/>
      <c r="AI73" s="234"/>
      <c r="AJ73" s="234"/>
      <c r="AK73" s="234"/>
      <c r="AL73" s="234"/>
      <c r="AM73" s="234"/>
      <c r="AN73" s="234"/>
      <c r="AO73" s="234"/>
      <c r="AP73" s="234"/>
      <c r="AQ73" s="234"/>
    </row>
    <row r="74" spans="1:46" s="229" customFormat="1" ht="18" hidden="1" customHeight="1" outlineLevel="2" x14ac:dyDescent="0.15">
      <c r="A74" s="227"/>
      <c r="B74" s="224" t="s">
        <v>577</v>
      </c>
      <c r="C74" s="713"/>
      <c r="D74" s="228"/>
      <c r="E74" s="228"/>
      <c r="F74" s="228"/>
      <c r="G74" s="228"/>
      <c r="H74" s="228"/>
      <c r="I74" s="228"/>
      <c r="J74" s="228"/>
      <c r="K74" s="228"/>
      <c r="L74" s="228"/>
      <c r="M74" s="228"/>
      <c r="N74" s="228"/>
      <c r="O74" s="228"/>
      <c r="P74" s="228"/>
      <c r="Q74" s="228"/>
      <c r="R74" s="228"/>
      <c r="S74" s="228"/>
      <c r="T74" s="228"/>
      <c r="U74" s="228"/>
      <c r="V74" s="228"/>
      <c r="W74" s="228"/>
      <c r="X74" s="228"/>
      <c r="Y74" s="228"/>
      <c r="Z74" s="228"/>
      <c r="AA74" s="228"/>
      <c r="AB74" s="228"/>
      <c r="AC74" s="228"/>
      <c r="AD74" s="228"/>
      <c r="AE74" s="228"/>
      <c r="AF74" s="228"/>
      <c r="AG74" s="228"/>
      <c r="AH74" s="228"/>
      <c r="AI74" s="228"/>
      <c r="AJ74" s="228"/>
      <c r="AK74" s="228"/>
      <c r="AL74" s="228"/>
      <c r="AM74" s="228"/>
      <c r="AN74" s="228"/>
      <c r="AO74" s="228"/>
      <c r="AP74" s="228"/>
      <c r="AQ74" s="228"/>
    </row>
    <row r="75" spans="1:46" s="213" customFormat="1" ht="18" hidden="1" customHeight="1" outlineLevel="2" x14ac:dyDescent="0.15">
      <c r="A75" s="216"/>
      <c r="B75" s="230"/>
      <c r="C75" s="228"/>
      <c r="D75" s="231"/>
      <c r="E75" s="231"/>
      <c r="F75" s="231"/>
      <c r="G75" s="231"/>
      <c r="H75" s="231"/>
      <c r="I75" s="231"/>
      <c r="J75" s="231"/>
      <c r="K75" s="231"/>
      <c r="L75" s="231"/>
      <c r="M75" s="231"/>
      <c r="N75" s="231"/>
      <c r="O75" s="231"/>
      <c r="P75" s="231"/>
      <c r="Q75" s="231"/>
      <c r="R75" s="231"/>
      <c r="S75" s="231"/>
      <c r="T75" s="231"/>
      <c r="U75" s="231"/>
      <c r="V75" s="231"/>
      <c r="W75" s="231"/>
      <c r="X75" s="231"/>
      <c r="Y75" s="231"/>
      <c r="Z75" s="231"/>
      <c r="AA75" s="231"/>
      <c r="AB75" s="231"/>
      <c r="AC75" s="231"/>
      <c r="AD75" s="231"/>
      <c r="AE75" s="231"/>
      <c r="AF75" s="231"/>
      <c r="AG75" s="231"/>
      <c r="AH75" s="231"/>
      <c r="AI75" s="231"/>
      <c r="AJ75" s="231"/>
      <c r="AK75" s="231"/>
      <c r="AL75" s="231"/>
      <c r="AM75" s="231"/>
      <c r="AN75" s="231"/>
      <c r="AO75" s="231"/>
      <c r="AP75" s="231"/>
      <c r="AQ75" s="231"/>
    </row>
    <row r="76" spans="1:46" s="213" customFormat="1" ht="18" hidden="1" customHeight="1" outlineLevel="1" x14ac:dyDescent="0.15">
      <c r="A76" s="216" t="s">
        <v>295</v>
      </c>
      <c r="B76" s="210">
        <f>规划指标!F14</f>
        <v>0</v>
      </c>
      <c r="C76" s="217">
        <f>SUM(D76:AQ76)</f>
        <v>0</v>
      </c>
      <c r="D76" s="201">
        <f>D79*D77/10000</f>
        <v>0</v>
      </c>
      <c r="E76" s="201">
        <f t="shared" ref="E76:AQ76" si="30">E79*E77/10000</f>
        <v>0</v>
      </c>
      <c r="F76" s="201">
        <f t="shared" si="30"/>
        <v>0</v>
      </c>
      <c r="G76" s="201">
        <f t="shared" si="30"/>
        <v>0</v>
      </c>
      <c r="H76" s="201">
        <f t="shared" si="30"/>
        <v>0</v>
      </c>
      <c r="I76" s="201">
        <f t="shared" si="30"/>
        <v>0</v>
      </c>
      <c r="J76" s="201">
        <f t="shared" si="30"/>
        <v>0</v>
      </c>
      <c r="K76" s="201">
        <f t="shared" si="30"/>
        <v>0</v>
      </c>
      <c r="L76" s="201">
        <f t="shared" si="30"/>
        <v>0</v>
      </c>
      <c r="M76" s="201">
        <f t="shared" si="30"/>
        <v>0</v>
      </c>
      <c r="N76" s="201">
        <f t="shared" si="30"/>
        <v>0</v>
      </c>
      <c r="O76" s="201">
        <f t="shared" si="30"/>
        <v>0</v>
      </c>
      <c r="P76" s="201">
        <f t="shared" si="30"/>
        <v>0</v>
      </c>
      <c r="Q76" s="201">
        <f t="shared" si="30"/>
        <v>0</v>
      </c>
      <c r="R76" s="201">
        <f t="shared" si="30"/>
        <v>0</v>
      </c>
      <c r="S76" s="201">
        <f t="shared" si="30"/>
        <v>0</v>
      </c>
      <c r="T76" s="201">
        <f t="shared" si="30"/>
        <v>0</v>
      </c>
      <c r="U76" s="201">
        <f t="shared" si="30"/>
        <v>0</v>
      </c>
      <c r="V76" s="201">
        <f t="shared" si="30"/>
        <v>0</v>
      </c>
      <c r="W76" s="201">
        <f t="shared" si="30"/>
        <v>0</v>
      </c>
      <c r="X76" s="201">
        <f t="shared" si="30"/>
        <v>0</v>
      </c>
      <c r="Y76" s="201">
        <f t="shared" si="30"/>
        <v>0</v>
      </c>
      <c r="Z76" s="201">
        <f t="shared" si="30"/>
        <v>0</v>
      </c>
      <c r="AA76" s="201">
        <f t="shared" si="30"/>
        <v>0</v>
      </c>
      <c r="AB76" s="201">
        <f t="shared" si="30"/>
        <v>0</v>
      </c>
      <c r="AC76" s="201">
        <f t="shared" si="30"/>
        <v>0</v>
      </c>
      <c r="AD76" s="201">
        <f t="shared" si="30"/>
        <v>0</v>
      </c>
      <c r="AE76" s="201">
        <f t="shared" si="30"/>
        <v>0</v>
      </c>
      <c r="AF76" s="201">
        <f t="shared" si="30"/>
        <v>0</v>
      </c>
      <c r="AG76" s="201">
        <f t="shared" si="30"/>
        <v>0</v>
      </c>
      <c r="AH76" s="201">
        <f t="shared" si="30"/>
        <v>0</v>
      </c>
      <c r="AI76" s="201">
        <f t="shared" si="30"/>
        <v>0</v>
      </c>
      <c r="AJ76" s="201">
        <f t="shared" si="30"/>
        <v>0</v>
      </c>
      <c r="AK76" s="201">
        <f t="shared" si="30"/>
        <v>0</v>
      </c>
      <c r="AL76" s="201">
        <f t="shared" si="30"/>
        <v>0</v>
      </c>
      <c r="AM76" s="201">
        <f t="shared" si="30"/>
        <v>0</v>
      </c>
      <c r="AN76" s="201">
        <f t="shared" si="30"/>
        <v>0</v>
      </c>
      <c r="AO76" s="201">
        <f t="shared" si="30"/>
        <v>0</v>
      </c>
      <c r="AP76" s="201">
        <f t="shared" si="30"/>
        <v>0</v>
      </c>
      <c r="AQ76" s="201">
        <f t="shared" si="30"/>
        <v>0</v>
      </c>
    </row>
    <row r="77" spans="1:46" s="213" customFormat="1" ht="18" hidden="1" customHeight="1" outlineLevel="2" x14ac:dyDescent="0.15">
      <c r="A77" s="216"/>
      <c r="B77" s="224" t="str">
        <f>$B$7</f>
        <v>销售数量</v>
      </c>
      <c r="C77" s="217">
        <f>SUM(D77:AQ77)</f>
        <v>0</v>
      </c>
      <c r="D77" s="201">
        <f>D80*规划指标!$G$14</f>
        <v>0</v>
      </c>
      <c r="E77" s="201">
        <f>E80*规划指标!$G$14</f>
        <v>0</v>
      </c>
      <c r="F77" s="201">
        <f>F80*规划指标!$G$14</f>
        <v>0</v>
      </c>
      <c r="G77" s="201">
        <f>G80*规划指标!$G$14</f>
        <v>0</v>
      </c>
      <c r="H77" s="201">
        <f>H80*规划指标!$G$14</f>
        <v>0</v>
      </c>
      <c r="I77" s="201">
        <f>I80*规划指标!$G$14</f>
        <v>0</v>
      </c>
      <c r="J77" s="201">
        <f>J80*规划指标!$G$14</f>
        <v>0</v>
      </c>
      <c r="K77" s="201">
        <f>K80*规划指标!$G$14</f>
        <v>0</v>
      </c>
      <c r="L77" s="201">
        <f>L80*规划指标!$G$14</f>
        <v>0</v>
      </c>
      <c r="M77" s="201">
        <f>M80*规划指标!$G$14</f>
        <v>0</v>
      </c>
      <c r="N77" s="201">
        <f>N80*规划指标!$G$14</f>
        <v>0</v>
      </c>
      <c r="O77" s="201">
        <f>O80*规划指标!$G$14</f>
        <v>0</v>
      </c>
      <c r="P77" s="201">
        <f>P80*规划指标!$G$14</f>
        <v>0</v>
      </c>
      <c r="Q77" s="201">
        <f>Q80*规划指标!$G$14</f>
        <v>0</v>
      </c>
      <c r="R77" s="201">
        <f>R80*规划指标!$G$14</f>
        <v>0</v>
      </c>
      <c r="S77" s="201">
        <f>S80*规划指标!$G$14</f>
        <v>0</v>
      </c>
      <c r="T77" s="201">
        <f>T80*规划指标!$G$14</f>
        <v>0</v>
      </c>
      <c r="U77" s="201">
        <f>U80*规划指标!$G$14</f>
        <v>0</v>
      </c>
      <c r="V77" s="201">
        <f>V80*规划指标!$G$14</f>
        <v>0</v>
      </c>
      <c r="W77" s="201">
        <f>W80*规划指标!$G$14</f>
        <v>0</v>
      </c>
      <c r="X77" s="201">
        <f>X80*规划指标!$G$14</f>
        <v>0</v>
      </c>
      <c r="Y77" s="201">
        <f>Y80*规划指标!$G$14</f>
        <v>0</v>
      </c>
      <c r="Z77" s="201">
        <f>Z80*规划指标!$G$14</f>
        <v>0</v>
      </c>
      <c r="AA77" s="201">
        <f>AA80*规划指标!$G$14</f>
        <v>0</v>
      </c>
      <c r="AB77" s="201">
        <f>AB80*规划指标!$G$14</f>
        <v>0</v>
      </c>
      <c r="AC77" s="201">
        <f>AC80*规划指标!$G$14</f>
        <v>0</v>
      </c>
      <c r="AD77" s="201">
        <f>AD80*规划指标!$G$14</f>
        <v>0</v>
      </c>
      <c r="AE77" s="201">
        <f>AE80*规划指标!$G$14</f>
        <v>0</v>
      </c>
      <c r="AF77" s="201">
        <f>AF80*规划指标!$G$14</f>
        <v>0</v>
      </c>
      <c r="AG77" s="201">
        <f>AG80*规划指标!$G$14</f>
        <v>0</v>
      </c>
      <c r="AH77" s="201">
        <f>AH80*规划指标!$G$14</f>
        <v>0</v>
      </c>
      <c r="AI77" s="201">
        <f>AI80*规划指标!$G$14</f>
        <v>0</v>
      </c>
      <c r="AJ77" s="201">
        <f>AJ80*规划指标!$G$14</f>
        <v>0</v>
      </c>
      <c r="AK77" s="201">
        <f>AK80*规划指标!$G$14</f>
        <v>0</v>
      </c>
      <c r="AL77" s="201">
        <f>AL80*规划指标!$G$14</f>
        <v>0</v>
      </c>
      <c r="AM77" s="201">
        <f>AM80*规划指标!$G$14</f>
        <v>0</v>
      </c>
      <c r="AN77" s="201">
        <f>AN80*规划指标!$G$14</f>
        <v>0</v>
      </c>
      <c r="AO77" s="201">
        <f>AO80*规划指标!$G$14</f>
        <v>0</v>
      </c>
      <c r="AP77" s="201">
        <f>AP80*规划指标!$G$14</f>
        <v>0</v>
      </c>
      <c r="AQ77" s="201">
        <f>AQ80*规划指标!$G$14</f>
        <v>0</v>
      </c>
    </row>
    <row r="78" spans="1:46" s="213" customFormat="1" ht="18" hidden="1" customHeight="1" outlineLevel="2" x14ac:dyDescent="0.15">
      <c r="A78" s="216"/>
      <c r="B78" s="224" t="str">
        <f>B71</f>
        <v>销售套数</v>
      </c>
      <c r="C78" s="217" t="e">
        <f>SUM(D78:AQ78)</f>
        <v>#DIV/0!</v>
      </c>
      <c r="D78" s="245" t="e">
        <f>D77/规划指标!$G$14*规划指标!$I$14</f>
        <v>#DIV/0!</v>
      </c>
      <c r="E78" s="245" t="e">
        <f>E77/规划指标!$G$14*规划指标!$I$14</f>
        <v>#DIV/0!</v>
      </c>
      <c r="F78" s="245" t="e">
        <f>F77/规划指标!$G$14*规划指标!$I$14</f>
        <v>#DIV/0!</v>
      </c>
      <c r="G78" s="245" t="e">
        <f>G77/规划指标!$G$14*规划指标!$I$14</f>
        <v>#DIV/0!</v>
      </c>
      <c r="H78" s="245" t="e">
        <f>H77/规划指标!$G$14*规划指标!$I$14</f>
        <v>#DIV/0!</v>
      </c>
      <c r="I78" s="245" t="e">
        <f>I77/规划指标!$G$14*规划指标!$I$14</f>
        <v>#DIV/0!</v>
      </c>
      <c r="J78" s="245" t="e">
        <f>J77/规划指标!$G$14*规划指标!$I$14</f>
        <v>#DIV/0!</v>
      </c>
      <c r="K78" s="245" t="e">
        <f>K77/规划指标!$G$14*规划指标!$I$14</f>
        <v>#DIV/0!</v>
      </c>
      <c r="L78" s="245" t="e">
        <f>L77/规划指标!$G$14*规划指标!$I$14</f>
        <v>#DIV/0!</v>
      </c>
      <c r="M78" s="245" t="e">
        <f>M77/规划指标!$G$14*规划指标!$I$14</f>
        <v>#DIV/0!</v>
      </c>
      <c r="N78" s="245" t="e">
        <f>N77/规划指标!$G$14*规划指标!$I$14</f>
        <v>#DIV/0!</v>
      </c>
      <c r="O78" s="245" t="e">
        <f>O77/规划指标!$G$14*规划指标!$I$14</f>
        <v>#DIV/0!</v>
      </c>
      <c r="P78" s="245" t="e">
        <f>P77/规划指标!$G$14*规划指标!$I$14</f>
        <v>#DIV/0!</v>
      </c>
      <c r="Q78" s="245" t="e">
        <f>Q77/规划指标!$G$14*规划指标!$I$14</f>
        <v>#DIV/0!</v>
      </c>
      <c r="R78" s="245" t="e">
        <f>R77/规划指标!$G$14*规划指标!$I$14</f>
        <v>#DIV/0!</v>
      </c>
      <c r="S78" s="245" t="e">
        <f>S77/规划指标!$G$14*规划指标!$I$14</f>
        <v>#DIV/0!</v>
      </c>
      <c r="T78" s="245" t="e">
        <f>T77/规划指标!$G$14*规划指标!$I$14</f>
        <v>#DIV/0!</v>
      </c>
      <c r="U78" s="245" t="e">
        <f>U77/规划指标!$G$14*规划指标!$I$14</f>
        <v>#DIV/0!</v>
      </c>
      <c r="V78" s="245" t="e">
        <f>V77/规划指标!$G$14*规划指标!$I$14</f>
        <v>#DIV/0!</v>
      </c>
      <c r="W78" s="245" t="e">
        <f>W77/规划指标!$G$14*规划指标!$I$14</f>
        <v>#DIV/0!</v>
      </c>
      <c r="X78" s="245" t="e">
        <f>X77/规划指标!$G$14*规划指标!$I$14</f>
        <v>#DIV/0!</v>
      </c>
      <c r="Y78" s="245" t="e">
        <f>Y77/规划指标!$G$14*规划指标!$I$14</f>
        <v>#DIV/0!</v>
      </c>
      <c r="Z78" s="245" t="e">
        <f>Z77/规划指标!$G$14*规划指标!$I$14</f>
        <v>#DIV/0!</v>
      </c>
      <c r="AA78" s="245" t="e">
        <f>AA77/规划指标!$G$14*规划指标!$I$14</f>
        <v>#DIV/0!</v>
      </c>
      <c r="AB78" s="245" t="e">
        <f>AB77/规划指标!$G$14*规划指标!$I$14</f>
        <v>#DIV/0!</v>
      </c>
      <c r="AC78" s="245" t="e">
        <f>AC77/规划指标!$G$14*规划指标!$I$14</f>
        <v>#DIV/0!</v>
      </c>
      <c r="AD78" s="245" t="e">
        <f>AD77/规划指标!$G$14*规划指标!$I$14</f>
        <v>#DIV/0!</v>
      </c>
      <c r="AE78" s="245" t="e">
        <f>AE77/规划指标!$G$14*规划指标!$I$14</f>
        <v>#DIV/0!</v>
      </c>
      <c r="AF78" s="245" t="e">
        <f>AF77/规划指标!$G$14*规划指标!$I$14</f>
        <v>#DIV/0!</v>
      </c>
      <c r="AG78" s="245" t="e">
        <f>AG77/规划指标!$G$14*规划指标!$I$14</f>
        <v>#DIV/0!</v>
      </c>
      <c r="AH78" s="245" t="e">
        <f>AH77/规划指标!$G$14*规划指标!$I$14</f>
        <v>#DIV/0!</v>
      </c>
      <c r="AI78" s="245" t="e">
        <f>AI77/规划指标!$G$14*规划指标!$I$14</f>
        <v>#DIV/0!</v>
      </c>
      <c r="AJ78" s="245" t="e">
        <f>AJ77/规划指标!$G$14*规划指标!$I$14</f>
        <v>#DIV/0!</v>
      </c>
      <c r="AK78" s="245" t="e">
        <f>AK77/规划指标!$G$14*规划指标!$I$14</f>
        <v>#DIV/0!</v>
      </c>
      <c r="AL78" s="245" t="e">
        <f>AL77/规划指标!$G$14*规划指标!$I$14</f>
        <v>#DIV/0!</v>
      </c>
      <c r="AM78" s="245" t="e">
        <f>AM77/规划指标!$G$14*规划指标!$I$14</f>
        <v>#DIV/0!</v>
      </c>
      <c r="AN78" s="245" t="e">
        <f>AN77/规划指标!$G$14*规划指标!$I$14</f>
        <v>#DIV/0!</v>
      </c>
      <c r="AO78" s="245" t="e">
        <f>AO77/规划指标!$G$14*规划指标!$I$14</f>
        <v>#DIV/0!</v>
      </c>
      <c r="AP78" s="245" t="e">
        <f>AP77/规划指标!$G$14*规划指标!$I$14</f>
        <v>#DIV/0!</v>
      </c>
      <c r="AQ78" s="245" t="e">
        <f>AQ77/规划指标!$G$14*规划指标!$I$14</f>
        <v>#DIV/0!</v>
      </c>
    </row>
    <row r="79" spans="1:46" s="213" customFormat="1" ht="18" hidden="1" customHeight="1" outlineLevel="2" x14ac:dyDescent="0.15">
      <c r="A79" s="216"/>
      <c r="B79" s="224" t="str">
        <f>$B$9</f>
        <v>销售均价</v>
      </c>
      <c r="C79" s="225" t="e">
        <f>ROUND(C76/C77*10000,0)</f>
        <v>#DIV/0!</v>
      </c>
      <c r="D79" s="226">
        <f>ROUND(C81*D162,0)</f>
        <v>0</v>
      </c>
      <c r="E79" s="226">
        <f>D79</f>
        <v>0</v>
      </c>
      <c r="F79" s="226">
        <f t="shared" ref="F79:AQ79" si="31">E79</f>
        <v>0</v>
      </c>
      <c r="G79" s="226">
        <f t="shared" si="31"/>
        <v>0</v>
      </c>
      <c r="H79" s="226">
        <f t="shared" si="31"/>
        <v>0</v>
      </c>
      <c r="I79" s="226">
        <f t="shared" si="31"/>
        <v>0</v>
      </c>
      <c r="J79" s="226">
        <f t="shared" si="31"/>
        <v>0</v>
      </c>
      <c r="K79" s="226">
        <f t="shared" si="31"/>
        <v>0</v>
      </c>
      <c r="L79" s="226">
        <f t="shared" si="31"/>
        <v>0</v>
      </c>
      <c r="M79" s="226">
        <f t="shared" si="31"/>
        <v>0</v>
      </c>
      <c r="N79" s="226">
        <f t="shared" si="31"/>
        <v>0</v>
      </c>
      <c r="O79" s="226">
        <f t="shared" si="31"/>
        <v>0</v>
      </c>
      <c r="P79" s="226">
        <f t="shared" si="31"/>
        <v>0</v>
      </c>
      <c r="Q79" s="226">
        <f t="shared" si="31"/>
        <v>0</v>
      </c>
      <c r="R79" s="226">
        <f t="shared" si="31"/>
        <v>0</v>
      </c>
      <c r="S79" s="226">
        <f t="shared" si="31"/>
        <v>0</v>
      </c>
      <c r="T79" s="226">
        <f t="shared" si="31"/>
        <v>0</v>
      </c>
      <c r="U79" s="226">
        <f t="shared" si="31"/>
        <v>0</v>
      </c>
      <c r="V79" s="226">
        <f t="shared" si="31"/>
        <v>0</v>
      </c>
      <c r="W79" s="226">
        <f t="shared" si="31"/>
        <v>0</v>
      </c>
      <c r="X79" s="226">
        <f t="shared" ref="X79:AM79" si="32">W79</f>
        <v>0</v>
      </c>
      <c r="Y79" s="226">
        <f t="shared" si="32"/>
        <v>0</v>
      </c>
      <c r="Z79" s="226">
        <f t="shared" si="32"/>
        <v>0</v>
      </c>
      <c r="AA79" s="226">
        <f t="shared" si="32"/>
        <v>0</v>
      </c>
      <c r="AB79" s="226">
        <f t="shared" si="32"/>
        <v>0</v>
      </c>
      <c r="AC79" s="226">
        <f t="shared" si="32"/>
        <v>0</v>
      </c>
      <c r="AD79" s="226">
        <f t="shared" si="32"/>
        <v>0</v>
      </c>
      <c r="AE79" s="226">
        <f t="shared" si="32"/>
        <v>0</v>
      </c>
      <c r="AF79" s="226">
        <f t="shared" si="32"/>
        <v>0</v>
      </c>
      <c r="AG79" s="226">
        <f t="shared" si="32"/>
        <v>0</v>
      </c>
      <c r="AH79" s="226">
        <f t="shared" si="32"/>
        <v>0</v>
      </c>
      <c r="AI79" s="226">
        <f t="shared" si="32"/>
        <v>0</v>
      </c>
      <c r="AJ79" s="226">
        <f t="shared" si="32"/>
        <v>0</v>
      </c>
      <c r="AK79" s="226">
        <f t="shared" si="32"/>
        <v>0</v>
      </c>
      <c r="AL79" s="226">
        <f t="shared" si="32"/>
        <v>0</v>
      </c>
      <c r="AM79" s="226">
        <f t="shared" si="32"/>
        <v>0</v>
      </c>
      <c r="AN79" s="226">
        <f>W79</f>
        <v>0</v>
      </c>
      <c r="AO79" s="226">
        <f t="shared" si="31"/>
        <v>0</v>
      </c>
      <c r="AP79" s="226">
        <f t="shared" si="31"/>
        <v>0</v>
      </c>
      <c r="AQ79" s="226">
        <f t="shared" si="31"/>
        <v>0</v>
      </c>
    </row>
    <row r="80" spans="1:46" s="229" customFormat="1" ht="18" hidden="1" customHeight="1" outlineLevel="2" x14ac:dyDescent="0.15">
      <c r="A80" s="227"/>
      <c r="B80" s="224" t="str">
        <f>$B$10</f>
        <v>销售率</v>
      </c>
      <c r="C80" s="228">
        <f>SUM(D80:AQ80)</f>
        <v>0</v>
      </c>
      <c r="D80" s="234"/>
      <c r="E80" s="234"/>
      <c r="F80" s="234"/>
      <c r="G80" s="234"/>
      <c r="H80" s="234"/>
      <c r="I80" s="234"/>
      <c r="J80" s="234"/>
      <c r="K80" s="234"/>
      <c r="L80" s="234"/>
      <c r="M80" s="234"/>
      <c r="N80" s="234"/>
      <c r="O80" s="234"/>
      <c r="P80" s="234"/>
      <c r="Q80" s="234"/>
      <c r="R80" s="234"/>
      <c r="S80" s="234"/>
      <c r="T80" s="234"/>
      <c r="U80" s="234"/>
      <c r="V80" s="234"/>
      <c r="W80" s="234"/>
      <c r="X80" s="234"/>
      <c r="Y80" s="234"/>
      <c r="Z80" s="234"/>
      <c r="AA80" s="234"/>
      <c r="AB80" s="234"/>
      <c r="AC80" s="234"/>
      <c r="AD80" s="234"/>
      <c r="AE80" s="234"/>
      <c r="AF80" s="234"/>
      <c r="AG80" s="234"/>
      <c r="AH80" s="234"/>
      <c r="AI80" s="234"/>
      <c r="AJ80" s="234"/>
      <c r="AK80" s="234"/>
      <c r="AL80" s="234"/>
      <c r="AM80" s="234"/>
      <c r="AN80" s="234"/>
      <c r="AO80" s="234"/>
      <c r="AP80" s="234"/>
      <c r="AQ80" s="234"/>
    </row>
    <row r="81" spans="1:46" s="229" customFormat="1" ht="18" hidden="1" customHeight="1" outlineLevel="2" x14ac:dyDescent="0.15">
      <c r="A81" s="227"/>
      <c r="B81" s="224" t="s">
        <v>577</v>
      </c>
      <c r="C81" s="713"/>
      <c r="D81" s="228"/>
      <c r="E81" s="228"/>
      <c r="F81" s="228"/>
      <c r="G81" s="228"/>
      <c r="H81" s="228"/>
      <c r="I81" s="228"/>
      <c r="J81" s="228"/>
      <c r="K81" s="228"/>
      <c r="L81" s="228"/>
      <c r="M81" s="228"/>
      <c r="N81" s="228"/>
      <c r="O81" s="228"/>
      <c r="P81" s="228"/>
      <c r="Q81" s="228"/>
      <c r="R81" s="228"/>
      <c r="S81" s="228"/>
      <c r="T81" s="228"/>
      <c r="U81" s="228"/>
      <c r="V81" s="228"/>
      <c r="W81" s="228"/>
      <c r="X81" s="228"/>
      <c r="Y81" s="228"/>
      <c r="Z81" s="228"/>
      <c r="AA81" s="228"/>
      <c r="AB81" s="228"/>
      <c r="AC81" s="228"/>
      <c r="AD81" s="228"/>
      <c r="AE81" s="228"/>
      <c r="AF81" s="228"/>
      <c r="AG81" s="228"/>
      <c r="AH81" s="228"/>
      <c r="AI81" s="228"/>
      <c r="AJ81" s="228"/>
      <c r="AK81" s="228"/>
      <c r="AL81" s="228"/>
      <c r="AM81" s="228"/>
      <c r="AN81" s="228"/>
      <c r="AO81" s="228"/>
      <c r="AP81" s="228"/>
      <c r="AQ81" s="228"/>
    </row>
    <row r="82" spans="1:46" s="213" customFormat="1" ht="18" hidden="1" customHeight="1" outlineLevel="2" x14ac:dyDescent="0.15">
      <c r="A82" s="216"/>
      <c r="B82" s="230"/>
      <c r="C82" s="228"/>
      <c r="D82" s="231"/>
      <c r="E82" s="231"/>
      <c r="F82" s="231"/>
      <c r="G82" s="231"/>
      <c r="H82" s="231"/>
      <c r="I82" s="231"/>
      <c r="J82" s="231"/>
      <c r="K82" s="231"/>
      <c r="L82" s="231"/>
      <c r="M82" s="231"/>
      <c r="N82" s="231"/>
      <c r="O82" s="231"/>
      <c r="P82" s="231"/>
      <c r="Q82" s="231"/>
      <c r="R82" s="231"/>
      <c r="S82" s="231"/>
      <c r="T82" s="231"/>
      <c r="U82" s="231"/>
      <c r="V82" s="231"/>
      <c r="W82" s="231"/>
      <c r="X82" s="231"/>
      <c r="Y82" s="231"/>
      <c r="Z82" s="231"/>
      <c r="AA82" s="231"/>
      <c r="AB82" s="231"/>
      <c r="AC82" s="231"/>
      <c r="AD82" s="231"/>
      <c r="AE82" s="231"/>
      <c r="AF82" s="231"/>
      <c r="AG82" s="231"/>
      <c r="AH82" s="231"/>
      <c r="AI82" s="231"/>
      <c r="AJ82" s="231"/>
      <c r="AK82" s="231"/>
      <c r="AL82" s="231"/>
      <c r="AM82" s="231"/>
      <c r="AN82" s="231"/>
      <c r="AO82" s="231"/>
      <c r="AP82" s="231"/>
      <c r="AQ82" s="231"/>
    </row>
    <row r="83" spans="1:46" s="213" customFormat="1" ht="18" hidden="1" customHeight="1" outlineLevel="1" x14ac:dyDescent="0.15">
      <c r="A83" s="216" t="s">
        <v>578</v>
      </c>
      <c r="B83" s="619">
        <f>规划指标!F15</f>
        <v>0</v>
      </c>
      <c r="C83" s="217">
        <f>SUM(D83:AQ83)</f>
        <v>0</v>
      </c>
      <c r="D83" s="201">
        <f>D86*D84/10000</f>
        <v>0</v>
      </c>
      <c r="E83" s="201">
        <f t="shared" ref="E83:AQ83" si="33">E86*E84/10000</f>
        <v>0</v>
      </c>
      <c r="F83" s="201">
        <f t="shared" si="33"/>
        <v>0</v>
      </c>
      <c r="G83" s="201">
        <f t="shared" si="33"/>
        <v>0</v>
      </c>
      <c r="H83" s="201">
        <f t="shared" si="33"/>
        <v>0</v>
      </c>
      <c r="I83" s="201">
        <f t="shared" si="33"/>
        <v>0</v>
      </c>
      <c r="J83" s="201">
        <f t="shared" si="33"/>
        <v>0</v>
      </c>
      <c r="K83" s="201">
        <f t="shared" si="33"/>
        <v>0</v>
      </c>
      <c r="L83" s="201">
        <f t="shared" si="33"/>
        <v>0</v>
      </c>
      <c r="M83" s="201">
        <f t="shared" si="33"/>
        <v>0</v>
      </c>
      <c r="N83" s="201">
        <f t="shared" si="33"/>
        <v>0</v>
      </c>
      <c r="O83" s="201">
        <f t="shared" si="33"/>
        <v>0</v>
      </c>
      <c r="P83" s="201">
        <f t="shared" si="33"/>
        <v>0</v>
      </c>
      <c r="Q83" s="201">
        <f t="shared" si="33"/>
        <v>0</v>
      </c>
      <c r="R83" s="201">
        <f t="shared" si="33"/>
        <v>0</v>
      </c>
      <c r="S83" s="201">
        <f t="shared" si="33"/>
        <v>0</v>
      </c>
      <c r="T83" s="201">
        <f t="shared" si="33"/>
        <v>0</v>
      </c>
      <c r="U83" s="201">
        <f t="shared" si="33"/>
        <v>0</v>
      </c>
      <c r="V83" s="201">
        <f t="shared" si="33"/>
        <v>0</v>
      </c>
      <c r="W83" s="201">
        <f t="shared" si="33"/>
        <v>0</v>
      </c>
      <c r="X83" s="201">
        <f t="shared" si="33"/>
        <v>0</v>
      </c>
      <c r="Y83" s="201">
        <f t="shared" si="33"/>
        <v>0</v>
      </c>
      <c r="Z83" s="201">
        <f t="shared" si="33"/>
        <v>0</v>
      </c>
      <c r="AA83" s="201">
        <f t="shared" si="33"/>
        <v>0</v>
      </c>
      <c r="AB83" s="201">
        <f t="shared" si="33"/>
        <v>0</v>
      </c>
      <c r="AC83" s="201">
        <f t="shared" si="33"/>
        <v>0</v>
      </c>
      <c r="AD83" s="201">
        <f t="shared" si="33"/>
        <v>0</v>
      </c>
      <c r="AE83" s="201">
        <f t="shared" si="33"/>
        <v>0</v>
      </c>
      <c r="AF83" s="201">
        <f t="shared" si="33"/>
        <v>0</v>
      </c>
      <c r="AG83" s="201">
        <f t="shared" si="33"/>
        <v>0</v>
      </c>
      <c r="AH83" s="201">
        <f t="shared" si="33"/>
        <v>0</v>
      </c>
      <c r="AI83" s="201">
        <f t="shared" si="33"/>
        <v>0</v>
      </c>
      <c r="AJ83" s="201">
        <f t="shared" si="33"/>
        <v>0</v>
      </c>
      <c r="AK83" s="201">
        <f t="shared" si="33"/>
        <v>0</v>
      </c>
      <c r="AL83" s="201">
        <f t="shared" si="33"/>
        <v>0</v>
      </c>
      <c r="AM83" s="201">
        <f t="shared" si="33"/>
        <v>0</v>
      </c>
      <c r="AN83" s="201">
        <f t="shared" si="33"/>
        <v>0</v>
      </c>
      <c r="AO83" s="201">
        <f t="shared" si="33"/>
        <v>0</v>
      </c>
      <c r="AP83" s="201">
        <f t="shared" si="33"/>
        <v>0</v>
      </c>
      <c r="AQ83" s="201">
        <f t="shared" si="33"/>
        <v>0</v>
      </c>
    </row>
    <row r="84" spans="1:46" s="213" customFormat="1" ht="18" hidden="1" customHeight="1" outlineLevel="2" x14ac:dyDescent="0.15">
      <c r="A84" s="216"/>
      <c r="B84" s="224" t="str">
        <f>$B$7</f>
        <v>销售数量</v>
      </c>
      <c r="C84" s="217">
        <f>SUM(D84:AQ84)</f>
        <v>0</v>
      </c>
      <c r="D84" s="201">
        <f>D87*规划指标!$G$15</f>
        <v>0</v>
      </c>
      <c r="E84" s="201">
        <f>E87*规划指标!$G$15</f>
        <v>0</v>
      </c>
      <c r="F84" s="201">
        <f>F87*规划指标!$G$15</f>
        <v>0</v>
      </c>
      <c r="G84" s="201">
        <f>G87*规划指标!$G$15</f>
        <v>0</v>
      </c>
      <c r="H84" s="201">
        <f>H87*规划指标!$G$15</f>
        <v>0</v>
      </c>
      <c r="I84" s="201">
        <f>I87*规划指标!$G$15</f>
        <v>0</v>
      </c>
      <c r="J84" s="201">
        <f>J87*规划指标!$G$15</f>
        <v>0</v>
      </c>
      <c r="K84" s="201">
        <f>K87*规划指标!$G$15</f>
        <v>0</v>
      </c>
      <c r="L84" s="201">
        <f>L87*规划指标!$G$15</f>
        <v>0</v>
      </c>
      <c r="M84" s="201">
        <f>M87*规划指标!$G$15</f>
        <v>0</v>
      </c>
      <c r="N84" s="201">
        <f>N87*规划指标!$G$15</f>
        <v>0</v>
      </c>
      <c r="O84" s="201">
        <f>O87*规划指标!$G$15</f>
        <v>0</v>
      </c>
      <c r="P84" s="201">
        <f>P87*规划指标!$G$15</f>
        <v>0</v>
      </c>
      <c r="Q84" s="201">
        <f>Q87*规划指标!$G$15</f>
        <v>0</v>
      </c>
      <c r="R84" s="201">
        <f>R87*规划指标!$G$15</f>
        <v>0</v>
      </c>
      <c r="S84" s="201">
        <f>S87*规划指标!$G$15</f>
        <v>0</v>
      </c>
      <c r="T84" s="201">
        <f>T87*规划指标!$G$15</f>
        <v>0</v>
      </c>
      <c r="U84" s="201">
        <f>U87*规划指标!$G$15</f>
        <v>0</v>
      </c>
      <c r="V84" s="201">
        <f>V87*规划指标!$G$15</f>
        <v>0</v>
      </c>
      <c r="W84" s="201">
        <f>W87*规划指标!$G$15</f>
        <v>0</v>
      </c>
      <c r="X84" s="201">
        <f>X87*规划指标!$G$15</f>
        <v>0</v>
      </c>
      <c r="Y84" s="201">
        <f>Y87*规划指标!$G$15</f>
        <v>0</v>
      </c>
      <c r="Z84" s="201">
        <f>Z87*规划指标!$G$15</f>
        <v>0</v>
      </c>
      <c r="AA84" s="201">
        <f>AA87*规划指标!$G$15</f>
        <v>0</v>
      </c>
      <c r="AB84" s="201">
        <f>AB87*规划指标!$G$15</f>
        <v>0</v>
      </c>
      <c r="AC84" s="201">
        <f>AC87*规划指标!$G$15</f>
        <v>0</v>
      </c>
      <c r="AD84" s="201">
        <f>AD87*规划指标!$G$15</f>
        <v>0</v>
      </c>
      <c r="AE84" s="201">
        <f>AE87*规划指标!$G$15</f>
        <v>0</v>
      </c>
      <c r="AF84" s="201">
        <f>AF87*规划指标!$G$15</f>
        <v>0</v>
      </c>
      <c r="AG84" s="201">
        <f>AG87*规划指标!$G$15</f>
        <v>0</v>
      </c>
      <c r="AH84" s="201">
        <f>AH87*规划指标!$G$15</f>
        <v>0</v>
      </c>
      <c r="AI84" s="201">
        <f>AI87*规划指标!$G$15</f>
        <v>0</v>
      </c>
      <c r="AJ84" s="201">
        <f>AJ87*规划指标!$G$15</f>
        <v>0</v>
      </c>
      <c r="AK84" s="201">
        <f>AK87*规划指标!$G$15</f>
        <v>0</v>
      </c>
      <c r="AL84" s="201">
        <f>AL87*规划指标!$G$15</f>
        <v>0</v>
      </c>
      <c r="AM84" s="201">
        <f>AM87*规划指标!$G$15</f>
        <v>0</v>
      </c>
      <c r="AN84" s="201">
        <f>AN87*规划指标!$G$15</f>
        <v>0</v>
      </c>
      <c r="AO84" s="201">
        <f>AO87*规划指标!$G$15</f>
        <v>0</v>
      </c>
      <c r="AP84" s="201">
        <f>AP87*规划指标!$G$15</f>
        <v>0</v>
      </c>
      <c r="AQ84" s="201">
        <f>AQ87*规划指标!$G$15</f>
        <v>0</v>
      </c>
    </row>
    <row r="85" spans="1:46" s="213" customFormat="1" ht="18" hidden="1" customHeight="1" outlineLevel="2" x14ac:dyDescent="0.15">
      <c r="A85" s="216"/>
      <c r="B85" s="224" t="str">
        <f>B78</f>
        <v>销售套数</v>
      </c>
      <c r="C85" s="217" t="e">
        <f>SUM(D85:AQ85)</f>
        <v>#DIV/0!</v>
      </c>
      <c r="D85" s="245" t="e">
        <f>D84/规划指标!$G$15*规划指标!$I$15</f>
        <v>#DIV/0!</v>
      </c>
      <c r="E85" s="245" t="e">
        <f>E84/规划指标!$G$15*规划指标!$I$15</f>
        <v>#DIV/0!</v>
      </c>
      <c r="F85" s="245" t="e">
        <f>F84/规划指标!$G$15*规划指标!$I$15</f>
        <v>#DIV/0!</v>
      </c>
      <c r="G85" s="245" t="e">
        <f>G84/规划指标!$G$15*规划指标!$I$15</f>
        <v>#DIV/0!</v>
      </c>
      <c r="H85" s="245" t="e">
        <f>H84/规划指标!$G$15*规划指标!$I$15</f>
        <v>#DIV/0!</v>
      </c>
      <c r="I85" s="245" t="e">
        <f>I84/规划指标!$G$15*规划指标!$I$15</f>
        <v>#DIV/0!</v>
      </c>
      <c r="J85" s="245" t="e">
        <f>J84/规划指标!$G$15*规划指标!$I$15</f>
        <v>#DIV/0!</v>
      </c>
      <c r="K85" s="245" t="e">
        <f>K84/规划指标!$G$15*规划指标!$I$15</f>
        <v>#DIV/0!</v>
      </c>
      <c r="L85" s="245" t="e">
        <f>L84/规划指标!$G$15*规划指标!$I$15</f>
        <v>#DIV/0!</v>
      </c>
      <c r="M85" s="245" t="e">
        <f>M84/规划指标!$G$15*规划指标!$I$15</f>
        <v>#DIV/0!</v>
      </c>
      <c r="N85" s="245" t="e">
        <f>N84/规划指标!$G$15*规划指标!$I$15</f>
        <v>#DIV/0!</v>
      </c>
      <c r="O85" s="245" t="e">
        <f>O84/规划指标!$G$15*规划指标!$I$15</f>
        <v>#DIV/0!</v>
      </c>
      <c r="P85" s="245" t="e">
        <f>P84/规划指标!$G$15*规划指标!$I$15</f>
        <v>#DIV/0!</v>
      </c>
      <c r="Q85" s="245" t="e">
        <f>Q84/规划指标!$G$15*规划指标!$I$15</f>
        <v>#DIV/0!</v>
      </c>
      <c r="R85" s="245" t="e">
        <f>R84/规划指标!$G$15*规划指标!$I$15</f>
        <v>#DIV/0!</v>
      </c>
      <c r="S85" s="245" t="e">
        <f>S84/规划指标!$G$15*规划指标!$I$15</f>
        <v>#DIV/0!</v>
      </c>
      <c r="T85" s="245" t="e">
        <f>T84/规划指标!$G$15*规划指标!$I$15</f>
        <v>#DIV/0!</v>
      </c>
      <c r="U85" s="245" t="e">
        <f>U84/规划指标!$G$15*规划指标!$I$15</f>
        <v>#DIV/0!</v>
      </c>
      <c r="V85" s="245" t="e">
        <f>V84/规划指标!$G$15*规划指标!$I$15</f>
        <v>#DIV/0!</v>
      </c>
      <c r="W85" s="245" t="e">
        <f>W84/规划指标!$G$15*规划指标!$I$15</f>
        <v>#DIV/0!</v>
      </c>
      <c r="X85" s="245" t="e">
        <f>X84/规划指标!$G$15*规划指标!$I$15</f>
        <v>#DIV/0!</v>
      </c>
      <c r="Y85" s="245" t="e">
        <f>Y84/规划指标!$G$15*规划指标!$I$15</f>
        <v>#DIV/0!</v>
      </c>
      <c r="Z85" s="245" t="e">
        <f>Z84/规划指标!$G$15*规划指标!$I$15</f>
        <v>#DIV/0!</v>
      </c>
      <c r="AA85" s="245" t="e">
        <f>AA84/规划指标!$G$15*规划指标!$I$15</f>
        <v>#DIV/0!</v>
      </c>
      <c r="AB85" s="245" t="e">
        <f>AB84/规划指标!$G$15*规划指标!$I$15</f>
        <v>#DIV/0!</v>
      </c>
      <c r="AC85" s="245" t="e">
        <f>AC84/规划指标!$G$15*规划指标!$I$15</f>
        <v>#DIV/0!</v>
      </c>
      <c r="AD85" s="245" t="e">
        <f>AD84/规划指标!$G$15*规划指标!$I$15</f>
        <v>#DIV/0!</v>
      </c>
      <c r="AE85" s="245" t="e">
        <f>AE84/规划指标!$G$15*规划指标!$I$15</f>
        <v>#DIV/0!</v>
      </c>
      <c r="AF85" s="245" t="e">
        <f>AF84/规划指标!$G$15*规划指标!$I$15</f>
        <v>#DIV/0!</v>
      </c>
      <c r="AG85" s="245" t="e">
        <f>AG84/规划指标!$G$15*规划指标!$I$15</f>
        <v>#DIV/0!</v>
      </c>
      <c r="AH85" s="245" t="e">
        <f>AH84/规划指标!$G$15*规划指标!$I$15</f>
        <v>#DIV/0!</v>
      </c>
      <c r="AI85" s="245" t="e">
        <f>AI84/规划指标!$G$15*规划指标!$I$15</f>
        <v>#DIV/0!</v>
      </c>
      <c r="AJ85" s="245" t="e">
        <f>AJ84/规划指标!$G$15*规划指标!$I$15</f>
        <v>#DIV/0!</v>
      </c>
      <c r="AK85" s="245" t="e">
        <f>AK84/规划指标!$G$15*规划指标!$I$15</f>
        <v>#DIV/0!</v>
      </c>
      <c r="AL85" s="245" t="e">
        <f>AL84/规划指标!$G$15*规划指标!$I$15</f>
        <v>#DIV/0!</v>
      </c>
      <c r="AM85" s="245" t="e">
        <f>AM84/规划指标!$G$15*规划指标!$I$15</f>
        <v>#DIV/0!</v>
      </c>
      <c r="AN85" s="245" t="e">
        <f>AN84/规划指标!$G$15*规划指标!$I$15</f>
        <v>#DIV/0!</v>
      </c>
      <c r="AO85" s="245" t="e">
        <f>AO84/规划指标!$G$15*规划指标!$I$15</f>
        <v>#DIV/0!</v>
      </c>
      <c r="AP85" s="245" t="e">
        <f>AP84/规划指标!$G$15*规划指标!$I$15</f>
        <v>#DIV/0!</v>
      </c>
      <c r="AQ85" s="245" t="e">
        <f>AQ84/规划指标!$G$15*规划指标!$I$15</f>
        <v>#DIV/0!</v>
      </c>
    </row>
    <row r="86" spans="1:46" s="213" customFormat="1" ht="18" hidden="1" customHeight="1" outlineLevel="2" x14ac:dyDescent="0.15">
      <c r="A86" s="216"/>
      <c r="B86" s="224" t="str">
        <f>$B$9</f>
        <v>销售均价</v>
      </c>
      <c r="C86" s="225" t="e">
        <f>ROUND(C83/C84*10000,0)</f>
        <v>#DIV/0!</v>
      </c>
      <c r="D86" s="226">
        <f>ROUND(C88*D163,0)</f>
        <v>0</v>
      </c>
      <c r="E86" s="226">
        <f t="shared" ref="E86:AM86" si="34">D86</f>
        <v>0</v>
      </c>
      <c r="F86" s="226">
        <f t="shared" si="34"/>
        <v>0</v>
      </c>
      <c r="G86" s="226">
        <f t="shared" si="34"/>
        <v>0</v>
      </c>
      <c r="H86" s="226">
        <f t="shared" si="34"/>
        <v>0</v>
      </c>
      <c r="I86" s="226">
        <f t="shared" si="34"/>
        <v>0</v>
      </c>
      <c r="J86" s="226">
        <f t="shared" si="34"/>
        <v>0</v>
      </c>
      <c r="K86" s="226">
        <f t="shared" si="34"/>
        <v>0</v>
      </c>
      <c r="L86" s="226">
        <f t="shared" si="34"/>
        <v>0</v>
      </c>
      <c r="M86" s="226">
        <f t="shared" si="34"/>
        <v>0</v>
      </c>
      <c r="N86" s="226">
        <f t="shared" si="34"/>
        <v>0</v>
      </c>
      <c r="O86" s="226">
        <f t="shared" si="34"/>
        <v>0</v>
      </c>
      <c r="P86" s="226">
        <f t="shared" si="34"/>
        <v>0</v>
      </c>
      <c r="Q86" s="226">
        <f t="shared" si="34"/>
        <v>0</v>
      </c>
      <c r="R86" s="226">
        <f t="shared" si="34"/>
        <v>0</v>
      </c>
      <c r="S86" s="226">
        <f t="shared" si="34"/>
        <v>0</v>
      </c>
      <c r="T86" s="226">
        <f t="shared" si="34"/>
        <v>0</v>
      </c>
      <c r="U86" s="226">
        <f t="shared" si="34"/>
        <v>0</v>
      </c>
      <c r="V86" s="226">
        <f t="shared" si="34"/>
        <v>0</v>
      </c>
      <c r="W86" s="226">
        <f t="shared" si="34"/>
        <v>0</v>
      </c>
      <c r="X86" s="226">
        <f t="shared" si="34"/>
        <v>0</v>
      </c>
      <c r="Y86" s="226">
        <f t="shared" si="34"/>
        <v>0</v>
      </c>
      <c r="Z86" s="226">
        <f t="shared" si="34"/>
        <v>0</v>
      </c>
      <c r="AA86" s="226">
        <f t="shared" si="34"/>
        <v>0</v>
      </c>
      <c r="AB86" s="226">
        <f t="shared" si="34"/>
        <v>0</v>
      </c>
      <c r="AC86" s="226">
        <f t="shared" si="34"/>
        <v>0</v>
      </c>
      <c r="AD86" s="226">
        <f t="shared" si="34"/>
        <v>0</v>
      </c>
      <c r="AE86" s="226">
        <f t="shared" si="34"/>
        <v>0</v>
      </c>
      <c r="AF86" s="226">
        <f t="shared" si="34"/>
        <v>0</v>
      </c>
      <c r="AG86" s="226">
        <f t="shared" si="34"/>
        <v>0</v>
      </c>
      <c r="AH86" s="226">
        <f t="shared" si="34"/>
        <v>0</v>
      </c>
      <c r="AI86" s="226">
        <f t="shared" si="34"/>
        <v>0</v>
      </c>
      <c r="AJ86" s="226">
        <f t="shared" si="34"/>
        <v>0</v>
      </c>
      <c r="AK86" s="226">
        <f t="shared" si="34"/>
        <v>0</v>
      </c>
      <c r="AL86" s="226">
        <f t="shared" si="34"/>
        <v>0</v>
      </c>
      <c r="AM86" s="226">
        <f t="shared" si="34"/>
        <v>0</v>
      </c>
      <c r="AN86" s="226">
        <f>W86</f>
        <v>0</v>
      </c>
      <c r="AO86" s="226">
        <f>AN86</f>
        <v>0</v>
      </c>
      <c r="AP86" s="226">
        <f>AO86</f>
        <v>0</v>
      </c>
      <c r="AQ86" s="226">
        <f>AP86</f>
        <v>0</v>
      </c>
    </row>
    <row r="87" spans="1:46" s="229" customFormat="1" ht="18" hidden="1" customHeight="1" outlineLevel="2" x14ac:dyDescent="0.15">
      <c r="A87" s="227"/>
      <c r="B87" s="224" t="str">
        <f>$B$10</f>
        <v>销售率</v>
      </c>
      <c r="C87" s="228">
        <f>SUM(D87:AQ87)</f>
        <v>0</v>
      </c>
      <c r="D87" s="234"/>
      <c r="E87" s="234"/>
      <c r="F87" s="234"/>
      <c r="G87" s="234"/>
      <c r="H87" s="234"/>
      <c r="I87" s="234"/>
      <c r="J87" s="234"/>
      <c r="K87" s="234"/>
      <c r="L87" s="234"/>
      <c r="M87" s="234"/>
      <c r="N87" s="234"/>
      <c r="O87" s="234"/>
      <c r="P87" s="234"/>
      <c r="Q87" s="234"/>
      <c r="R87" s="234"/>
      <c r="S87" s="234"/>
      <c r="T87" s="234"/>
      <c r="U87" s="234"/>
      <c r="V87" s="234"/>
      <c r="W87" s="234"/>
      <c r="X87" s="234"/>
      <c r="Y87" s="234"/>
      <c r="Z87" s="234"/>
      <c r="AA87" s="234"/>
      <c r="AB87" s="234"/>
      <c r="AC87" s="234"/>
      <c r="AD87" s="234"/>
      <c r="AE87" s="234"/>
      <c r="AF87" s="234"/>
      <c r="AG87" s="234"/>
      <c r="AH87" s="234"/>
      <c r="AI87" s="234"/>
      <c r="AJ87" s="234"/>
      <c r="AK87" s="234"/>
      <c r="AL87" s="234"/>
      <c r="AM87" s="234"/>
      <c r="AN87" s="234"/>
      <c r="AO87" s="234"/>
      <c r="AP87" s="234"/>
      <c r="AQ87" s="234"/>
    </row>
    <row r="88" spans="1:46" s="229" customFormat="1" ht="18" hidden="1" customHeight="1" outlineLevel="2" x14ac:dyDescent="0.15">
      <c r="A88" s="227"/>
      <c r="B88" s="224" t="s">
        <v>577</v>
      </c>
      <c r="C88" s="713"/>
      <c r="D88" s="228"/>
      <c r="E88" s="228"/>
      <c r="F88" s="228"/>
      <c r="G88" s="228"/>
      <c r="H88" s="228"/>
      <c r="I88" s="228"/>
      <c r="J88" s="228"/>
      <c r="K88" s="228"/>
      <c r="L88" s="228"/>
      <c r="M88" s="228"/>
      <c r="N88" s="228"/>
      <c r="O88" s="228"/>
      <c r="P88" s="228"/>
      <c r="Q88" s="228"/>
      <c r="R88" s="228"/>
      <c r="S88" s="228"/>
      <c r="T88" s="228"/>
      <c r="U88" s="228"/>
      <c r="V88" s="228"/>
      <c r="W88" s="228"/>
      <c r="X88" s="228"/>
      <c r="Y88" s="228"/>
      <c r="Z88" s="228"/>
      <c r="AA88" s="228"/>
      <c r="AB88" s="228"/>
      <c r="AC88" s="228"/>
      <c r="AD88" s="228"/>
      <c r="AE88" s="228"/>
      <c r="AF88" s="228"/>
      <c r="AG88" s="228"/>
      <c r="AH88" s="228"/>
      <c r="AI88" s="228"/>
      <c r="AJ88" s="228"/>
      <c r="AK88" s="228"/>
      <c r="AL88" s="228"/>
      <c r="AM88" s="228"/>
      <c r="AN88" s="228"/>
      <c r="AO88" s="228"/>
      <c r="AP88" s="228"/>
      <c r="AQ88" s="228"/>
    </row>
    <row r="89" spans="1:46" s="213" customFormat="1" ht="18" hidden="1" customHeight="1" outlineLevel="2" x14ac:dyDescent="0.15">
      <c r="A89" s="216"/>
      <c r="B89" s="618"/>
      <c r="C89" s="714"/>
      <c r="D89" s="231"/>
      <c r="E89" s="231"/>
      <c r="F89" s="231"/>
      <c r="G89" s="231"/>
      <c r="H89" s="231"/>
      <c r="I89" s="231"/>
      <c r="J89" s="231"/>
      <c r="K89" s="231"/>
      <c r="L89" s="231"/>
      <c r="M89" s="231"/>
      <c r="N89" s="231"/>
      <c r="O89" s="231"/>
      <c r="P89" s="231"/>
      <c r="Q89" s="231"/>
      <c r="R89" s="231"/>
      <c r="S89" s="231"/>
      <c r="T89" s="231"/>
      <c r="U89" s="231"/>
      <c r="V89" s="231"/>
      <c r="W89" s="231"/>
      <c r="X89" s="231"/>
      <c r="Y89" s="231"/>
      <c r="Z89" s="231"/>
      <c r="AA89" s="231"/>
      <c r="AB89" s="231"/>
      <c r="AC89" s="231"/>
      <c r="AD89" s="231"/>
      <c r="AE89" s="231"/>
      <c r="AF89" s="231"/>
      <c r="AG89" s="231"/>
      <c r="AH89" s="231"/>
      <c r="AI89" s="231"/>
      <c r="AJ89" s="231"/>
      <c r="AK89" s="231"/>
      <c r="AL89" s="231"/>
      <c r="AM89" s="231"/>
      <c r="AN89" s="231"/>
      <c r="AO89" s="231"/>
      <c r="AP89" s="231"/>
      <c r="AQ89" s="231"/>
    </row>
    <row r="90" spans="1:46" s="213" customFormat="1" ht="18" hidden="1" customHeight="1" outlineLevel="1" x14ac:dyDescent="0.15">
      <c r="A90" s="216" t="s">
        <v>579</v>
      </c>
      <c r="B90" s="619">
        <f>规划指标!F16</f>
        <v>0</v>
      </c>
      <c r="C90" s="217">
        <f>SUM(D90:AQ90)</f>
        <v>0</v>
      </c>
      <c r="D90" s="201">
        <f>D93*D91/10000</f>
        <v>0</v>
      </c>
      <c r="E90" s="201">
        <f t="shared" ref="E90:AQ90" si="35">E93*E91/10000</f>
        <v>0</v>
      </c>
      <c r="F90" s="201">
        <f t="shared" si="35"/>
        <v>0</v>
      </c>
      <c r="G90" s="201">
        <f t="shared" si="35"/>
        <v>0</v>
      </c>
      <c r="H90" s="201">
        <f t="shared" si="35"/>
        <v>0</v>
      </c>
      <c r="I90" s="201">
        <f t="shared" si="35"/>
        <v>0</v>
      </c>
      <c r="J90" s="201">
        <f t="shared" si="35"/>
        <v>0</v>
      </c>
      <c r="K90" s="201">
        <f t="shared" si="35"/>
        <v>0</v>
      </c>
      <c r="L90" s="201">
        <f t="shared" si="35"/>
        <v>0</v>
      </c>
      <c r="M90" s="201">
        <f t="shared" si="35"/>
        <v>0</v>
      </c>
      <c r="N90" s="201">
        <f t="shared" si="35"/>
        <v>0</v>
      </c>
      <c r="O90" s="201">
        <f t="shared" si="35"/>
        <v>0</v>
      </c>
      <c r="P90" s="201">
        <f t="shared" si="35"/>
        <v>0</v>
      </c>
      <c r="Q90" s="201">
        <f t="shared" si="35"/>
        <v>0</v>
      </c>
      <c r="R90" s="201">
        <f t="shared" si="35"/>
        <v>0</v>
      </c>
      <c r="S90" s="201">
        <f t="shared" si="35"/>
        <v>0</v>
      </c>
      <c r="T90" s="201">
        <f t="shared" si="35"/>
        <v>0</v>
      </c>
      <c r="U90" s="201">
        <f t="shared" si="35"/>
        <v>0</v>
      </c>
      <c r="V90" s="201">
        <f t="shared" si="35"/>
        <v>0</v>
      </c>
      <c r="W90" s="201">
        <f t="shared" si="35"/>
        <v>0</v>
      </c>
      <c r="X90" s="201">
        <f t="shared" si="35"/>
        <v>0</v>
      </c>
      <c r="Y90" s="201">
        <f t="shared" si="35"/>
        <v>0</v>
      </c>
      <c r="Z90" s="201">
        <f t="shared" si="35"/>
        <v>0</v>
      </c>
      <c r="AA90" s="201">
        <f t="shared" si="35"/>
        <v>0</v>
      </c>
      <c r="AB90" s="201">
        <f t="shared" si="35"/>
        <v>0</v>
      </c>
      <c r="AC90" s="201">
        <f t="shared" si="35"/>
        <v>0</v>
      </c>
      <c r="AD90" s="201">
        <f t="shared" si="35"/>
        <v>0</v>
      </c>
      <c r="AE90" s="201">
        <f t="shared" si="35"/>
        <v>0</v>
      </c>
      <c r="AF90" s="201">
        <f t="shared" si="35"/>
        <v>0</v>
      </c>
      <c r="AG90" s="201">
        <f t="shared" si="35"/>
        <v>0</v>
      </c>
      <c r="AH90" s="201">
        <f t="shared" si="35"/>
        <v>0</v>
      </c>
      <c r="AI90" s="201">
        <f t="shared" si="35"/>
        <v>0</v>
      </c>
      <c r="AJ90" s="201">
        <f t="shared" si="35"/>
        <v>0</v>
      </c>
      <c r="AK90" s="201">
        <f t="shared" si="35"/>
        <v>0</v>
      </c>
      <c r="AL90" s="201">
        <f t="shared" si="35"/>
        <v>0</v>
      </c>
      <c r="AM90" s="201">
        <f t="shared" si="35"/>
        <v>0</v>
      </c>
      <c r="AN90" s="201">
        <f t="shared" si="35"/>
        <v>0</v>
      </c>
      <c r="AO90" s="201">
        <f t="shared" si="35"/>
        <v>0</v>
      </c>
      <c r="AP90" s="201">
        <f t="shared" si="35"/>
        <v>0</v>
      </c>
      <c r="AQ90" s="201">
        <f t="shared" si="35"/>
        <v>0</v>
      </c>
    </row>
    <row r="91" spans="1:46" s="213" customFormat="1" ht="18" hidden="1" customHeight="1" outlineLevel="2" x14ac:dyDescent="0.15">
      <c r="A91" s="216"/>
      <c r="B91" s="224" t="str">
        <f>$B$7</f>
        <v>销售数量</v>
      </c>
      <c r="C91" s="217">
        <f>SUM(D91:AQ91)</f>
        <v>0</v>
      </c>
      <c r="D91" s="201">
        <f>D94*规划指标!$G$16</f>
        <v>0</v>
      </c>
      <c r="E91" s="201">
        <f>E94*规划指标!$G$16</f>
        <v>0</v>
      </c>
      <c r="F91" s="201">
        <f>F94*规划指标!$G$16</f>
        <v>0</v>
      </c>
      <c r="G91" s="201">
        <f>G94*规划指标!$G$16</f>
        <v>0</v>
      </c>
      <c r="H91" s="201">
        <f>H94*规划指标!$G$16</f>
        <v>0</v>
      </c>
      <c r="I91" s="201">
        <f>I94*规划指标!$G$16</f>
        <v>0</v>
      </c>
      <c r="J91" s="201">
        <f>J94*规划指标!$G$16</f>
        <v>0</v>
      </c>
      <c r="K91" s="201">
        <f>K94*规划指标!$G$16</f>
        <v>0</v>
      </c>
      <c r="L91" s="201">
        <f>L94*规划指标!$G$16</f>
        <v>0</v>
      </c>
      <c r="M91" s="201">
        <f>M94*规划指标!$G$16</f>
        <v>0</v>
      </c>
      <c r="N91" s="201">
        <f>N94*规划指标!$G$16</f>
        <v>0</v>
      </c>
      <c r="O91" s="201">
        <f>O94*规划指标!$G$16</f>
        <v>0</v>
      </c>
      <c r="P91" s="201">
        <f>P94*规划指标!$G$16</f>
        <v>0</v>
      </c>
      <c r="Q91" s="201">
        <f>Q94*规划指标!$G$16</f>
        <v>0</v>
      </c>
      <c r="R91" s="201">
        <f>R94*规划指标!$G$16</f>
        <v>0</v>
      </c>
      <c r="S91" s="201">
        <f>S94*规划指标!$G$16</f>
        <v>0</v>
      </c>
      <c r="T91" s="201">
        <f>T94*规划指标!$G$16</f>
        <v>0</v>
      </c>
      <c r="U91" s="201">
        <f>U94*规划指标!$G$16</f>
        <v>0</v>
      </c>
      <c r="V91" s="201">
        <f>V94*规划指标!$G$16</f>
        <v>0</v>
      </c>
      <c r="W91" s="201">
        <f>W94*规划指标!$G$16</f>
        <v>0</v>
      </c>
      <c r="X91" s="201">
        <f>X94*规划指标!$G$16</f>
        <v>0</v>
      </c>
      <c r="Y91" s="201">
        <f>Y94*规划指标!$G$16</f>
        <v>0</v>
      </c>
      <c r="Z91" s="201">
        <f>Z94*规划指标!$G$16</f>
        <v>0</v>
      </c>
      <c r="AA91" s="201">
        <f>AA94*规划指标!$G$16</f>
        <v>0</v>
      </c>
      <c r="AB91" s="201">
        <f>AB94*规划指标!$G$16</f>
        <v>0</v>
      </c>
      <c r="AC91" s="201">
        <f>AC94*规划指标!$G$16</f>
        <v>0</v>
      </c>
      <c r="AD91" s="201">
        <f>AD94*规划指标!$G$16</f>
        <v>0</v>
      </c>
      <c r="AE91" s="201">
        <f>AE94*规划指标!$G$16</f>
        <v>0</v>
      </c>
      <c r="AF91" s="201">
        <f>AF94*规划指标!$G$16</f>
        <v>0</v>
      </c>
      <c r="AG91" s="201">
        <f>AG94*规划指标!$G$16</f>
        <v>0</v>
      </c>
      <c r="AH91" s="201">
        <f>AH94*规划指标!$G$16</f>
        <v>0</v>
      </c>
      <c r="AI91" s="201">
        <f>AI94*规划指标!$G$16</f>
        <v>0</v>
      </c>
      <c r="AJ91" s="201">
        <f>AJ94*规划指标!$G$16</f>
        <v>0</v>
      </c>
      <c r="AK91" s="201">
        <f>AK94*规划指标!$G$16</f>
        <v>0</v>
      </c>
      <c r="AL91" s="201">
        <f>AL94*规划指标!$G$16</f>
        <v>0</v>
      </c>
      <c r="AM91" s="201">
        <f>AM94*规划指标!$G$16</f>
        <v>0</v>
      </c>
      <c r="AN91" s="201">
        <f>AN94*规划指标!$G$16</f>
        <v>0</v>
      </c>
      <c r="AO91" s="201">
        <f>AO94*规划指标!$G$16</f>
        <v>0</v>
      </c>
      <c r="AP91" s="201">
        <f>AP94*规划指标!$G$16</f>
        <v>0</v>
      </c>
      <c r="AQ91" s="201">
        <f>AQ94*规划指标!$G$16</f>
        <v>0</v>
      </c>
    </row>
    <row r="92" spans="1:46" s="213" customFormat="1" ht="18" hidden="1" customHeight="1" outlineLevel="2" x14ac:dyDescent="0.15">
      <c r="A92" s="216"/>
      <c r="B92" s="224" t="str">
        <f>B85</f>
        <v>销售套数</v>
      </c>
      <c r="C92" s="217" t="e">
        <f>SUM(D92:AQ92)</f>
        <v>#DIV/0!</v>
      </c>
      <c r="D92" s="245" t="e">
        <f>D91/规划指标!$G$16*规划指标!$I$16</f>
        <v>#DIV/0!</v>
      </c>
      <c r="E92" s="245" t="e">
        <f>E91/规划指标!$G$16*规划指标!$I$16</f>
        <v>#DIV/0!</v>
      </c>
      <c r="F92" s="245" t="e">
        <f>F91/规划指标!$G$16*规划指标!$I$16</f>
        <v>#DIV/0!</v>
      </c>
      <c r="G92" s="245" t="e">
        <f>G91/规划指标!$G$16*规划指标!$I$16</f>
        <v>#DIV/0!</v>
      </c>
      <c r="H92" s="245" t="e">
        <f>H91/规划指标!$G$16*规划指标!$I$16</f>
        <v>#DIV/0!</v>
      </c>
      <c r="I92" s="245" t="e">
        <f>I91/规划指标!$G$16*规划指标!$I$16</f>
        <v>#DIV/0!</v>
      </c>
      <c r="J92" s="245" t="e">
        <f>J91/规划指标!$G$16*规划指标!$I$16</f>
        <v>#DIV/0!</v>
      </c>
      <c r="K92" s="245" t="e">
        <f>K91/规划指标!$G$16*规划指标!$I$16</f>
        <v>#DIV/0!</v>
      </c>
      <c r="L92" s="245" t="e">
        <f>L91/规划指标!$G$16*规划指标!$I$16</f>
        <v>#DIV/0!</v>
      </c>
      <c r="M92" s="245" t="e">
        <f>M91/规划指标!$G$16*规划指标!$I$16</f>
        <v>#DIV/0!</v>
      </c>
      <c r="N92" s="245" t="e">
        <f>N91/规划指标!$G$16*规划指标!$I$16</f>
        <v>#DIV/0!</v>
      </c>
      <c r="O92" s="245" t="e">
        <f>O91/规划指标!$G$16*规划指标!$I$16</f>
        <v>#DIV/0!</v>
      </c>
      <c r="P92" s="245" t="e">
        <f>P91/规划指标!$G$16*规划指标!$I$16</f>
        <v>#DIV/0!</v>
      </c>
      <c r="Q92" s="245" t="e">
        <f>Q91/规划指标!$G$16*规划指标!$I$16</f>
        <v>#DIV/0!</v>
      </c>
      <c r="R92" s="245" t="e">
        <f>R91/规划指标!$G$16*规划指标!$I$16</f>
        <v>#DIV/0!</v>
      </c>
      <c r="S92" s="245" t="e">
        <f>S91/规划指标!$G$16*规划指标!$I$16</f>
        <v>#DIV/0!</v>
      </c>
      <c r="T92" s="245" t="e">
        <f>T91/规划指标!$G$16*规划指标!$I$16</f>
        <v>#DIV/0!</v>
      </c>
      <c r="U92" s="245" t="e">
        <f>U91/规划指标!$G$16*规划指标!$I$16</f>
        <v>#DIV/0!</v>
      </c>
      <c r="V92" s="245" t="e">
        <f>V91/规划指标!$G$16*规划指标!$I$16</f>
        <v>#DIV/0!</v>
      </c>
      <c r="W92" s="245" t="e">
        <f>W91/规划指标!$G$16*规划指标!$I$16</f>
        <v>#DIV/0!</v>
      </c>
      <c r="X92" s="245" t="e">
        <f>X91/规划指标!$G$16*规划指标!$I$16</f>
        <v>#DIV/0!</v>
      </c>
      <c r="Y92" s="245" t="e">
        <f>Y91/规划指标!$G$16*规划指标!$I$16</f>
        <v>#DIV/0!</v>
      </c>
      <c r="Z92" s="245" t="e">
        <f>Z91/规划指标!$G$16*规划指标!$I$16</f>
        <v>#DIV/0!</v>
      </c>
      <c r="AA92" s="245" t="e">
        <f>AA91/规划指标!$G$16*规划指标!$I$16</f>
        <v>#DIV/0!</v>
      </c>
      <c r="AB92" s="245" t="e">
        <f>AB91/规划指标!$G$16*规划指标!$I$16</f>
        <v>#DIV/0!</v>
      </c>
      <c r="AC92" s="245" t="e">
        <f>AC91/规划指标!$G$16*规划指标!$I$16</f>
        <v>#DIV/0!</v>
      </c>
      <c r="AD92" s="245" t="e">
        <f>AD91/规划指标!$G$16*规划指标!$I$16</f>
        <v>#DIV/0!</v>
      </c>
      <c r="AE92" s="245" t="e">
        <f>AE91/规划指标!$G$16*规划指标!$I$16</f>
        <v>#DIV/0!</v>
      </c>
      <c r="AF92" s="245" t="e">
        <f>AF91/规划指标!$G$16*规划指标!$I$16</f>
        <v>#DIV/0!</v>
      </c>
      <c r="AG92" s="245" t="e">
        <f>AG91/规划指标!$G$16*规划指标!$I$16</f>
        <v>#DIV/0!</v>
      </c>
      <c r="AH92" s="245" t="e">
        <f>AH91/规划指标!$G$16*规划指标!$I$16</f>
        <v>#DIV/0!</v>
      </c>
      <c r="AI92" s="245" t="e">
        <f>AI91/规划指标!$G$16*规划指标!$I$16</f>
        <v>#DIV/0!</v>
      </c>
      <c r="AJ92" s="245" t="e">
        <f>AJ91/规划指标!$G$16*规划指标!$I$16</f>
        <v>#DIV/0!</v>
      </c>
      <c r="AK92" s="245" t="e">
        <f>AK91/规划指标!$G$16*规划指标!$I$16</f>
        <v>#DIV/0!</v>
      </c>
      <c r="AL92" s="245" t="e">
        <f>AL91/规划指标!$G$16*规划指标!$I$16</f>
        <v>#DIV/0!</v>
      </c>
      <c r="AM92" s="245" t="e">
        <f>AM91/规划指标!$G$16*规划指标!$I$16</f>
        <v>#DIV/0!</v>
      </c>
      <c r="AN92" s="245" t="e">
        <f>AN91/规划指标!$G$16*规划指标!$I$16</f>
        <v>#DIV/0!</v>
      </c>
      <c r="AO92" s="245" t="e">
        <f>AO91/规划指标!$G$16*规划指标!$I$16</f>
        <v>#DIV/0!</v>
      </c>
      <c r="AP92" s="245" t="e">
        <f>AP91/规划指标!$G$16*规划指标!$I$16</f>
        <v>#DIV/0!</v>
      </c>
      <c r="AQ92" s="245" t="e">
        <f>AQ91/规划指标!$G$16*规划指标!$I$16</f>
        <v>#DIV/0!</v>
      </c>
    </row>
    <row r="93" spans="1:46" s="213" customFormat="1" ht="18" hidden="1" customHeight="1" outlineLevel="2" x14ac:dyDescent="0.15">
      <c r="A93" s="216"/>
      <c r="B93" s="224" t="str">
        <f>$B$9</f>
        <v>销售均价</v>
      </c>
      <c r="C93" s="225" t="e">
        <f>ROUND(C90/C91*10000,0)</f>
        <v>#DIV/0!</v>
      </c>
      <c r="D93" s="226">
        <f>ROUND(C95*D164,0)</f>
        <v>0</v>
      </c>
      <c r="E93" s="226">
        <f t="shared" ref="E93:AM93" si="36">D93</f>
        <v>0</v>
      </c>
      <c r="F93" s="226">
        <f t="shared" si="36"/>
        <v>0</v>
      </c>
      <c r="G93" s="226">
        <f t="shared" si="36"/>
        <v>0</v>
      </c>
      <c r="H93" s="226">
        <f t="shared" si="36"/>
        <v>0</v>
      </c>
      <c r="I93" s="226">
        <f t="shared" si="36"/>
        <v>0</v>
      </c>
      <c r="J93" s="226">
        <f t="shared" si="36"/>
        <v>0</v>
      </c>
      <c r="K93" s="226">
        <f t="shared" si="36"/>
        <v>0</v>
      </c>
      <c r="L93" s="226">
        <f t="shared" si="36"/>
        <v>0</v>
      </c>
      <c r="M93" s="226">
        <f t="shared" si="36"/>
        <v>0</v>
      </c>
      <c r="N93" s="226">
        <f t="shared" si="36"/>
        <v>0</v>
      </c>
      <c r="O93" s="226">
        <f t="shared" si="36"/>
        <v>0</v>
      </c>
      <c r="P93" s="226">
        <f t="shared" si="36"/>
        <v>0</v>
      </c>
      <c r="Q93" s="226">
        <f t="shared" si="36"/>
        <v>0</v>
      </c>
      <c r="R93" s="226">
        <f t="shared" si="36"/>
        <v>0</v>
      </c>
      <c r="S93" s="226">
        <f t="shared" si="36"/>
        <v>0</v>
      </c>
      <c r="T93" s="226">
        <f t="shared" si="36"/>
        <v>0</v>
      </c>
      <c r="U93" s="226">
        <f t="shared" si="36"/>
        <v>0</v>
      </c>
      <c r="V93" s="226">
        <f t="shared" si="36"/>
        <v>0</v>
      </c>
      <c r="W93" s="226">
        <f t="shared" si="36"/>
        <v>0</v>
      </c>
      <c r="X93" s="226">
        <f t="shared" si="36"/>
        <v>0</v>
      </c>
      <c r="Y93" s="226">
        <f t="shared" si="36"/>
        <v>0</v>
      </c>
      <c r="Z93" s="226">
        <f t="shared" si="36"/>
        <v>0</v>
      </c>
      <c r="AA93" s="226">
        <f t="shared" si="36"/>
        <v>0</v>
      </c>
      <c r="AB93" s="226">
        <f t="shared" si="36"/>
        <v>0</v>
      </c>
      <c r="AC93" s="226">
        <f t="shared" si="36"/>
        <v>0</v>
      </c>
      <c r="AD93" s="226">
        <f t="shared" si="36"/>
        <v>0</v>
      </c>
      <c r="AE93" s="226">
        <f t="shared" si="36"/>
        <v>0</v>
      </c>
      <c r="AF93" s="226">
        <f t="shared" si="36"/>
        <v>0</v>
      </c>
      <c r="AG93" s="226">
        <f t="shared" si="36"/>
        <v>0</v>
      </c>
      <c r="AH93" s="226">
        <f t="shared" si="36"/>
        <v>0</v>
      </c>
      <c r="AI93" s="226">
        <f t="shared" si="36"/>
        <v>0</v>
      </c>
      <c r="AJ93" s="226">
        <f t="shared" si="36"/>
        <v>0</v>
      </c>
      <c r="AK93" s="226">
        <f t="shared" si="36"/>
        <v>0</v>
      </c>
      <c r="AL93" s="226">
        <f t="shared" si="36"/>
        <v>0</v>
      </c>
      <c r="AM93" s="226">
        <f t="shared" si="36"/>
        <v>0</v>
      </c>
      <c r="AN93" s="226">
        <f>W93</f>
        <v>0</v>
      </c>
      <c r="AO93" s="226">
        <f>AN93</f>
        <v>0</v>
      </c>
      <c r="AP93" s="226">
        <f>AO93</f>
        <v>0</v>
      </c>
      <c r="AQ93" s="226">
        <f>AP93</f>
        <v>0</v>
      </c>
      <c r="AS93" s="571"/>
      <c r="AT93" s="202"/>
    </row>
    <row r="94" spans="1:46" s="229" customFormat="1" ht="18" hidden="1" customHeight="1" outlineLevel="2" x14ac:dyDescent="0.15">
      <c r="A94" s="227"/>
      <c r="B94" s="224" t="str">
        <f>$B$10</f>
        <v>销售率</v>
      </c>
      <c r="C94" s="228">
        <f>SUM(D94:AQ94)</f>
        <v>0</v>
      </c>
      <c r="D94" s="234"/>
      <c r="E94" s="234"/>
      <c r="F94" s="234"/>
      <c r="G94" s="234"/>
      <c r="H94" s="234"/>
      <c r="I94" s="234"/>
      <c r="J94" s="234"/>
      <c r="K94" s="234"/>
      <c r="L94" s="234"/>
      <c r="M94" s="234"/>
      <c r="N94" s="234"/>
      <c r="O94" s="234"/>
      <c r="P94" s="234"/>
      <c r="Q94" s="234"/>
      <c r="R94" s="234"/>
      <c r="S94" s="234"/>
      <c r="T94" s="234"/>
      <c r="U94" s="234"/>
      <c r="V94" s="234"/>
      <c r="W94" s="234"/>
      <c r="X94" s="234"/>
      <c r="Y94" s="234"/>
      <c r="Z94" s="234"/>
      <c r="AA94" s="234"/>
      <c r="AB94" s="234"/>
      <c r="AC94" s="234"/>
      <c r="AD94" s="234"/>
      <c r="AE94" s="234"/>
      <c r="AF94" s="234"/>
      <c r="AG94" s="234"/>
      <c r="AH94" s="234"/>
      <c r="AI94" s="234"/>
      <c r="AJ94" s="234"/>
      <c r="AK94" s="234"/>
      <c r="AL94" s="234"/>
      <c r="AM94" s="234"/>
      <c r="AN94" s="234"/>
      <c r="AO94" s="234"/>
      <c r="AP94" s="234"/>
      <c r="AQ94" s="234"/>
    </row>
    <row r="95" spans="1:46" s="229" customFormat="1" ht="18" hidden="1" customHeight="1" outlineLevel="2" x14ac:dyDescent="0.15">
      <c r="A95" s="227"/>
      <c r="B95" s="224" t="s">
        <v>577</v>
      </c>
      <c r="C95" s="713"/>
      <c r="D95" s="228"/>
      <c r="E95" s="228"/>
      <c r="F95" s="228"/>
      <c r="G95" s="228"/>
      <c r="H95" s="228"/>
      <c r="I95" s="228"/>
      <c r="J95" s="228"/>
      <c r="K95" s="228"/>
      <c r="L95" s="228"/>
      <c r="M95" s="228"/>
      <c r="N95" s="228"/>
      <c r="O95" s="228"/>
      <c r="P95" s="228"/>
      <c r="Q95" s="228"/>
      <c r="R95" s="228"/>
      <c r="S95" s="228"/>
      <c r="T95" s="228"/>
      <c r="U95" s="228"/>
      <c r="V95" s="228"/>
      <c r="W95" s="228"/>
      <c r="X95" s="228"/>
      <c r="Y95" s="228"/>
      <c r="Z95" s="228"/>
      <c r="AA95" s="228"/>
      <c r="AB95" s="228"/>
      <c r="AC95" s="228"/>
      <c r="AD95" s="228"/>
      <c r="AE95" s="228"/>
      <c r="AF95" s="228"/>
      <c r="AG95" s="228"/>
      <c r="AH95" s="228"/>
      <c r="AI95" s="228"/>
      <c r="AJ95" s="228"/>
      <c r="AK95" s="228"/>
      <c r="AL95" s="228"/>
      <c r="AM95" s="228"/>
      <c r="AN95" s="228"/>
      <c r="AO95" s="228"/>
      <c r="AP95" s="228"/>
      <c r="AQ95" s="228"/>
    </row>
    <row r="96" spans="1:46" s="213" customFormat="1" ht="18" hidden="1" customHeight="1" outlineLevel="2" x14ac:dyDescent="0.15">
      <c r="A96" s="216"/>
      <c r="B96" s="618"/>
      <c r="C96" s="228"/>
      <c r="D96" s="231"/>
      <c r="E96" s="231"/>
      <c r="F96" s="231"/>
      <c r="G96" s="231"/>
      <c r="H96" s="231"/>
      <c r="I96" s="231"/>
      <c r="J96" s="231"/>
      <c r="K96" s="231"/>
      <c r="L96" s="231"/>
      <c r="M96" s="231"/>
      <c r="N96" s="231"/>
      <c r="O96" s="231"/>
      <c r="P96" s="231"/>
      <c r="Q96" s="231"/>
      <c r="R96" s="231"/>
      <c r="S96" s="231"/>
      <c r="T96" s="231"/>
      <c r="U96" s="231"/>
      <c r="V96" s="231"/>
      <c r="W96" s="231"/>
      <c r="X96" s="231"/>
      <c r="Y96" s="231"/>
      <c r="Z96" s="231"/>
      <c r="AA96" s="231"/>
      <c r="AB96" s="231"/>
      <c r="AC96" s="231"/>
      <c r="AD96" s="231"/>
      <c r="AE96" s="231"/>
      <c r="AF96" s="231"/>
      <c r="AG96" s="231"/>
      <c r="AH96" s="231"/>
      <c r="AI96" s="231"/>
      <c r="AJ96" s="231"/>
      <c r="AK96" s="231"/>
      <c r="AL96" s="231"/>
      <c r="AM96" s="231"/>
      <c r="AN96" s="231"/>
      <c r="AO96" s="231"/>
      <c r="AP96" s="231"/>
      <c r="AQ96" s="231"/>
    </row>
    <row r="97" spans="1:43" s="213" customFormat="1" ht="18" hidden="1" customHeight="1" outlineLevel="1" x14ac:dyDescent="0.15">
      <c r="A97" s="216" t="s">
        <v>580</v>
      </c>
      <c r="B97" s="619">
        <f>规划指标!F17</f>
        <v>0</v>
      </c>
      <c r="C97" s="217">
        <f>SUM(D97:AQ97)</f>
        <v>0</v>
      </c>
      <c r="D97" s="201">
        <f>D100*D98/10000</f>
        <v>0</v>
      </c>
      <c r="E97" s="201">
        <f t="shared" ref="E97:AQ97" si="37">E100*E98/10000</f>
        <v>0</v>
      </c>
      <c r="F97" s="201">
        <f t="shared" si="37"/>
        <v>0</v>
      </c>
      <c r="G97" s="201">
        <f t="shared" si="37"/>
        <v>0</v>
      </c>
      <c r="H97" s="201">
        <f t="shared" si="37"/>
        <v>0</v>
      </c>
      <c r="I97" s="201">
        <f t="shared" si="37"/>
        <v>0</v>
      </c>
      <c r="J97" s="201">
        <f t="shared" si="37"/>
        <v>0</v>
      </c>
      <c r="K97" s="201">
        <f t="shared" si="37"/>
        <v>0</v>
      </c>
      <c r="L97" s="201">
        <f t="shared" si="37"/>
        <v>0</v>
      </c>
      <c r="M97" s="201">
        <f t="shared" si="37"/>
        <v>0</v>
      </c>
      <c r="N97" s="201">
        <f t="shared" si="37"/>
        <v>0</v>
      </c>
      <c r="O97" s="201">
        <f t="shared" si="37"/>
        <v>0</v>
      </c>
      <c r="P97" s="201">
        <f t="shared" si="37"/>
        <v>0</v>
      </c>
      <c r="Q97" s="201">
        <f t="shared" si="37"/>
        <v>0</v>
      </c>
      <c r="R97" s="201">
        <f t="shared" si="37"/>
        <v>0</v>
      </c>
      <c r="S97" s="201">
        <f t="shared" si="37"/>
        <v>0</v>
      </c>
      <c r="T97" s="201">
        <f t="shared" si="37"/>
        <v>0</v>
      </c>
      <c r="U97" s="201">
        <f t="shared" si="37"/>
        <v>0</v>
      </c>
      <c r="V97" s="201">
        <f t="shared" si="37"/>
        <v>0</v>
      </c>
      <c r="W97" s="201">
        <f t="shared" si="37"/>
        <v>0</v>
      </c>
      <c r="X97" s="201">
        <f t="shared" si="37"/>
        <v>0</v>
      </c>
      <c r="Y97" s="201">
        <f t="shared" si="37"/>
        <v>0</v>
      </c>
      <c r="Z97" s="201">
        <f t="shared" si="37"/>
        <v>0</v>
      </c>
      <c r="AA97" s="201">
        <f t="shared" si="37"/>
        <v>0</v>
      </c>
      <c r="AB97" s="201">
        <f t="shared" si="37"/>
        <v>0</v>
      </c>
      <c r="AC97" s="201">
        <f t="shared" si="37"/>
        <v>0</v>
      </c>
      <c r="AD97" s="201">
        <f t="shared" si="37"/>
        <v>0</v>
      </c>
      <c r="AE97" s="201">
        <f t="shared" si="37"/>
        <v>0</v>
      </c>
      <c r="AF97" s="201">
        <f t="shared" si="37"/>
        <v>0</v>
      </c>
      <c r="AG97" s="201">
        <f t="shared" si="37"/>
        <v>0</v>
      </c>
      <c r="AH97" s="201">
        <f t="shared" si="37"/>
        <v>0</v>
      </c>
      <c r="AI97" s="201">
        <f t="shared" si="37"/>
        <v>0</v>
      </c>
      <c r="AJ97" s="201">
        <f t="shared" si="37"/>
        <v>0</v>
      </c>
      <c r="AK97" s="201">
        <f t="shared" si="37"/>
        <v>0</v>
      </c>
      <c r="AL97" s="201">
        <f t="shared" si="37"/>
        <v>0</v>
      </c>
      <c r="AM97" s="201">
        <f t="shared" si="37"/>
        <v>0</v>
      </c>
      <c r="AN97" s="201">
        <f t="shared" si="37"/>
        <v>0</v>
      </c>
      <c r="AO97" s="201">
        <f t="shared" si="37"/>
        <v>0</v>
      </c>
      <c r="AP97" s="201">
        <f t="shared" si="37"/>
        <v>0</v>
      </c>
      <c r="AQ97" s="201">
        <f t="shared" si="37"/>
        <v>0</v>
      </c>
    </row>
    <row r="98" spans="1:43" s="213" customFormat="1" ht="18" hidden="1" customHeight="1" outlineLevel="2" x14ac:dyDescent="0.15">
      <c r="A98" s="216"/>
      <c r="B98" s="224" t="str">
        <f>$B$7</f>
        <v>销售数量</v>
      </c>
      <c r="C98" s="217">
        <f>SUM(D98:AQ98)</f>
        <v>0</v>
      </c>
      <c r="D98" s="201">
        <f>D101*规划指标!$G$17</f>
        <v>0</v>
      </c>
      <c r="E98" s="201">
        <f>E101*规划指标!$G$17</f>
        <v>0</v>
      </c>
      <c r="F98" s="201">
        <f>F101*规划指标!$G$17</f>
        <v>0</v>
      </c>
      <c r="G98" s="201">
        <f>G101*规划指标!$G$17</f>
        <v>0</v>
      </c>
      <c r="H98" s="201">
        <f>H101*规划指标!$G$17</f>
        <v>0</v>
      </c>
      <c r="I98" s="201">
        <f>I101*规划指标!$G$17</f>
        <v>0</v>
      </c>
      <c r="J98" s="201">
        <f>J101*规划指标!$G$17</f>
        <v>0</v>
      </c>
      <c r="K98" s="201">
        <f>K101*规划指标!$G$17</f>
        <v>0</v>
      </c>
      <c r="L98" s="201">
        <f>L101*规划指标!$G$17</f>
        <v>0</v>
      </c>
      <c r="M98" s="201">
        <f>M101*规划指标!$G$17</f>
        <v>0</v>
      </c>
      <c r="N98" s="201">
        <f>N101*规划指标!$G$17</f>
        <v>0</v>
      </c>
      <c r="O98" s="201">
        <f>O101*规划指标!$G$17</f>
        <v>0</v>
      </c>
      <c r="P98" s="201">
        <f>P101*规划指标!$G$17</f>
        <v>0</v>
      </c>
      <c r="Q98" s="201">
        <f>Q101*规划指标!$G$17</f>
        <v>0</v>
      </c>
      <c r="R98" s="201">
        <f>R101*规划指标!$G$17</f>
        <v>0</v>
      </c>
      <c r="S98" s="201">
        <f>S101*规划指标!$G$17</f>
        <v>0</v>
      </c>
      <c r="T98" s="201">
        <f>T101*规划指标!$G$17</f>
        <v>0</v>
      </c>
      <c r="U98" s="201">
        <f>U101*规划指标!$G$17</f>
        <v>0</v>
      </c>
      <c r="V98" s="201">
        <f>V101*规划指标!$G$17</f>
        <v>0</v>
      </c>
      <c r="W98" s="201">
        <f>W101*规划指标!$G$17</f>
        <v>0</v>
      </c>
      <c r="X98" s="201">
        <f>X101*规划指标!$G$17</f>
        <v>0</v>
      </c>
      <c r="Y98" s="201">
        <f>Y101*规划指标!$G$17</f>
        <v>0</v>
      </c>
      <c r="Z98" s="201">
        <f>Z101*规划指标!$G$17</f>
        <v>0</v>
      </c>
      <c r="AA98" s="201">
        <f>AA101*规划指标!$G$17</f>
        <v>0</v>
      </c>
      <c r="AB98" s="201">
        <f>AB101*规划指标!$G$17</f>
        <v>0</v>
      </c>
      <c r="AC98" s="201">
        <f>AC101*规划指标!$G$17</f>
        <v>0</v>
      </c>
      <c r="AD98" s="201">
        <f>AD101*规划指标!$G$17</f>
        <v>0</v>
      </c>
      <c r="AE98" s="201">
        <f>AE101*规划指标!$G$17</f>
        <v>0</v>
      </c>
      <c r="AF98" s="201">
        <f>AF101*规划指标!$G$17</f>
        <v>0</v>
      </c>
      <c r="AG98" s="201">
        <f>AG101*规划指标!$G$17</f>
        <v>0</v>
      </c>
      <c r="AH98" s="201">
        <f>AH101*规划指标!$G$17</f>
        <v>0</v>
      </c>
      <c r="AI98" s="201">
        <f>AI101*规划指标!$G$17</f>
        <v>0</v>
      </c>
      <c r="AJ98" s="201">
        <f>AJ101*规划指标!$G$17</f>
        <v>0</v>
      </c>
      <c r="AK98" s="201">
        <f>AK101*规划指标!$G$17</f>
        <v>0</v>
      </c>
      <c r="AL98" s="201">
        <f>AL101*规划指标!$G$17</f>
        <v>0</v>
      </c>
      <c r="AM98" s="201">
        <f>AM101*规划指标!$G$17</f>
        <v>0</v>
      </c>
      <c r="AN98" s="201">
        <f>AN101*规划指标!$G$17</f>
        <v>0</v>
      </c>
      <c r="AO98" s="201">
        <f>AO101*规划指标!$G$17</f>
        <v>0</v>
      </c>
      <c r="AP98" s="201">
        <f>AP101*规划指标!$G$17</f>
        <v>0</v>
      </c>
      <c r="AQ98" s="201">
        <f>AQ101*规划指标!$G$17</f>
        <v>0</v>
      </c>
    </row>
    <row r="99" spans="1:43" s="213" customFormat="1" ht="18" hidden="1" customHeight="1" outlineLevel="2" x14ac:dyDescent="0.15">
      <c r="A99" s="216"/>
      <c r="B99" s="224" t="str">
        <f>B92</f>
        <v>销售套数</v>
      </c>
      <c r="C99" s="217" t="e">
        <f>SUM(D99:AQ99)</f>
        <v>#DIV/0!</v>
      </c>
      <c r="D99" s="245" t="e">
        <f>D98/规划指标!$G$17*规划指标!$I$17</f>
        <v>#DIV/0!</v>
      </c>
      <c r="E99" s="245" t="e">
        <f>E98/规划指标!$G$17*规划指标!$I$17</f>
        <v>#DIV/0!</v>
      </c>
      <c r="F99" s="245" t="e">
        <f>F98/规划指标!$G$17*规划指标!$I$17</f>
        <v>#DIV/0!</v>
      </c>
      <c r="G99" s="245" t="e">
        <f>G98/规划指标!$G$17*规划指标!$I$17</f>
        <v>#DIV/0!</v>
      </c>
      <c r="H99" s="245" t="e">
        <f>H98/规划指标!$G$17*规划指标!$I$17</f>
        <v>#DIV/0!</v>
      </c>
      <c r="I99" s="245" t="e">
        <f>I98/规划指标!$G$17*规划指标!$I$17</f>
        <v>#DIV/0!</v>
      </c>
      <c r="J99" s="245" t="e">
        <f>J98/规划指标!$G$17*规划指标!$I$17</f>
        <v>#DIV/0!</v>
      </c>
      <c r="K99" s="245" t="e">
        <f>K98/规划指标!$G$17*规划指标!$I$17</f>
        <v>#DIV/0!</v>
      </c>
      <c r="L99" s="245" t="e">
        <f>L98/规划指标!$G$17*规划指标!$I$17</f>
        <v>#DIV/0!</v>
      </c>
      <c r="M99" s="245" t="e">
        <f>M98/规划指标!$G$17*规划指标!$I$17</f>
        <v>#DIV/0!</v>
      </c>
      <c r="N99" s="245" t="e">
        <f>N98/规划指标!$G$17*规划指标!$I$17</f>
        <v>#DIV/0!</v>
      </c>
      <c r="O99" s="245" t="e">
        <f>O98/规划指标!$G$17*规划指标!$I$17</f>
        <v>#DIV/0!</v>
      </c>
      <c r="P99" s="245" t="e">
        <f>P98/规划指标!$G$17*规划指标!$I$17</f>
        <v>#DIV/0!</v>
      </c>
      <c r="Q99" s="245" t="e">
        <f>Q98/规划指标!$G$17*规划指标!$I$17</f>
        <v>#DIV/0!</v>
      </c>
      <c r="R99" s="245" t="e">
        <f>R98/规划指标!$G$17*规划指标!$I$17</f>
        <v>#DIV/0!</v>
      </c>
      <c r="S99" s="245" t="e">
        <f>S98/规划指标!$G$17*规划指标!$I$17</f>
        <v>#DIV/0!</v>
      </c>
      <c r="T99" s="245" t="e">
        <f>T98/规划指标!$G$17*规划指标!$I$17</f>
        <v>#DIV/0!</v>
      </c>
      <c r="U99" s="245" t="e">
        <f>U98/规划指标!$G$17*规划指标!$I$17</f>
        <v>#DIV/0!</v>
      </c>
      <c r="V99" s="245" t="e">
        <f>V98/规划指标!$G$17*规划指标!$I$17</f>
        <v>#DIV/0!</v>
      </c>
      <c r="W99" s="245" t="e">
        <f>W98/规划指标!$G$17*规划指标!$I$17</f>
        <v>#DIV/0!</v>
      </c>
      <c r="X99" s="245" t="e">
        <f>X98/规划指标!$G$17*规划指标!$I$17</f>
        <v>#DIV/0!</v>
      </c>
      <c r="Y99" s="245" t="e">
        <f>Y98/规划指标!$G$17*规划指标!$I$17</f>
        <v>#DIV/0!</v>
      </c>
      <c r="Z99" s="245" t="e">
        <f>Z98/规划指标!$G$17*规划指标!$I$17</f>
        <v>#DIV/0!</v>
      </c>
      <c r="AA99" s="245" t="e">
        <f>AA98/规划指标!$G$17*规划指标!$I$17</f>
        <v>#DIV/0!</v>
      </c>
      <c r="AB99" s="245" t="e">
        <f>AB98/规划指标!$G$17*规划指标!$I$17</f>
        <v>#DIV/0!</v>
      </c>
      <c r="AC99" s="245" t="e">
        <f>AC98/规划指标!$G$17*规划指标!$I$17</f>
        <v>#DIV/0!</v>
      </c>
      <c r="AD99" s="245" t="e">
        <f>AD98/规划指标!$G$17*规划指标!$I$17</f>
        <v>#DIV/0!</v>
      </c>
      <c r="AE99" s="245" t="e">
        <f>AE98/规划指标!$G$17*规划指标!$I$17</f>
        <v>#DIV/0!</v>
      </c>
      <c r="AF99" s="245" t="e">
        <f>AF98/规划指标!$G$17*规划指标!$I$17</f>
        <v>#DIV/0!</v>
      </c>
      <c r="AG99" s="245" t="e">
        <f>AG98/规划指标!$G$17*规划指标!$I$17</f>
        <v>#DIV/0!</v>
      </c>
      <c r="AH99" s="245" t="e">
        <f>AH98/规划指标!$G$17*规划指标!$I$17</f>
        <v>#DIV/0!</v>
      </c>
      <c r="AI99" s="245" t="e">
        <f>AI98/规划指标!$G$17*规划指标!$I$17</f>
        <v>#DIV/0!</v>
      </c>
      <c r="AJ99" s="245" t="e">
        <f>AJ98/规划指标!$G$17*规划指标!$I$17</f>
        <v>#DIV/0!</v>
      </c>
      <c r="AK99" s="245" t="e">
        <f>AK98/规划指标!$G$17*规划指标!$I$17</f>
        <v>#DIV/0!</v>
      </c>
      <c r="AL99" s="245" t="e">
        <f>AL98/规划指标!$G$17*规划指标!$I$17</f>
        <v>#DIV/0!</v>
      </c>
      <c r="AM99" s="245" t="e">
        <f>AM98/规划指标!$G$17*规划指标!$I$17</f>
        <v>#DIV/0!</v>
      </c>
      <c r="AN99" s="245" t="e">
        <f>AN98/规划指标!$G$17*规划指标!$I$17</f>
        <v>#DIV/0!</v>
      </c>
      <c r="AO99" s="245" t="e">
        <f>AO98/规划指标!$G$17*规划指标!$I$17</f>
        <v>#DIV/0!</v>
      </c>
      <c r="AP99" s="245" t="e">
        <f>AP98/规划指标!$G$17*规划指标!$I$17</f>
        <v>#DIV/0!</v>
      </c>
      <c r="AQ99" s="245" t="e">
        <f>AQ98/规划指标!$G$17*规划指标!$I$17</f>
        <v>#DIV/0!</v>
      </c>
    </row>
    <row r="100" spans="1:43" s="213" customFormat="1" ht="18" hidden="1" customHeight="1" outlineLevel="2" x14ac:dyDescent="0.15">
      <c r="A100" s="216"/>
      <c r="B100" s="224" t="str">
        <f>$B$9</f>
        <v>销售均价</v>
      </c>
      <c r="C100" s="225" t="e">
        <f>ROUND(C97/C98*10000,0)</f>
        <v>#DIV/0!</v>
      </c>
      <c r="D100" s="226">
        <f>ROUND(C102*D165,0)</f>
        <v>0</v>
      </c>
      <c r="E100" s="226">
        <f t="shared" ref="E100:AM100" si="38">D100</f>
        <v>0</v>
      </c>
      <c r="F100" s="226">
        <f t="shared" si="38"/>
        <v>0</v>
      </c>
      <c r="G100" s="226">
        <f t="shared" si="38"/>
        <v>0</v>
      </c>
      <c r="H100" s="226">
        <f t="shared" si="38"/>
        <v>0</v>
      </c>
      <c r="I100" s="226">
        <f t="shared" si="38"/>
        <v>0</v>
      </c>
      <c r="J100" s="226">
        <f t="shared" si="38"/>
        <v>0</v>
      </c>
      <c r="K100" s="226">
        <f t="shared" si="38"/>
        <v>0</v>
      </c>
      <c r="L100" s="226">
        <f t="shared" si="38"/>
        <v>0</v>
      </c>
      <c r="M100" s="226">
        <f t="shared" si="38"/>
        <v>0</v>
      </c>
      <c r="N100" s="226">
        <f t="shared" si="38"/>
        <v>0</v>
      </c>
      <c r="O100" s="226">
        <f t="shared" si="38"/>
        <v>0</v>
      </c>
      <c r="P100" s="226">
        <f t="shared" si="38"/>
        <v>0</v>
      </c>
      <c r="Q100" s="226">
        <f t="shared" si="38"/>
        <v>0</v>
      </c>
      <c r="R100" s="226">
        <f t="shared" si="38"/>
        <v>0</v>
      </c>
      <c r="S100" s="226">
        <f t="shared" si="38"/>
        <v>0</v>
      </c>
      <c r="T100" s="226">
        <f t="shared" si="38"/>
        <v>0</v>
      </c>
      <c r="U100" s="226">
        <f t="shared" si="38"/>
        <v>0</v>
      </c>
      <c r="V100" s="226">
        <f t="shared" si="38"/>
        <v>0</v>
      </c>
      <c r="W100" s="226">
        <f t="shared" si="38"/>
        <v>0</v>
      </c>
      <c r="X100" s="226">
        <f t="shared" si="38"/>
        <v>0</v>
      </c>
      <c r="Y100" s="226">
        <f t="shared" si="38"/>
        <v>0</v>
      </c>
      <c r="Z100" s="226">
        <f t="shared" si="38"/>
        <v>0</v>
      </c>
      <c r="AA100" s="226">
        <f t="shared" si="38"/>
        <v>0</v>
      </c>
      <c r="AB100" s="226">
        <f t="shared" si="38"/>
        <v>0</v>
      </c>
      <c r="AC100" s="226">
        <f t="shared" si="38"/>
        <v>0</v>
      </c>
      <c r="AD100" s="226">
        <f t="shared" si="38"/>
        <v>0</v>
      </c>
      <c r="AE100" s="226">
        <f t="shared" si="38"/>
        <v>0</v>
      </c>
      <c r="AF100" s="226">
        <f t="shared" si="38"/>
        <v>0</v>
      </c>
      <c r="AG100" s="226">
        <f t="shared" si="38"/>
        <v>0</v>
      </c>
      <c r="AH100" s="226">
        <f t="shared" si="38"/>
        <v>0</v>
      </c>
      <c r="AI100" s="226">
        <f t="shared" si="38"/>
        <v>0</v>
      </c>
      <c r="AJ100" s="226">
        <f t="shared" si="38"/>
        <v>0</v>
      </c>
      <c r="AK100" s="226">
        <f t="shared" si="38"/>
        <v>0</v>
      </c>
      <c r="AL100" s="226">
        <f t="shared" si="38"/>
        <v>0</v>
      </c>
      <c r="AM100" s="226">
        <f t="shared" si="38"/>
        <v>0</v>
      </c>
      <c r="AN100" s="226">
        <f>W100</f>
        <v>0</v>
      </c>
      <c r="AO100" s="226">
        <f>AN100</f>
        <v>0</v>
      </c>
      <c r="AP100" s="226">
        <f>AO100</f>
        <v>0</v>
      </c>
      <c r="AQ100" s="226">
        <f>AP100</f>
        <v>0</v>
      </c>
    </row>
    <row r="101" spans="1:43" s="229" customFormat="1" ht="18" hidden="1" customHeight="1" outlineLevel="2" x14ac:dyDescent="0.15">
      <c r="A101" s="227"/>
      <c r="B101" s="224" t="str">
        <f>$B$10</f>
        <v>销售率</v>
      </c>
      <c r="C101" s="228">
        <f>SUM(D101:AQ101)</f>
        <v>0</v>
      </c>
      <c r="D101" s="234"/>
      <c r="E101" s="234"/>
      <c r="F101" s="234"/>
      <c r="G101" s="234"/>
      <c r="H101" s="234"/>
      <c r="I101" s="234"/>
      <c r="J101" s="234"/>
      <c r="K101" s="234"/>
      <c r="L101" s="234"/>
      <c r="M101" s="234"/>
      <c r="N101" s="234"/>
      <c r="O101" s="234"/>
      <c r="P101" s="234"/>
      <c r="Q101" s="234"/>
      <c r="R101" s="234"/>
      <c r="S101" s="234"/>
      <c r="T101" s="234"/>
      <c r="U101" s="234"/>
      <c r="V101" s="234"/>
      <c r="W101" s="234"/>
      <c r="X101" s="234"/>
      <c r="Y101" s="234"/>
      <c r="Z101" s="234"/>
      <c r="AA101" s="234"/>
      <c r="AB101" s="234"/>
      <c r="AC101" s="234"/>
      <c r="AD101" s="234"/>
      <c r="AE101" s="234"/>
      <c r="AF101" s="234"/>
      <c r="AG101" s="234"/>
      <c r="AH101" s="234"/>
      <c r="AI101" s="234"/>
      <c r="AJ101" s="234"/>
      <c r="AK101" s="234"/>
      <c r="AL101" s="234"/>
      <c r="AM101" s="234"/>
      <c r="AN101" s="234"/>
      <c r="AO101" s="234"/>
      <c r="AP101" s="234"/>
      <c r="AQ101" s="234"/>
    </row>
    <row r="102" spans="1:43" s="229" customFormat="1" ht="18" hidden="1" customHeight="1" outlineLevel="2" x14ac:dyDescent="0.15">
      <c r="A102" s="227"/>
      <c r="B102" s="224" t="s">
        <v>577</v>
      </c>
      <c r="C102" s="713"/>
      <c r="D102" s="228"/>
      <c r="E102" s="228"/>
      <c r="F102" s="228"/>
      <c r="G102" s="228"/>
      <c r="H102" s="228"/>
      <c r="I102" s="228"/>
      <c r="J102" s="228"/>
      <c r="K102" s="228"/>
      <c r="L102" s="228"/>
      <c r="M102" s="228"/>
      <c r="N102" s="228"/>
      <c r="O102" s="228"/>
      <c r="P102" s="228"/>
      <c r="Q102" s="228"/>
      <c r="R102" s="228"/>
      <c r="S102" s="228"/>
      <c r="T102" s="228"/>
      <c r="U102" s="228"/>
      <c r="V102" s="228"/>
      <c r="W102" s="228"/>
      <c r="X102" s="228"/>
      <c r="Y102" s="228"/>
      <c r="Z102" s="228"/>
      <c r="AA102" s="228"/>
      <c r="AB102" s="228"/>
      <c r="AC102" s="228"/>
      <c r="AD102" s="228"/>
      <c r="AE102" s="228"/>
      <c r="AF102" s="228"/>
      <c r="AG102" s="228"/>
      <c r="AH102" s="228"/>
      <c r="AI102" s="228"/>
      <c r="AJ102" s="228"/>
      <c r="AK102" s="228"/>
      <c r="AL102" s="228"/>
      <c r="AM102" s="228"/>
      <c r="AN102" s="228"/>
      <c r="AO102" s="228"/>
      <c r="AP102" s="228"/>
      <c r="AQ102" s="228"/>
    </row>
    <row r="103" spans="1:43" s="213" customFormat="1" ht="18" hidden="1" customHeight="1" outlineLevel="2" x14ac:dyDescent="0.15">
      <c r="A103" s="216"/>
      <c r="B103" s="618"/>
      <c r="C103" s="228"/>
      <c r="D103" s="231"/>
      <c r="E103" s="231"/>
      <c r="F103" s="231"/>
      <c r="G103" s="231"/>
      <c r="H103" s="231"/>
      <c r="I103" s="231"/>
      <c r="J103" s="231"/>
      <c r="K103" s="231"/>
      <c r="L103" s="231"/>
      <c r="M103" s="231"/>
      <c r="N103" s="231"/>
      <c r="O103" s="231"/>
      <c r="P103" s="231"/>
      <c r="Q103" s="231"/>
      <c r="R103" s="231"/>
      <c r="S103" s="231"/>
      <c r="T103" s="231"/>
      <c r="U103" s="231"/>
      <c r="V103" s="231"/>
      <c r="W103" s="231"/>
      <c r="X103" s="231"/>
      <c r="Y103" s="231"/>
      <c r="Z103" s="231"/>
      <c r="AA103" s="231"/>
      <c r="AB103" s="231"/>
      <c r="AC103" s="231"/>
      <c r="AD103" s="231"/>
      <c r="AE103" s="231"/>
      <c r="AF103" s="231"/>
      <c r="AG103" s="231"/>
      <c r="AH103" s="231"/>
      <c r="AI103" s="231"/>
      <c r="AJ103" s="231"/>
      <c r="AK103" s="231"/>
      <c r="AL103" s="231"/>
      <c r="AM103" s="231"/>
      <c r="AN103" s="231"/>
      <c r="AO103" s="231"/>
      <c r="AP103" s="231"/>
      <c r="AQ103" s="231"/>
    </row>
    <row r="104" spans="1:43" s="213" customFormat="1" ht="18" hidden="1" customHeight="1" outlineLevel="1" x14ac:dyDescent="0.15">
      <c r="A104" s="216" t="s">
        <v>581</v>
      </c>
      <c r="B104" s="619">
        <f>规划指标!F18</f>
        <v>0</v>
      </c>
      <c r="C104" s="217">
        <f>SUM(D104:AQ104)</f>
        <v>0</v>
      </c>
      <c r="D104" s="201">
        <f t="shared" ref="D104:L104" si="39">D107*D106/10000</f>
        <v>0</v>
      </c>
      <c r="E104" s="201">
        <f t="shared" si="39"/>
        <v>0</v>
      </c>
      <c r="F104" s="201">
        <f t="shared" si="39"/>
        <v>0</v>
      </c>
      <c r="G104" s="201">
        <f t="shared" si="39"/>
        <v>0</v>
      </c>
      <c r="H104" s="201">
        <f t="shared" si="39"/>
        <v>0</v>
      </c>
      <c r="I104" s="201">
        <f t="shared" si="39"/>
        <v>0</v>
      </c>
      <c r="J104" s="201">
        <f t="shared" si="39"/>
        <v>0</v>
      </c>
      <c r="K104" s="201">
        <f t="shared" si="39"/>
        <v>0</v>
      </c>
      <c r="L104" s="201">
        <f t="shared" si="39"/>
        <v>0</v>
      </c>
      <c r="M104" s="201">
        <f>M107*M106/10000</f>
        <v>0</v>
      </c>
      <c r="N104" s="201">
        <f t="shared" ref="N104:AQ104" si="40">N107*N106/10000</f>
        <v>0</v>
      </c>
      <c r="O104" s="201">
        <f t="shared" si="40"/>
        <v>0</v>
      </c>
      <c r="P104" s="201">
        <f t="shared" si="40"/>
        <v>0</v>
      </c>
      <c r="Q104" s="201">
        <f t="shared" si="40"/>
        <v>0</v>
      </c>
      <c r="R104" s="201">
        <f t="shared" si="40"/>
        <v>0</v>
      </c>
      <c r="S104" s="201">
        <f t="shared" si="40"/>
        <v>0</v>
      </c>
      <c r="T104" s="201">
        <f t="shared" si="40"/>
        <v>0</v>
      </c>
      <c r="U104" s="201">
        <f t="shared" si="40"/>
        <v>0</v>
      </c>
      <c r="V104" s="201">
        <f t="shared" si="40"/>
        <v>0</v>
      </c>
      <c r="W104" s="201">
        <f t="shared" si="40"/>
        <v>0</v>
      </c>
      <c r="X104" s="201">
        <f t="shared" si="40"/>
        <v>0</v>
      </c>
      <c r="Y104" s="201">
        <f t="shared" si="40"/>
        <v>0</v>
      </c>
      <c r="Z104" s="201">
        <f t="shared" si="40"/>
        <v>0</v>
      </c>
      <c r="AA104" s="201">
        <f t="shared" si="40"/>
        <v>0</v>
      </c>
      <c r="AB104" s="201">
        <f t="shared" si="40"/>
        <v>0</v>
      </c>
      <c r="AC104" s="201">
        <f t="shared" si="40"/>
        <v>0</v>
      </c>
      <c r="AD104" s="201">
        <f t="shared" si="40"/>
        <v>0</v>
      </c>
      <c r="AE104" s="201">
        <f t="shared" si="40"/>
        <v>0</v>
      </c>
      <c r="AF104" s="201">
        <f t="shared" si="40"/>
        <v>0</v>
      </c>
      <c r="AG104" s="201">
        <f t="shared" si="40"/>
        <v>0</v>
      </c>
      <c r="AH104" s="201">
        <f t="shared" si="40"/>
        <v>0</v>
      </c>
      <c r="AI104" s="201">
        <f t="shared" si="40"/>
        <v>0</v>
      </c>
      <c r="AJ104" s="201">
        <f t="shared" si="40"/>
        <v>0</v>
      </c>
      <c r="AK104" s="201">
        <f t="shared" si="40"/>
        <v>0</v>
      </c>
      <c r="AL104" s="201">
        <f t="shared" si="40"/>
        <v>0</v>
      </c>
      <c r="AM104" s="201">
        <f t="shared" si="40"/>
        <v>0</v>
      </c>
      <c r="AN104" s="201">
        <f t="shared" si="40"/>
        <v>0</v>
      </c>
      <c r="AO104" s="201">
        <f t="shared" si="40"/>
        <v>0</v>
      </c>
      <c r="AP104" s="201">
        <f t="shared" si="40"/>
        <v>0</v>
      </c>
      <c r="AQ104" s="201">
        <f t="shared" si="40"/>
        <v>0</v>
      </c>
    </row>
    <row r="105" spans="1:43" s="213" customFormat="1" ht="18" hidden="1" customHeight="1" outlineLevel="2" x14ac:dyDescent="0.15">
      <c r="A105" s="216"/>
      <c r="B105" s="224" t="str">
        <f>$B$7</f>
        <v>销售数量</v>
      </c>
      <c r="C105" s="217">
        <f>SUM(D105:AQ105)</f>
        <v>0</v>
      </c>
      <c r="D105" s="201">
        <f>D108*规划指标!$G$18</f>
        <v>0</v>
      </c>
      <c r="E105" s="201">
        <f>E108*规划指标!$G$18</f>
        <v>0</v>
      </c>
      <c r="F105" s="201">
        <f>F108*规划指标!$G$18</f>
        <v>0</v>
      </c>
      <c r="G105" s="201">
        <f>G108*规划指标!$G$18</f>
        <v>0</v>
      </c>
      <c r="H105" s="201">
        <f>H108*规划指标!$G$18</f>
        <v>0</v>
      </c>
      <c r="I105" s="201">
        <f>I108*规划指标!$G$18</f>
        <v>0</v>
      </c>
      <c r="J105" s="201">
        <f>J108*规划指标!$G$18</f>
        <v>0</v>
      </c>
      <c r="K105" s="201">
        <f>K108*规划指标!$G$18</f>
        <v>0</v>
      </c>
      <c r="L105" s="201">
        <f>L108*规划指标!$G$18</f>
        <v>0</v>
      </c>
      <c r="M105" s="201">
        <f>M108*规划指标!$G$18</f>
        <v>0</v>
      </c>
      <c r="N105" s="201">
        <f>N108*规划指标!$G$18</f>
        <v>0</v>
      </c>
      <c r="O105" s="201">
        <f>O108*规划指标!$G$18</f>
        <v>0</v>
      </c>
      <c r="P105" s="201">
        <f>P108*规划指标!$G$18</f>
        <v>0</v>
      </c>
      <c r="Q105" s="201">
        <f>Q108*规划指标!$G$18</f>
        <v>0</v>
      </c>
      <c r="R105" s="201">
        <f>R108*规划指标!$G$18</f>
        <v>0</v>
      </c>
      <c r="S105" s="201">
        <f>S108*规划指标!$G$18</f>
        <v>0</v>
      </c>
      <c r="T105" s="201">
        <f>T108*规划指标!$G$18</f>
        <v>0</v>
      </c>
      <c r="U105" s="201">
        <f>U108*规划指标!$G$18</f>
        <v>0</v>
      </c>
      <c r="V105" s="201">
        <f>V108*规划指标!$G$18</f>
        <v>0</v>
      </c>
      <c r="W105" s="201">
        <f>W108*规划指标!$G$18</f>
        <v>0</v>
      </c>
      <c r="X105" s="201">
        <f>X108*规划指标!$G$18</f>
        <v>0</v>
      </c>
      <c r="Y105" s="201">
        <f>Y108*规划指标!$G$18</f>
        <v>0</v>
      </c>
      <c r="Z105" s="201">
        <f>Z108*规划指标!$G$18</f>
        <v>0</v>
      </c>
      <c r="AA105" s="201">
        <f>AA108*规划指标!$G$18</f>
        <v>0</v>
      </c>
      <c r="AB105" s="201">
        <f>AB108*规划指标!$G$18</f>
        <v>0</v>
      </c>
      <c r="AC105" s="201">
        <f>AC108*规划指标!$G$18</f>
        <v>0</v>
      </c>
      <c r="AD105" s="201">
        <f>AD108*规划指标!$G$18</f>
        <v>0</v>
      </c>
      <c r="AE105" s="201">
        <f>AE108*规划指标!$G$18</f>
        <v>0</v>
      </c>
      <c r="AF105" s="201">
        <f>AF108*规划指标!$G$18</f>
        <v>0</v>
      </c>
      <c r="AG105" s="201">
        <f>AG108*规划指标!$G$18</f>
        <v>0</v>
      </c>
      <c r="AH105" s="201">
        <f>AH108*规划指标!$G$18</f>
        <v>0</v>
      </c>
      <c r="AI105" s="201">
        <f>AI108*规划指标!$G$18</f>
        <v>0</v>
      </c>
      <c r="AJ105" s="201">
        <f>AJ108*规划指标!$G$18</f>
        <v>0</v>
      </c>
      <c r="AK105" s="201">
        <f>AK108*规划指标!$G$18</f>
        <v>0</v>
      </c>
      <c r="AL105" s="201">
        <f>AL108*规划指标!$G$18</f>
        <v>0</v>
      </c>
      <c r="AM105" s="201">
        <f>AM108*规划指标!$G$18</f>
        <v>0</v>
      </c>
      <c r="AN105" s="201">
        <f>AN108*规划指标!$G$18</f>
        <v>0</v>
      </c>
      <c r="AO105" s="201">
        <f>AO108*规划指标!$G$18</f>
        <v>0</v>
      </c>
      <c r="AP105" s="201">
        <f>AP108*规划指标!$G$18</f>
        <v>0</v>
      </c>
      <c r="AQ105" s="201">
        <f>AQ108*规划指标!$G$18</f>
        <v>0</v>
      </c>
    </row>
    <row r="106" spans="1:43" s="213" customFormat="1" ht="18" hidden="1" customHeight="1" outlineLevel="2" x14ac:dyDescent="0.15">
      <c r="A106" s="216"/>
      <c r="B106" s="224" t="str">
        <f>B99</f>
        <v>销售套数</v>
      </c>
      <c r="C106" s="217">
        <f>SUM(D106:AQ106)</f>
        <v>0</v>
      </c>
      <c r="D106" s="726">
        <f>D108*规划指标!$I$18</f>
        <v>0</v>
      </c>
      <c r="E106" s="726">
        <f>E108*规划指标!$I$18</f>
        <v>0</v>
      </c>
      <c r="F106" s="726">
        <f>F108*规划指标!$I$18</f>
        <v>0</v>
      </c>
      <c r="G106" s="726">
        <f>G108*规划指标!$I$18</f>
        <v>0</v>
      </c>
      <c r="H106" s="726">
        <f>H108*规划指标!$I$18</f>
        <v>0</v>
      </c>
      <c r="I106" s="726">
        <f>I108*规划指标!$I$18</f>
        <v>0</v>
      </c>
      <c r="J106" s="726">
        <f>J108*规划指标!$I$18</f>
        <v>0</v>
      </c>
      <c r="K106" s="726">
        <f>K108*规划指标!$I$18</f>
        <v>0</v>
      </c>
      <c r="L106" s="726">
        <f>L108*规划指标!$I$18</f>
        <v>0</v>
      </c>
      <c r="M106" s="726">
        <f>M108*规划指标!$I$18</f>
        <v>0</v>
      </c>
      <c r="N106" s="726">
        <f>N108*规划指标!$I$18</f>
        <v>0</v>
      </c>
      <c r="O106" s="726">
        <f>O108*规划指标!$I$18</f>
        <v>0</v>
      </c>
      <c r="P106" s="726">
        <f>P108*规划指标!$I$18</f>
        <v>0</v>
      </c>
      <c r="Q106" s="726">
        <f>Q108*规划指标!$I$18</f>
        <v>0</v>
      </c>
      <c r="R106" s="726">
        <f>R108*规划指标!$I$18</f>
        <v>0</v>
      </c>
      <c r="S106" s="726">
        <f>S108*规划指标!$I$18</f>
        <v>0</v>
      </c>
      <c r="T106" s="726">
        <f>T108*规划指标!$I$18</f>
        <v>0</v>
      </c>
      <c r="U106" s="726">
        <f>U108*规划指标!$I$18</f>
        <v>0</v>
      </c>
      <c r="V106" s="726">
        <f>V108*规划指标!$I$18</f>
        <v>0</v>
      </c>
      <c r="W106" s="726">
        <f>W108*规划指标!$I$18</f>
        <v>0</v>
      </c>
      <c r="X106" s="726">
        <f>X108*规划指标!$I$18</f>
        <v>0</v>
      </c>
      <c r="Y106" s="726">
        <f>Y108*规划指标!$I$18</f>
        <v>0</v>
      </c>
      <c r="Z106" s="726">
        <f>Z108*规划指标!$I$18</f>
        <v>0</v>
      </c>
      <c r="AA106" s="726">
        <f>AA108*规划指标!$I$18</f>
        <v>0</v>
      </c>
      <c r="AB106" s="201">
        <f>AB108*规划指标!$I$18</f>
        <v>0</v>
      </c>
      <c r="AC106" s="201">
        <f>AC108*规划指标!$I$18</f>
        <v>0</v>
      </c>
      <c r="AD106" s="201">
        <f>AD108*规划指标!$I$18</f>
        <v>0</v>
      </c>
      <c r="AE106" s="201">
        <f>AE108*规划指标!$I$18</f>
        <v>0</v>
      </c>
      <c r="AF106" s="201">
        <f>AF108*规划指标!$I$18</f>
        <v>0</v>
      </c>
      <c r="AG106" s="201">
        <f>AG108*规划指标!$I$18</f>
        <v>0</v>
      </c>
      <c r="AH106" s="201">
        <f>AH108*规划指标!$I$18</f>
        <v>0</v>
      </c>
      <c r="AI106" s="201">
        <f>AI108*规划指标!$I$18</f>
        <v>0</v>
      </c>
      <c r="AJ106" s="201">
        <f>AJ108*规划指标!$I$18</f>
        <v>0</v>
      </c>
      <c r="AK106" s="201">
        <f>AK108*规划指标!$I$18</f>
        <v>0</v>
      </c>
      <c r="AL106" s="201">
        <f>AL108*规划指标!$I$18</f>
        <v>0</v>
      </c>
      <c r="AM106" s="201">
        <f>AM108*规划指标!$I$18</f>
        <v>0</v>
      </c>
      <c r="AN106" s="201">
        <f>AN108*规划指标!$I$18</f>
        <v>0</v>
      </c>
      <c r="AO106" s="201">
        <f>AO108*规划指标!$I$18</f>
        <v>0</v>
      </c>
      <c r="AP106" s="201">
        <f>AP108*规划指标!$I$18</f>
        <v>0</v>
      </c>
      <c r="AQ106" s="201">
        <f>AQ108*规划指标!$I$18</f>
        <v>0</v>
      </c>
    </row>
    <row r="107" spans="1:43" s="213" customFormat="1" ht="18" hidden="1" customHeight="1" outlineLevel="2" x14ac:dyDescent="0.15">
      <c r="A107" s="216"/>
      <c r="B107" s="224" t="str">
        <f>$B$9</f>
        <v>销售均价</v>
      </c>
      <c r="C107" s="225" t="e">
        <f>ROUND(C104/C105*10000,0)</f>
        <v>#DIV/0!</v>
      </c>
      <c r="D107" s="226">
        <f>ROUND(C109*D166,0)</f>
        <v>400000</v>
      </c>
      <c r="E107" s="226">
        <f t="shared" ref="E107:AM107" si="41">D107</f>
        <v>400000</v>
      </c>
      <c r="F107" s="226">
        <f t="shared" si="41"/>
        <v>400000</v>
      </c>
      <c r="G107" s="226">
        <f t="shared" si="41"/>
        <v>400000</v>
      </c>
      <c r="H107" s="226">
        <f t="shared" si="41"/>
        <v>400000</v>
      </c>
      <c r="I107" s="226">
        <f t="shared" si="41"/>
        <v>400000</v>
      </c>
      <c r="J107" s="226">
        <f t="shared" si="41"/>
        <v>400000</v>
      </c>
      <c r="K107" s="226">
        <f t="shared" si="41"/>
        <v>400000</v>
      </c>
      <c r="L107" s="226">
        <f t="shared" si="41"/>
        <v>400000</v>
      </c>
      <c r="M107" s="226">
        <f t="shared" si="41"/>
        <v>400000</v>
      </c>
      <c r="N107" s="226">
        <f t="shared" si="41"/>
        <v>400000</v>
      </c>
      <c r="O107" s="226">
        <f t="shared" si="41"/>
        <v>400000</v>
      </c>
      <c r="P107" s="226">
        <f t="shared" si="41"/>
        <v>400000</v>
      </c>
      <c r="Q107" s="226">
        <f t="shared" si="41"/>
        <v>400000</v>
      </c>
      <c r="R107" s="226">
        <f t="shared" si="41"/>
        <v>400000</v>
      </c>
      <c r="S107" s="226">
        <f t="shared" si="41"/>
        <v>400000</v>
      </c>
      <c r="T107" s="226">
        <f t="shared" si="41"/>
        <v>400000</v>
      </c>
      <c r="U107" s="226">
        <f t="shared" si="41"/>
        <v>400000</v>
      </c>
      <c r="V107" s="226">
        <f t="shared" si="41"/>
        <v>400000</v>
      </c>
      <c r="W107" s="226">
        <f t="shared" si="41"/>
        <v>400000</v>
      </c>
      <c r="X107" s="226">
        <f t="shared" si="41"/>
        <v>400000</v>
      </c>
      <c r="Y107" s="226">
        <f t="shared" si="41"/>
        <v>400000</v>
      </c>
      <c r="Z107" s="226">
        <f t="shared" si="41"/>
        <v>400000</v>
      </c>
      <c r="AA107" s="226">
        <f t="shared" si="41"/>
        <v>400000</v>
      </c>
      <c r="AB107" s="226">
        <f t="shared" si="41"/>
        <v>400000</v>
      </c>
      <c r="AC107" s="226">
        <f t="shared" si="41"/>
        <v>400000</v>
      </c>
      <c r="AD107" s="226">
        <f t="shared" si="41"/>
        <v>400000</v>
      </c>
      <c r="AE107" s="226">
        <f t="shared" si="41"/>
        <v>400000</v>
      </c>
      <c r="AF107" s="226">
        <f t="shared" si="41"/>
        <v>400000</v>
      </c>
      <c r="AG107" s="226">
        <f t="shared" si="41"/>
        <v>400000</v>
      </c>
      <c r="AH107" s="226">
        <f t="shared" si="41"/>
        <v>400000</v>
      </c>
      <c r="AI107" s="226">
        <f t="shared" si="41"/>
        <v>400000</v>
      </c>
      <c r="AJ107" s="226">
        <f t="shared" si="41"/>
        <v>400000</v>
      </c>
      <c r="AK107" s="226">
        <f t="shared" si="41"/>
        <v>400000</v>
      </c>
      <c r="AL107" s="226">
        <f t="shared" si="41"/>
        <v>400000</v>
      </c>
      <c r="AM107" s="226">
        <f t="shared" si="41"/>
        <v>400000</v>
      </c>
      <c r="AN107" s="226">
        <f>W107</f>
        <v>400000</v>
      </c>
      <c r="AO107" s="226">
        <f>AN107</f>
        <v>400000</v>
      </c>
      <c r="AP107" s="226">
        <f>AO107</f>
        <v>400000</v>
      </c>
      <c r="AQ107" s="226">
        <f>AP107</f>
        <v>400000</v>
      </c>
    </row>
    <row r="108" spans="1:43" s="229" customFormat="1" ht="18" hidden="1" customHeight="1" outlineLevel="2" x14ac:dyDescent="0.15">
      <c r="A108" s="227"/>
      <c r="B108" s="224" t="str">
        <f>$B$10</f>
        <v>销售率</v>
      </c>
      <c r="C108" s="228">
        <f>SUM(D108:AQ108)</f>
        <v>1</v>
      </c>
      <c r="D108" s="234"/>
      <c r="E108" s="234"/>
      <c r="F108" s="234"/>
      <c r="G108" s="234"/>
      <c r="H108" s="234"/>
      <c r="I108" s="234"/>
      <c r="J108" s="234"/>
      <c r="K108" s="234"/>
      <c r="L108" s="234"/>
      <c r="M108" s="234">
        <v>0.5</v>
      </c>
      <c r="N108" s="234"/>
      <c r="O108" s="234"/>
      <c r="P108" s="234"/>
      <c r="Q108" s="234">
        <v>0.5</v>
      </c>
      <c r="R108" s="234"/>
      <c r="S108" s="234"/>
      <c r="T108" s="234"/>
      <c r="U108" s="234"/>
      <c r="V108" s="234"/>
      <c r="W108" s="234"/>
      <c r="X108" s="234"/>
      <c r="Y108" s="234"/>
      <c r="Z108" s="234"/>
      <c r="AA108" s="234"/>
      <c r="AB108" s="234"/>
      <c r="AC108" s="234"/>
      <c r="AD108" s="234"/>
      <c r="AE108" s="234"/>
      <c r="AF108" s="234"/>
      <c r="AG108" s="234"/>
      <c r="AH108" s="234"/>
      <c r="AI108" s="234"/>
      <c r="AJ108" s="234"/>
      <c r="AK108" s="234"/>
      <c r="AL108" s="234"/>
      <c r="AM108" s="234"/>
      <c r="AN108" s="234"/>
      <c r="AO108" s="234"/>
      <c r="AP108" s="234"/>
      <c r="AQ108" s="234"/>
    </row>
    <row r="109" spans="1:43" s="229" customFormat="1" ht="18" hidden="1" customHeight="1" outlineLevel="2" x14ac:dyDescent="0.15">
      <c r="A109" s="227"/>
      <c r="B109" s="224" t="s">
        <v>577</v>
      </c>
      <c r="C109" s="713">
        <v>400000</v>
      </c>
      <c r="D109" s="228"/>
      <c r="E109" s="228"/>
      <c r="F109" s="228"/>
      <c r="G109" s="228"/>
      <c r="H109" s="228"/>
      <c r="I109" s="228"/>
      <c r="J109" s="228"/>
      <c r="K109" s="228"/>
      <c r="L109" s="228"/>
      <c r="M109" s="228"/>
      <c r="N109" s="228"/>
      <c r="O109" s="228"/>
      <c r="P109" s="228"/>
      <c r="Q109" s="228"/>
      <c r="R109" s="228"/>
      <c r="S109" s="228"/>
      <c r="T109" s="228"/>
      <c r="U109" s="228"/>
      <c r="V109" s="228"/>
      <c r="W109" s="228"/>
      <c r="X109" s="228"/>
      <c r="Y109" s="228"/>
      <c r="Z109" s="228"/>
      <c r="AA109" s="228"/>
      <c r="AB109" s="228"/>
      <c r="AC109" s="228"/>
      <c r="AD109" s="228"/>
      <c r="AE109" s="228"/>
      <c r="AF109" s="228"/>
      <c r="AG109" s="228"/>
      <c r="AH109" s="228"/>
      <c r="AI109" s="228"/>
      <c r="AJ109" s="228"/>
      <c r="AK109" s="228"/>
      <c r="AL109" s="228"/>
      <c r="AM109" s="228"/>
      <c r="AN109" s="228"/>
      <c r="AO109" s="228"/>
      <c r="AP109" s="228"/>
      <c r="AQ109" s="228"/>
    </row>
    <row r="110" spans="1:43" s="213" customFormat="1" ht="18" hidden="1" customHeight="1" outlineLevel="2" x14ac:dyDescent="0.15">
      <c r="A110" s="216"/>
      <c r="B110" s="618"/>
      <c r="C110" s="228"/>
      <c r="D110" s="231"/>
      <c r="E110" s="231"/>
      <c r="F110" s="231"/>
      <c r="G110" s="231"/>
      <c r="H110" s="231"/>
      <c r="I110" s="231"/>
      <c r="J110" s="231"/>
      <c r="K110" s="231"/>
      <c r="L110" s="231"/>
      <c r="M110" s="231"/>
      <c r="N110" s="231"/>
      <c r="O110" s="231"/>
      <c r="P110" s="231"/>
      <c r="Q110" s="231"/>
      <c r="R110" s="231"/>
      <c r="S110" s="231"/>
      <c r="T110" s="231"/>
      <c r="U110" s="231"/>
      <c r="V110" s="231"/>
      <c r="W110" s="231"/>
      <c r="X110" s="231"/>
      <c r="Y110" s="231"/>
      <c r="Z110" s="231"/>
      <c r="AA110" s="231"/>
      <c r="AB110" s="231"/>
      <c r="AC110" s="231"/>
      <c r="AD110" s="231"/>
      <c r="AE110" s="231"/>
      <c r="AF110" s="231"/>
      <c r="AG110" s="231"/>
      <c r="AH110" s="231"/>
      <c r="AI110" s="231"/>
      <c r="AJ110" s="231"/>
      <c r="AK110" s="231"/>
      <c r="AL110" s="231"/>
      <c r="AM110" s="231"/>
      <c r="AN110" s="231"/>
      <c r="AO110" s="231"/>
      <c r="AP110" s="231"/>
      <c r="AQ110" s="231"/>
    </row>
    <row r="111" spans="1:43" s="158" customFormat="1" ht="18" customHeight="1" x14ac:dyDescent="0.15">
      <c r="A111" s="241">
        <v>2</v>
      </c>
      <c r="B111" s="235" t="s">
        <v>350</v>
      </c>
      <c r="C111" s="242">
        <f>SUM(D111:AQ111)</f>
        <v>354121</v>
      </c>
      <c r="D111" s="238">
        <f>SUM(D112:D126)</f>
        <v>0</v>
      </c>
      <c r="E111" s="238">
        <f t="shared" ref="E111:AQ111" si="42">SUM(E112:E126)</f>
        <v>0</v>
      </c>
      <c r="F111" s="238">
        <f t="shared" si="42"/>
        <v>0</v>
      </c>
      <c r="G111" s="238">
        <f t="shared" si="42"/>
        <v>50164</v>
      </c>
      <c r="H111" s="238">
        <f t="shared" si="42"/>
        <v>49703</v>
      </c>
      <c r="I111" s="238">
        <f t="shared" si="42"/>
        <v>59154</v>
      </c>
      <c r="J111" s="238">
        <f t="shared" si="42"/>
        <v>57349</v>
      </c>
      <c r="K111" s="238">
        <f t="shared" si="42"/>
        <v>43045</v>
      </c>
      <c r="L111" s="238">
        <f t="shared" si="42"/>
        <v>37567</v>
      </c>
      <c r="M111" s="238">
        <f t="shared" si="42"/>
        <v>23767</v>
      </c>
      <c r="N111" s="238">
        <f t="shared" si="42"/>
        <v>14716</v>
      </c>
      <c r="O111" s="238">
        <f t="shared" si="42"/>
        <v>13090</v>
      </c>
      <c r="P111" s="238">
        <f t="shared" si="42"/>
        <v>5068</v>
      </c>
      <c r="Q111" s="238">
        <f t="shared" si="42"/>
        <v>498</v>
      </c>
      <c r="R111" s="238">
        <f t="shared" si="42"/>
        <v>0</v>
      </c>
      <c r="S111" s="238">
        <f t="shared" si="42"/>
        <v>0</v>
      </c>
      <c r="T111" s="238">
        <f t="shared" si="42"/>
        <v>0</v>
      </c>
      <c r="U111" s="238">
        <f t="shared" si="42"/>
        <v>0</v>
      </c>
      <c r="V111" s="238">
        <f t="shared" si="42"/>
        <v>0</v>
      </c>
      <c r="W111" s="238">
        <f t="shared" si="42"/>
        <v>0</v>
      </c>
      <c r="X111" s="238">
        <f t="shared" si="42"/>
        <v>0</v>
      </c>
      <c r="Y111" s="238">
        <f t="shared" si="42"/>
        <v>0</v>
      </c>
      <c r="Z111" s="238">
        <f t="shared" si="42"/>
        <v>0</v>
      </c>
      <c r="AA111" s="238">
        <f t="shared" si="42"/>
        <v>0</v>
      </c>
      <c r="AB111" s="238">
        <f t="shared" si="42"/>
        <v>0</v>
      </c>
      <c r="AC111" s="238">
        <f t="shared" si="42"/>
        <v>0</v>
      </c>
      <c r="AD111" s="238">
        <f t="shared" si="42"/>
        <v>0</v>
      </c>
      <c r="AE111" s="238">
        <f t="shared" si="42"/>
        <v>0</v>
      </c>
      <c r="AF111" s="238">
        <f t="shared" si="42"/>
        <v>0</v>
      </c>
      <c r="AG111" s="238">
        <f t="shared" si="42"/>
        <v>0</v>
      </c>
      <c r="AH111" s="238">
        <f t="shared" si="42"/>
        <v>0</v>
      </c>
      <c r="AI111" s="238">
        <f t="shared" si="42"/>
        <v>0</v>
      </c>
      <c r="AJ111" s="238">
        <f t="shared" si="42"/>
        <v>0</v>
      </c>
      <c r="AK111" s="238">
        <f t="shared" si="42"/>
        <v>0</v>
      </c>
      <c r="AL111" s="238">
        <f t="shared" si="42"/>
        <v>0</v>
      </c>
      <c r="AM111" s="238">
        <f t="shared" si="42"/>
        <v>0</v>
      </c>
      <c r="AN111" s="238">
        <f t="shared" si="42"/>
        <v>0</v>
      </c>
      <c r="AO111" s="238">
        <f t="shared" si="42"/>
        <v>0</v>
      </c>
      <c r="AP111" s="238">
        <f t="shared" si="42"/>
        <v>0</v>
      </c>
      <c r="AQ111" s="238">
        <f t="shared" si="42"/>
        <v>0</v>
      </c>
    </row>
    <row r="112" spans="1:43" s="213" customFormat="1" ht="18" customHeight="1" outlineLevel="1" x14ac:dyDescent="0.15">
      <c r="A112" s="216" t="s">
        <v>304</v>
      </c>
      <c r="B112" s="210" t="str">
        <f>B6</f>
        <v>小高层</v>
      </c>
      <c r="C112" s="217">
        <f t="shared" ref="C112:C132" si="43">SUM(D112:AQ112)</f>
        <v>158644</v>
      </c>
      <c r="D112" s="201">
        <f>ROUND(D6*$D$136,0)</f>
        <v>0</v>
      </c>
      <c r="E112" s="201">
        <f>ROUND(E6*$D$136+D6*$E$136,0)</f>
        <v>0</v>
      </c>
      <c r="F112" s="201">
        <f>ROUND(F6*$D$136+E6*$E$136+D6*$F$136,0)</f>
        <v>0</v>
      </c>
      <c r="G112" s="201">
        <f t="shared" ref="G112:AQ112" si="44">ROUND(G6*$D$136+F6*$E$136+E6*$F$136,0)</f>
        <v>33314</v>
      </c>
      <c r="H112" s="201">
        <f t="shared" si="44"/>
        <v>30935</v>
      </c>
      <c r="I112" s="201">
        <f t="shared" si="44"/>
        <v>29350</v>
      </c>
      <c r="J112" s="201">
        <f t="shared" si="44"/>
        <v>26176</v>
      </c>
      <c r="K112" s="201">
        <f t="shared" si="44"/>
        <v>18244</v>
      </c>
      <c r="L112" s="201">
        <f t="shared" si="44"/>
        <v>15865</v>
      </c>
      <c r="M112" s="201">
        <f t="shared" si="44"/>
        <v>4760</v>
      </c>
      <c r="N112" s="201">
        <f t="shared" si="44"/>
        <v>0</v>
      </c>
      <c r="O112" s="201">
        <f t="shared" si="44"/>
        <v>0</v>
      </c>
      <c r="P112" s="757">
        <f>ROUND(P6*$D$136+O6*$E$136+N6*$F$136,0)</f>
        <v>0</v>
      </c>
      <c r="Q112" s="201">
        <f t="shared" si="44"/>
        <v>0</v>
      </c>
      <c r="R112" s="201">
        <f t="shared" si="44"/>
        <v>0</v>
      </c>
      <c r="S112" s="201">
        <f>ROUND(S6*$D$136+R6*$E$136+Q6*$F$136,0)</f>
        <v>0</v>
      </c>
      <c r="T112" s="201">
        <f t="shared" si="44"/>
        <v>0</v>
      </c>
      <c r="U112" s="201">
        <f t="shared" si="44"/>
        <v>0</v>
      </c>
      <c r="V112" s="201">
        <f t="shared" si="44"/>
        <v>0</v>
      </c>
      <c r="W112" s="201">
        <f t="shared" si="44"/>
        <v>0</v>
      </c>
      <c r="X112" s="201">
        <f t="shared" si="44"/>
        <v>0</v>
      </c>
      <c r="Y112" s="201">
        <f t="shared" si="44"/>
        <v>0</v>
      </c>
      <c r="Z112" s="201">
        <f t="shared" si="44"/>
        <v>0</v>
      </c>
      <c r="AA112" s="201">
        <f t="shared" si="44"/>
        <v>0</v>
      </c>
      <c r="AB112" s="201">
        <f t="shared" si="44"/>
        <v>0</v>
      </c>
      <c r="AC112" s="201">
        <f t="shared" si="44"/>
        <v>0</v>
      </c>
      <c r="AD112" s="201">
        <f t="shared" si="44"/>
        <v>0</v>
      </c>
      <c r="AE112" s="201">
        <f t="shared" si="44"/>
        <v>0</v>
      </c>
      <c r="AF112" s="201">
        <f t="shared" si="44"/>
        <v>0</v>
      </c>
      <c r="AG112" s="201">
        <f t="shared" si="44"/>
        <v>0</v>
      </c>
      <c r="AH112" s="201">
        <f t="shared" si="44"/>
        <v>0</v>
      </c>
      <c r="AI112" s="201">
        <f t="shared" si="44"/>
        <v>0</v>
      </c>
      <c r="AJ112" s="201">
        <f t="shared" si="44"/>
        <v>0</v>
      </c>
      <c r="AK112" s="201">
        <f t="shared" si="44"/>
        <v>0</v>
      </c>
      <c r="AL112" s="201">
        <f t="shared" si="44"/>
        <v>0</v>
      </c>
      <c r="AM112" s="201">
        <f t="shared" si="44"/>
        <v>0</v>
      </c>
      <c r="AN112" s="201">
        <f t="shared" si="44"/>
        <v>0</v>
      </c>
      <c r="AO112" s="201">
        <f t="shared" si="44"/>
        <v>0</v>
      </c>
      <c r="AP112" s="201">
        <f t="shared" si="44"/>
        <v>0</v>
      </c>
      <c r="AQ112" s="201">
        <f t="shared" si="44"/>
        <v>0</v>
      </c>
    </row>
    <row r="113" spans="1:43" s="213" customFormat="1" ht="18" customHeight="1" outlineLevel="1" x14ac:dyDescent="0.15">
      <c r="A113" s="216" t="s">
        <v>305</v>
      </c>
      <c r="B113" s="210" t="str">
        <f>B13</f>
        <v>洋房</v>
      </c>
      <c r="C113" s="217">
        <f t="shared" si="43"/>
        <v>156859</v>
      </c>
      <c r="D113" s="201">
        <f>ROUND(D13*$D$136,0)</f>
        <v>0</v>
      </c>
      <c r="E113" s="201">
        <f>ROUND(E13*$D$136+D13*$E$136,0)</f>
        <v>0</v>
      </c>
      <c r="F113" s="201">
        <f>ROUND(F13*$D$136+E13*$E$136+D13*$F$136,0)</f>
        <v>0</v>
      </c>
      <c r="G113" s="201">
        <f t="shared" ref="G113:AQ113" si="45">ROUND(G13*$D$136+F13*$E$136+E13*$F$136,0)</f>
        <v>16471</v>
      </c>
      <c r="H113" s="201">
        <f t="shared" si="45"/>
        <v>18039</v>
      </c>
      <c r="I113" s="201">
        <f t="shared" si="45"/>
        <v>26665</v>
      </c>
      <c r="J113" s="201">
        <f t="shared" si="45"/>
        <v>25882</v>
      </c>
      <c r="K113" s="201">
        <f t="shared" si="45"/>
        <v>18039</v>
      </c>
      <c r="L113" s="201">
        <f t="shared" si="45"/>
        <v>15686</v>
      </c>
      <c r="M113" s="201">
        <f t="shared" si="45"/>
        <v>13490</v>
      </c>
      <c r="N113" s="201">
        <f t="shared" si="45"/>
        <v>10352</v>
      </c>
      <c r="O113" s="201">
        <f t="shared" si="45"/>
        <v>9411</v>
      </c>
      <c r="P113" s="757">
        <f>ROUND(P13*$D$136+O13*$E$136+N13*$F$136,0)+1</f>
        <v>2824</v>
      </c>
      <c r="Q113" s="757">
        <f>ROUND(Q13*$D$136+P13*$E$136+O13*$F$136,0)</f>
        <v>0</v>
      </c>
      <c r="R113" s="201">
        <f t="shared" si="45"/>
        <v>0</v>
      </c>
      <c r="S113" s="201">
        <f t="shared" si="45"/>
        <v>0</v>
      </c>
      <c r="T113" s="201">
        <f t="shared" si="45"/>
        <v>0</v>
      </c>
      <c r="U113" s="201">
        <f t="shared" si="45"/>
        <v>0</v>
      </c>
      <c r="V113" s="201">
        <f t="shared" si="45"/>
        <v>0</v>
      </c>
      <c r="W113" s="201">
        <f t="shared" si="45"/>
        <v>0</v>
      </c>
      <c r="X113" s="201">
        <f t="shared" si="45"/>
        <v>0</v>
      </c>
      <c r="Y113" s="201">
        <f t="shared" si="45"/>
        <v>0</v>
      </c>
      <c r="Z113" s="201">
        <f t="shared" si="45"/>
        <v>0</v>
      </c>
      <c r="AA113" s="201">
        <f t="shared" si="45"/>
        <v>0</v>
      </c>
      <c r="AB113" s="201">
        <f t="shared" si="45"/>
        <v>0</v>
      </c>
      <c r="AC113" s="201">
        <f t="shared" si="45"/>
        <v>0</v>
      </c>
      <c r="AD113" s="201">
        <f t="shared" si="45"/>
        <v>0</v>
      </c>
      <c r="AE113" s="201">
        <f t="shared" si="45"/>
        <v>0</v>
      </c>
      <c r="AF113" s="201">
        <f t="shared" si="45"/>
        <v>0</v>
      </c>
      <c r="AG113" s="201">
        <f t="shared" si="45"/>
        <v>0</v>
      </c>
      <c r="AH113" s="201">
        <f t="shared" si="45"/>
        <v>0</v>
      </c>
      <c r="AI113" s="201">
        <f t="shared" si="45"/>
        <v>0</v>
      </c>
      <c r="AJ113" s="201">
        <f t="shared" si="45"/>
        <v>0</v>
      </c>
      <c r="AK113" s="201">
        <f t="shared" si="45"/>
        <v>0</v>
      </c>
      <c r="AL113" s="201">
        <f t="shared" si="45"/>
        <v>0</v>
      </c>
      <c r="AM113" s="201">
        <f t="shared" si="45"/>
        <v>0</v>
      </c>
      <c r="AN113" s="201">
        <f t="shared" si="45"/>
        <v>0</v>
      </c>
      <c r="AO113" s="201">
        <f t="shared" si="45"/>
        <v>0</v>
      </c>
      <c r="AP113" s="201">
        <f t="shared" si="45"/>
        <v>0</v>
      </c>
      <c r="AQ113" s="201">
        <f t="shared" si="45"/>
        <v>0</v>
      </c>
    </row>
    <row r="114" spans="1:43" s="213" customFormat="1" ht="18" customHeight="1" outlineLevel="1" x14ac:dyDescent="0.15">
      <c r="A114" s="216" t="s">
        <v>306</v>
      </c>
      <c r="B114" s="210" t="str">
        <f>B20</f>
        <v>商业</v>
      </c>
      <c r="C114" s="217">
        <f t="shared" si="43"/>
        <v>5402</v>
      </c>
      <c r="D114" s="201">
        <f>ROUND(D20*$D$136,0)</f>
        <v>0</v>
      </c>
      <c r="E114" s="201">
        <f>ROUND(E20*$D$136+D20*$E$136,0)</f>
        <v>0</v>
      </c>
      <c r="F114" s="201">
        <f>ROUND(F20*$D$136+E20*$E$136+D20*$F$136,0)</f>
        <v>0</v>
      </c>
      <c r="G114" s="201">
        <f t="shared" ref="G114:AQ114" si="46">ROUND(G20*$D$136+F20*$E$136+E20*$F$136,0)</f>
        <v>379</v>
      </c>
      <c r="H114" s="201">
        <f t="shared" si="46"/>
        <v>729</v>
      </c>
      <c r="I114" s="201">
        <f t="shared" si="46"/>
        <v>809</v>
      </c>
      <c r="J114" s="201">
        <f t="shared" si="46"/>
        <v>809</v>
      </c>
      <c r="K114" s="201">
        <f t="shared" si="46"/>
        <v>621</v>
      </c>
      <c r="L114" s="201">
        <f t="shared" si="46"/>
        <v>541</v>
      </c>
      <c r="M114" s="201">
        <f t="shared" si="46"/>
        <v>541</v>
      </c>
      <c r="N114" s="201">
        <f t="shared" si="46"/>
        <v>541</v>
      </c>
      <c r="O114" s="201">
        <f t="shared" si="46"/>
        <v>351</v>
      </c>
      <c r="P114" s="757">
        <f>ROUND(P20*$D$136+O20*$E$136+N20*$F$136,0)</f>
        <v>81</v>
      </c>
      <c r="Q114" s="201">
        <f t="shared" si="46"/>
        <v>0</v>
      </c>
      <c r="R114" s="201">
        <f t="shared" si="46"/>
        <v>0</v>
      </c>
      <c r="S114" s="201">
        <f t="shared" si="46"/>
        <v>0</v>
      </c>
      <c r="T114" s="201">
        <f t="shared" si="46"/>
        <v>0</v>
      </c>
      <c r="U114" s="201">
        <f t="shared" si="46"/>
        <v>0</v>
      </c>
      <c r="V114" s="201">
        <f t="shared" si="46"/>
        <v>0</v>
      </c>
      <c r="W114" s="201">
        <f t="shared" si="46"/>
        <v>0</v>
      </c>
      <c r="X114" s="201">
        <f t="shared" si="46"/>
        <v>0</v>
      </c>
      <c r="Y114" s="201">
        <f t="shared" si="46"/>
        <v>0</v>
      </c>
      <c r="Z114" s="201">
        <f t="shared" si="46"/>
        <v>0</v>
      </c>
      <c r="AA114" s="201">
        <f t="shared" si="46"/>
        <v>0</v>
      </c>
      <c r="AB114" s="201">
        <f t="shared" si="46"/>
        <v>0</v>
      </c>
      <c r="AC114" s="201">
        <f t="shared" si="46"/>
        <v>0</v>
      </c>
      <c r="AD114" s="201">
        <f t="shared" si="46"/>
        <v>0</v>
      </c>
      <c r="AE114" s="201">
        <f t="shared" si="46"/>
        <v>0</v>
      </c>
      <c r="AF114" s="201">
        <f t="shared" si="46"/>
        <v>0</v>
      </c>
      <c r="AG114" s="201">
        <f t="shared" si="46"/>
        <v>0</v>
      </c>
      <c r="AH114" s="201">
        <f t="shared" si="46"/>
        <v>0</v>
      </c>
      <c r="AI114" s="201">
        <f t="shared" si="46"/>
        <v>0</v>
      </c>
      <c r="AJ114" s="201">
        <f t="shared" si="46"/>
        <v>0</v>
      </c>
      <c r="AK114" s="201">
        <f t="shared" si="46"/>
        <v>0</v>
      </c>
      <c r="AL114" s="201">
        <f t="shared" si="46"/>
        <v>0</v>
      </c>
      <c r="AM114" s="201">
        <f t="shared" si="46"/>
        <v>0</v>
      </c>
      <c r="AN114" s="201">
        <f t="shared" si="46"/>
        <v>0</v>
      </c>
      <c r="AO114" s="201">
        <f t="shared" si="46"/>
        <v>0</v>
      </c>
      <c r="AP114" s="201">
        <f t="shared" si="46"/>
        <v>0</v>
      </c>
      <c r="AQ114" s="201">
        <f t="shared" si="46"/>
        <v>0</v>
      </c>
    </row>
    <row r="115" spans="1:43" s="213" customFormat="1" ht="18" customHeight="1" outlineLevel="1" x14ac:dyDescent="0.15">
      <c r="A115" s="216" t="s">
        <v>307</v>
      </c>
      <c r="B115" s="210" t="str">
        <f>B27</f>
        <v>储藏室</v>
      </c>
      <c r="C115" s="217">
        <f t="shared" si="43"/>
        <v>12276</v>
      </c>
      <c r="D115" s="201">
        <f>ROUND(D27*$D$136,0)</f>
        <v>0</v>
      </c>
      <c r="E115" s="201">
        <f>ROUND(E27*$D$136+D27*$E$136,0)</f>
        <v>0</v>
      </c>
      <c r="F115" s="201">
        <f>ROUND(F27*$D$136+E27*$E$136+D27*$F$136,0)</f>
        <v>0</v>
      </c>
      <c r="G115" s="201">
        <f t="shared" ref="G115:AQ115" si="47">ROUND(G27*$D$136+F27*$E$136+E27*$F$136,0)</f>
        <v>0</v>
      </c>
      <c r="H115" s="201">
        <f t="shared" si="47"/>
        <v>0</v>
      </c>
      <c r="I115" s="201">
        <f t="shared" si="47"/>
        <v>860</v>
      </c>
      <c r="J115" s="201">
        <f t="shared" si="47"/>
        <v>1657</v>
      </c>
      <c r="K115" s="201">
        <f t="shared" si="47"/>
        <v>2271</v>
      </c>
      <c r="L115" s="201">
        <f t="shared" si="47"/>
        <v>2025</v>
      </c>
      <c r="M115" s="201">
        <f t="shared" si="47"/>
        <v>1841</v>
      </c>
      <c r="N115" s="201">
        <f t="shared" si="47"/>
        <v>1412</v>
      </c>
      <c r="O115" s="201">
        <f t="shared" si="47"/>
        <v>1228</v>
      </c>
      <c r="P115" s="201">
        <f t="shared" si="47"/>
        <v>798</v>
      </c>
      <c r="Q115" s="757">
        <f>ROUND(Q27*$D$136+P27*$E$136+O27*$F$136,0)</f>
        <v>184</v>
      </c>
      <c r="R115" s="201">
        <f t="shared" si="47"/>
        <v>0</v>
      </c>
      <c r="S115" s="201">
        <f t="shared" si="47"/>
        <v>0</v>
      </c>
      <c r="T115" s="201">
        <f t="shared" si="47"/>
        <v>0</v>
      </c>
      <c r="U115" s="201">
        <f t="shared" si="47"/>
        <v>0</v>
      </c>
      <c r="V115" s="201">
        <f t="shared" si="47"/>
        <v>0</v>
      </c>
      <c r="W115" s="201">
        <f t="shared" si="47"/>
        <v>0</v>
      </c>
      <c r="X115" s="201">
        <f t="shared" si="47"/>
        <v>0</v>
      </c>
      <c r="Y115" s="201">
        <f t="shared" si="47"/>
        <v>0</v>
      </c>
      <c r="Z115" s="201">
        <f t="shared" si="47"/>
        <v>0</v>
      </c>
      <c r="AA115" s="201">
        <f t="shared" si="47"/>
        <v>0</v>
      </c>
      <c r="AB115" s="201">
        <f t="shared" si="47"/>
        <v>0</v>
      </c>
      <c r="AC115" s="201">
        <f t="shared" si="47"/>
        <v>0</v>
      </c>
      <c r="AD115" s="201">
        <f t="shared" si="47"/>
        <v>0</v>
      </c>
      <c r="AE115" s="201">
        <f t="shared" si="47"/>
        <v>0</v>
      </c>
      <c r="AF115" s="201">
        <f t="shared" si="47"/>
        <v>0</v>
      </c>
      <c r="AG115" s="201">
        <f t="shared" si="47"/>
        <v>0</v>
      </c>
      <c r="AH115" s="201">
        <f t="shared" si="47"/>
        <v>0</v>
      </c>
      <c r="AI115" s="201">
        <f t="shared" si="47"/>
        <v>0</v>
      </c>
      <c r="AJ115" s="201">
        <f t="shared" si="47"/>
        <v>0</v>
      </c>
      <c r="AK115" s="201">
        <f t="shared" si="47"/>
        <v>0</v>
      </c>
      <c r="AL115" s="201">
        <f t="shared" si="47"/>
        <v>0</v>
      </c>
      <c r="AM115" s="201">
        <f t="shared" si="47"/>
        <v>0</v>
      </c>
      <c r="AN115" s="201">
        <f t="shared" si="47"/>
        <v>0</v>
      </c>
      <c r="AO115" s="201">
        <f t="shared" si="47"/>
        <v>0</v>
      </c>
      <c r="AP115" s="201">
        <f t="shared" si="47"/>
        <v>0</v>
      </c>
      <c r="AQ115" s="201">
        <f t="shared" si="47"/>
        <v>0</v>
      </c>
    </row>
    <row r="116" spans="1:43" s="213" customFormat="1" ht="18" customHeight="1" outlineLevel="1" x14ac:dyDescent="0.15">
      <c r="A116" s="216" t="s">
        <v>308</v>
      </c>
      <c r="B116" s="210" t="str">
        <f>B34</f>
        <v>非人防地下车库</v>
      </c>
      <c r="C116" s="217">
        <f t="shared" si="43"/>
        <v>20940</v>
      </c>
      <c r="D116" s="201">
        <f>ROUND(D34*$D$136,0)</f>
        <v>0</v>
      </c>
      <c r="E116" s="201">
        <f>ROUND(E34*$D$136+D34*$E$136,0)</f>
        <v>0</v>
      </c>
      <c r="F116" s="201">
        <f>ROUND(F34*$D$136+E34*$E$136+D34*$F$136,0)</f>
        <v>0</v>
      </c>
      <c r="G116" s="201">
        <f t="shared" ref="G116:AQ116" si="48">ROUND(G34*$D$136+F34*$E$136+E34*$F$136,0)</f>
        <v>0</v>
      </c>
      <c r="H116" s="201">
        <f t="shared" si="48"/>
        <v>0</v>
      </c>
      <c r="I116" s="201">
        <f t="shared" si="48"/>
        <v>1470</v>
      </c>
      <c r="J116" s="201">
        <f t="shared" si="48"/>
        <v>2825</v>
      </c>
      <c r="K116" s="201">
        <f t="shared" si="48"/>
        <v>3870</v>
      </c>
      <c r="L116" s="201">
        <f t="shared" si="48"/>
        <v>3450</v>
      </c>
      <c r="M116" s="201">
        <f t="shared" si="48"/>
        <v>3135</v>
      </c>
      <c r="N116" s="201">
        <f t="shared" si="48"/>
        <v>2411</v>
      </c>
      <c r="O116" s="201">
        <f t="shared" si="48"/>
        <v>2100</v>
      </c>
      <c r="P116" s="201">
        <f t="shared" si="48"/>
        <v>1365</v>
      </c>
      <c r="Q116" s="757">
        <f>ROUND(Q34*$D$136+P34*$E$136+O34*$F$136,0)-1</f>
        <v>314</v>
      </c>
      <c r="R116" s="201">
        <f t="shared" si="48"/>
        <v>0</v>
      </c>
      <c r="S116" s="201">
        <f t="shared" si="48"/>
        <v>0</v>
      </c>
      <c r="T116" s="201">
        <f t="shared" si="48"/>
        <v>0</v>
      </c>
      <c r="U116" s="201">
        <f t="shared" si="48"/>
        <v>0</v>
      </c>
      <c r="V116" s="201">
        <f t="shared" si="48"/>
        <v>0</v>
      </c>
      <c r="W116" s="201">
        <f t="shared" si="48"/>
        <v>0</v>
      </c>
      <c r="X116" s="201">
        <f t="shared" si="48"/>
        <v>0</v>
      </c>
      <c r="Y116" s="201">
        <f t="shared" si="48"/>
        <v>0</v>
      </c>
      <c r="Z116" s="201">
        <f t="shared" si="48"/>
        <v>0</v>
      </c>
      <c r="AA116" s="201">
        <f t="shared" si="48"/>
        <v>0</v>
      </c>
      <c r="AB116" s="201">
        <f t="shared" si="48"/>
        <v>0</v>
      </c>
      <c r="AC116" s="201">
        <f t="shared" si="48"/>
        <v>0</v>
      </c>
      <c r="AD116" s="201">
        <f t="shared" si="48"/>
        <v>0</v>
      </c>
      <c r="AE116" s="201">
        <f t="shared" si="48"/>
        <v>0</v>
      </c>
      <c r="AF116" s="201">
        <f t="shared" si="48"/>
        <v>0</v>
      </c>
      <c r="AG116" s="201">
        <f t="shared" si="48"/>
        <v>0</v>
      </c>
      <c r="AH116" s="201">
        <f t="shared" si="48"/>
        <v>0</v>
      </c>
      <c r="AI116" s="201">
        <f t="shared" si="48"/>
        <v>0</v>
      </c>
      <c r="AJ116" s="201">
        <f t="shared" si="48"/>
        <v>0</v>
      </c>
      <c r="AK116" s="201">
        <f t="shared" si="48"/>
        <v>0</v>
      </c>
      <c r="AL116" s="201">
        <f t="shared" si="48"/>
        <v>0</v>
      </c>
      <c r="AM116" s="201">
        <f t="shared" si="48"/>
        <v>0</v>
      </c>
      <c r="AN116" s="201">
        <f t="shared" si="48"/>
        <v>0</v>
      </c>
      <c r="AO116" s="201">
        <f t="shared" si="48"/>
        <v>0</v>
      </c>
      <c r="AP116" s="201">
        <f t="shared" si="48"/>
        <v>0</v>
      </c>
      <c r="AQ116" s="201">
        <f t="shared" si="48"/>
        <v>0</v>
      </c>
    </row>
    <row r="117" spans="1:43" s="213" customFormat="1" ht="18" hidden="1" customHeight="1" outlineLevel="1" x14ac:dyDescent="0.15">
      <c r="A117" s="216" t="s">
        <v>309</v>
      </c>
      <c r="B117" s="210">
        <f>B41</f>
        <v>0</v>
      </c>
      <c r="C117" s="217">
        <f t="shared" si="43"/>
        <v>0</v>
      </c>
      <c r="D117" s="201">
        <f>ROUND(D41*$D$136,0)</f>
        <v>0</v>
      </c>
      <c r="E117" s="201">
        <f>ROUND(E41*$D$136+D41*$E$136,0)</f>
        <v>0</v>
      </c>
      <c r="F117" s="201">
        <f>ROUND(F41*$D$136+E41*$E$136+D41*$F$136,0)</f>
        <v>0</v>
      </c>
      <c r="G117" s="201">
        <f t="shared" ref="G117:AQ117" si="49">ROUND(G41*$D$136+F41*$E$136+E41*$F$136,0)</f>
        <v>0</v>
      </c>
      <c r="H117" s="201">
        <f t="shared" si="49"/>
        <v>0</v>
      </c>
      <c r="I117" s="201">
        <f t="shared" si="49"/>
        <v>0</v>
      </c>
      <c r="J117" s="201">
        <f t="shared" si="49"/>
        <v>0</v>
      </c>
      <c r="K117" s="201">
        <f t="shared" si="49"/>
        <v>0</v>
      </c>
      <c r="L117" s="201">
        <f t="shared" si="49"/>
        <v>0</v>
      </c>
      <c r="M117" s="201">
        <f t="shared" si="49"/>
        <v>0</v>
      </c>
      <c r="N117" s="201">
        <f t="shared" si="49"/>
        <v>0</v>
      </c>
      <c r="O117" s="201">
        <f t="shared" si="49"/>
        <v>0</v>
      </c>
      <c r="P117" s="201">
        <f t="shared" si="49"/>
        <v>0</v>
      </c>
      <c r="Q117" s="201">
        <f t="shared" si="49"/>
        <v>0</v>
      </c>
      <c r="R117" s="201">
        <f t="shared" si="49"/>
        <v>0</v>
      </c>
      <c r="S117" s="201">
        <f t="shared" si="49"/>
        <v>0</v>
      </c>
      <c r="T117" s="201">
        <f t="shared" si="49"/>
        <v>0</v>
      </c>
      <c r="U117" s="201">
        <f t="shared" si="49"/>
        <v>0</v>
      </c>
      <c r="V117" s="201">
        <f t="shared" si="49"/>
        <v>0</v>
      </c>
      <c r="W117" s="201">
        <f t="shared" si="49"/>
        <v>0</v>
      </c>
      <c r="X117" s="201">
        <f t="shared" si="49"/>
        <v>0</v>
      </c>
      <c r="Y117" s="201">
        <f t="shared" si="49"/>
        <v>0</v>
      </c>
      <c r="Z117" s="201">
        <f t="shared" si="49"/>
        <v>0</v>
      </c>
      <c r="AA117" s="201">
        <f t="shared" si="49"/>
        <v>0</v>
      </c>
      <c r="AB117" s="201">
        <f t="shared" si="49"/>
        <v>0</v>
      </c>
      <c r="AC117" s="201">
        <f t="shared" si="49"/>
        <v>0</v>
      </c>
      <c r="AD117" s="201">
        <f t="shared" si="49"/>
        <v>0</v>
      </c>
      <c r="AE117" s="201">
        <f t="shared" si="49"/>
        <v>0</v>
      </c>
      <c r="AF117" s="201">
        <f t="shared" si="49"/>
        <v>0</v>
      </c>
      <c r="AG117" s="201">
        <f t="shared" si="49"/>
        <v>0</v>
      </c>
      <c r="AH117" s="201">
        <f t="shared" si="49"/>
        <v>0</v>
      </c>
      <c r="AI117" s="201">
        <f t="shared" si="49"/>
        <v>0</v>
      </c>
      <c r="AJ117" s="201">
        <f t="shared" si="49"/>
        <v>0</v>
      </c>
      <c r="AK117" s="201">
        <f t="shared" si="49"/>
        <v>0</v>
      </c>
      <c r="AL117" s="201">
        <f t="shared" si="49"/>
        <v>0</v>
      </c>
      <c r="AM117" s="201">
        <f t="shared" si="49"/>
        <v>0</v>
      </c>
      <c r="AN117" s="201">
        <f t="shared" si="49"/>
        <v>0</v>
      </c>
      <c r="AO117" s="201">
        <f t="shared" si="49"/>
        <v>0</v>
      </c>
      <c r="AP117" s="201">
        <f t="shared" si="49"/>
        <v>0</v>
      </c>
      <c r="AQ117" s="201">
        <f t="shared" si="49"/>
        <v>0</v>
      </c>
    </row>
    <row r="118" spans="1:43" s="213" customFormat="1" ht="18" hidden="1" customHeight="1" outlineLevel="1" x14ac:dyDescent="0.15">
      <c r="A118" s="216" t="s">
        <v>310</v>
      </c>
      <c r="B118" s="210">
        <f>B48</f>
        <v>0</v>
      </c>
      <c r="C118" s="217">
        <f t="shared" si="43"/>
        <v>0</v>
      </c>
      <c r="D118" s="201">
        <f>ROUND(D48*$D$136,0)</f>
        <v>0</v>
      </c>
      <c r="E118" s="201">
        <f>ROUND(E48*$D$136+D48*$E$136,0)</f>
        <v>0</v>
      </c>
      <c r="F118" s="201">
        <f>ROUND(F48*$D$136+E48*$E$136+D48*$F$136,0)</f>
        <v>0</v>
      </c>
      <c r="G118" s="201">
        <f t="shared" ref="G118:AQ118" si="50">ROUND(G48*$D$136+F48*$E$136+E48*$F$136,0)</f>
        <v>0</v>
      </c>
      <c r="H118" s="201">
        <f t="shared" si="50"/>
        <v>0</v>
      </c>
      <c r="I118" s="201">
        <f t="shared" si="50"/>
        <v>0</v>
      </c>
      <c r="J118" s="201">
        <f t="shared" si="50"/>
        <v>0</v>
      </c>
      <c r="K118" s="201">
        <f t="shared" si="50"/>
        <v>0</v>
      </c>
      <c r="L118" s="201">
        <f t="shared" si="50"/>
        <v>0</v>
      </c>
      <c r="M118" s="201">
        <f t="shared" si="50"/>
        <v>0</v>
      </c>
      <c r="N118" s="201">
        <f t="shared" si="50"/>
        <v>0</v>
      </c>
      <c r="O118" s="201">
        <f t="shared" si="50"/>
        <v>0</v>
      </c>
      <c r="P118" s="201">
        <f t="shared" si="50"/>
        <v>0</v>
      </c>
      <c r="Q118" s="201">
        <f t="shared" si="50"/>
        <v>0</v>
      </c>
      <c r="R118" s="201">
        <f t="shared" si="50"/>
        <v>0</v>
      </c>
      <c r="S118" s="201">
        <f t="shared" si="50"/>
        <v>0</v>
      </c>
      <c r="T118" s="201">
        <f t="shared" si="50"/>
        <v>0</v>
      </c>
      <c r="U118" s="201">
        <f t="shared" si="50"/>
        <v>0</v>
      </c>
      <c r="V118" s="201">
        <f t="shared" si="50"/>
        <v>0</v>
      </c>
      <c r="W118" s="201">
        <f t="shared" si="50"/>
        <v>0</v>
      </c>
      <c r="X118" s="201">
        <f t="shared" si="50"/>
        <v>0</v>
      </c>
      <c r="Y118" s="201">
        <f t="shared" si="50"/>
        <v>0</v>
      </c>
      <c r="Z118" s="201">
        <f t="shared" si="50"/>
        <v>0</v>
      </c>
      <c r="AA118" s="201">
        <f t="shared" si="50"/>
        <v>0</v>
      </c>
      <c r="AB118" s="201">
        <f t="shared" si="50"/>
        <v>0</v>
      </c>
      <c r="AC118" s="201">
        <f t="shared" si="50"/>
        <v>0</v>
      </c>
      <c r="AD118" s="201">
        <f t="shared" si="50"/>
        <v>0</v>
      </c>
      <c r="AE118" s="201">
        <f t="shared" si="50"/>
        <v>0</v>
      </c>
      <c r="AF118" s="201">
        <f t="shared" si="50"/>
        <v>0</v>
      </c>
      <c r="AG118" s="201">
        <f t="shared" si="50"/>
        <v>0</v>
      </c>
      <c r="AH118" s="201">
        <f t="shared" si="50"/>
        <v>0</v>
      </c>
      <c r="AI118" s="201">
        <f t="shared" si="50"/>
        <v>0</v>
      </c>
      <c r="AJ118" s="201">
        <f t="shared" si="50"/>
        <v>0</v>
      </c>
      <c r="AK118" s="201">
        <f t="shared" si="50"/>
        <v>0</v>
      </c>
      <c r="AL118" s="201">
        <f t="shared" si="50"/>
        <v>0</v>
      </c>
      <c r="AM118" s="201">
        <f t="shared" si="50"/>
        <v>0</v>
      </c>
      <c r="AN118" s="201">
        <f t="shared" si="50"/>
        <v>0</v>
      </c>
      <c r="AO118" s="201">
        <f t="shared" si="50"/>
        <v>0</v>
      </c>
      <c r="AP118" s="201">
        <f t="shared" si="50"/>
        <v>0</v>
      </c>
      <c r="AQ118" s="201">
        <f t="shared" si="50"/>
        <v>0</v>
      </c>
    </row>
    <row r="119" spans="1:43" s="213" customFormat="1" ht="18" hidden="1" customHeight="1" outlineLevel="1" x14ac:dyDescent="0.15">
      <c r="A119" s="216" t="s">
        <v>311</v>
      </c>
      <c r="B119" s="210">
        <f>B55</f>
        <v>0</v>
      </c>
      <c r="C119" s="217">
        <f t="shared" si="43"/>
        <v>0</v>
      </c>
      <c r="D119" s="201">
        <f>ROUND(D55*$D$136,0)</f>
        <v>0</v>
      </c>
      <c r="E119" s="201">
        <f>ROUND(E55*$D$136+D13*$E$136,0)</f>
        <v>0</v>
      </c>
      <c r="F119" s="201">
        <f>ROUND(F55*$D$136+E55*$E$136+D55*$F$136,0)</f>
        <v>0</v>
      </c>
      <c r="G119" s="201">
        <f t="shared" ref="G119:AQ119" si="51">ROUND(G55*$D$136+F55*$E$136+E55*$F$136,0)</f>
        <v>0</v>
      </c>
      <c r="H119" s="201">
        <f t="shared" si="51"/>
        <v>0</v>
      </c>
      <c r="I119" s="201">
        <f t="shared" si="51"/>
        <v>0</v>
      </c>
      <c r="J119" s="201">
        <f t="shared" si="51"/>
        <v>0</v>
      </c>
      <c r="K119" s="201">
        <f t="shared" si="51"/>
        <v>0</v>
      </c>
      <c r="L119" s="201">
        <f t="shared" si="51"/>
        <v>0</v>
      </c>
      <c r="M119" s="201">
        <f t="shared" si="51"/>
        <v>0</v>
      </c>
      <c r="N119" s="201">
        <f t="shared" si="51"/>
        <v>0</v>
      </c>
      <c r="O119" s="201">
        <f t="shared" si="51"/>
        <v>0</v>
      </c>
      <c r="P119" s="201">
        <f t="shared" si="51"/>
        <v>0</v>
      </c>
      <c r="Q119" s="201">
        <f t="shared" si="51"/>
        <v>0</v>
      </c>
      <c r="R119" s="201">
        <f t="shared" si="51"/>
        <v>0</v>
      </c>
      <c r="S119" s="201">
        <f t="shared" si="51"/>
        <v>0</v>
      </c>
      <c r="T119" s="201">
        <f t="shared" si="51"/>
        <v>0</v>
      </c>
      <c r="U119" s="201">
        <f t="shared" si="51"/>
        <v>0</v>
      </c>
      <c r="V119" s="201">
        <f t="shared" si="51"/>
        <v>0</v>
      </c>
      <c r="W119" s="201">
        <f t="shared" si="51"/>
        <v>0</v>
      </c>
      <c r="X119" s="201">
        <f t="shared" si="51"/>
        <v>0</v>
      </c>
      <c r="Y119" s="201">
        <f t="shared" si="51"/>
        <v>0</v>
      </c>
      <c r="Z119" s="201">
        <f t="shared" si="51"/>
        <v>0</v>
      </c>
      <c r="AA119" s="201">
        <f t="shared" si="51"/>
        <v>0</v>
      </c>
      <c r="AB119" s="201">
        <f t="shared" si="51"/>
        <v>0</v>
      </c>
      <c r="AC119" s="201">
        <f t="shared" si="51"/>
        <v>0</v>
      </c>
      <c r="AD119" s="201">
        <f t="shared" si="51"/>
        <v>0</v>
      </c>
      <c r="AE119" s="201">
        <f t="shared" si="51"/>
        <v>0</v>
      </c>
      <c r="AF119" s="201">
        <f t="shared" si="51"/>
        <v>0</v>
      </c>
      <c r="AG119" s="201">
        <f t="shared" si="51"/>
        <v>0</v>
      </c>
      <c r="AH119" s="201">
        <f t="shared" si="51"/>
        <v>0</v>
      </c>
      <c r="AI119" s="201">
        <f t="shared" si="51"/>
        <v>0</v>
      </c>
      <c r="AJ119" s="201">
        <f t="shared" si="51"/>
        <v>0</v>
      </c>
      <c r="AK119" s="201">
        <f t="shared" si="51"/>
        <v>0</v>
      </c>
      <c r="AL119" s="201">
        <f t="shared" si="51"/>
        <v>0</v>
      </c>
      <c r="AM119" s="201">
        <f t="shared" si="51"/>
        <v>0</v>
      </c>
      <c r="AN119" s="201">
        <f t="shared" si="51"/>
        <v>0</v>
      </c>
      <c r="AO119" s="201">
        <f t="shared" si="51"/>
        <v>0</v>
      </c>
      <c r="AP119" s="201">
        <f t="shared" si="51"/>
        <v>0</v>
      </c>
      <c r="AQ119" s="201">
        <f t="shared" si="51"/>
        <v>0</v>
      </c>
    </row>
    <row r="120" spans="1:43" s="213" customFormat="1" ht="18" hidden="1" customHeight="1" outlineLevel="1" x14ac:dyDescent="0.15">
      <c r="A120" s="216" t="s">
        <v>312</v>
      </c>
      <c r="B120" s="210">
        <f>B62</f>
        <v>0</v>
      </c>
      <c r="C120" s="217">
        <f t="shared" si="43"/>
        <v>0</v>
      </c>
      <c r="D120" s="201">
        <f>ROUND(D62*$D$136,0)</f>
        <v>0</v>
      </c>
      <c r="E120" s="201">
        <f>ROUND(E62*$D$136+D14*$E$136,0)</f>
        <v>0</v>
      </c>
      <c r="F120" s="201">
        <f>ROUND(F62*$D$136+E62*$E$136+D62*$F$136,0)</f>
        <v>0</v>
      </c>
      <c r="G120" s="201">
        <f t="shared" ref="G120:AQ120" si="52">ROUND(G62*$D$136+F62*$E$136+E62*$F$136,0)</f>
        <v>0</v>
      </c>
      <c r="H120" s="201">
        <f t="shared" si="52"/>
        <v>0</v>
      </c>
      <c r="I120" s="201">
        <f t="shared" si="52"/>
        <v>0</v>
      </c>
      <c r="J120" s="201">
        <f t="shared" si="52"/>
        <v>0</v>
      </c>
      <c r="K120" s="201">
        <f t="shared" si="52"/>
        <v>0</v>
      </c>
      <c r="L120" s="201">
        <f t="shared" si="52"/>
        <v>0</v>
      </c>
      <c r="M120" s="201">
        <f t="shared" si="52"/>
        <v>0</v>
      </c>
      <c r="N120" s="201">
        <f t="shared" si="52"/>
        <v>0</v>
      </c>
      <c r="O120" s="201">
        <f t="shared" si="52"/>
        <v>0</v>
      </c>
      <c r="P120" s="201">
        <f t="shared" si="52"/>
        <v>0</v>
      </c>
      <c r="Q120" s="201">
        <f t="shared" si="52"/>
        <v>0</v>
      </c>
      <c r="R120" s="201">
        <f t="shared" si="52"/>
        <v>0</v>
      </c>
      <c r="S120" s="201">
        <f t="shared" si="52"/>
        <v>0</v>
      </c>
      <c r="T120" s="201">
        <f t="shared" si="52"/>
        <v>0</v>
      </c>
      <c r="U120" s="201">
        <f t="shared" si="52"/>
        <v>0</v>
      </c>
      <c r="V120" s="201">
        <f t="shared" si="52"/>
        <v>0</v>
      </c>
      <c r="W120" s="201">
        <f t="shared" si="52"/>
        <v>0</v>
      </c>
      <c r="X120" s="201">
        <f t="shared" si="52"/>
        <v>0</v>
      </c>
      <c r="Y120" s="201">
        <f t="shared" si="52"/>
        <v>0</v>
      </c>
      <c r="Z120" s="201">
        <f t="shared" si="52"/>
        <v>0</v>
      </c>
      <c r="AA120" s="201">
        <f t="shared" si="52"/>
        <v>0</v>
      </c>
      <c r="AB120" s="201">
        <f t="shared" si="52"/>
        <v>0</v>
      </c>
      <c r="AC120" s="201">
        <f t="shared" si="52"/>
        <v>0</v>
      </c>
      <c r="AD120" s="201">
        <f t="shared" si="52"/>
        <v>0</v>
      </c>
      <c r="AE120" s="201">
        <f t="shared" si="52"/>
        <v>0</v>
      </c>
      <c r="AF120" s="201">
        <f t="shared" si="52"/>
        <v>0</v>
      </c>
      <c r="AG120" s="201">
        <f t="shared" si="52"/>
        <v>0</v>
      </c>
      <c r="AH120" s="201">
        <f t="shared" si="52"/>
        <v>0</v>
      </c>
      <c r="AI120" s="201">
        <f t="shared" si="52"/>
        <v>0</v>
      </c>
      <c r="AJ120" s="201">
        <f t="shared" si="52"/>
        <v>0</v>
      </c>
      <c r="AK120" s="201">
        <f t="shared" si="52"/>
        <v>0</v>
      </c>
      <c r="AL120" s="201">
        <f t="shared" si="52"/>
        <v>0</v>
      </c>
      <c r="AM120" s="201">
        <f t="shared" si="52"/>
        <v>0</v>
      </c>
      <c r="AN120" s="201">
        <f t="shared" si="52"/>
        <v>0</v>
      </c>
      <c r="AO120" s="201">
        <f t="shared" si="52"/>
        <v>0</v>
      </c>
      <c r="AP120" s="201">
        <f t="shared" si="52"/>
        <v>0</v>
      </c>
      <c r="AQ120" s="201">
        <f t="shared" si="52"/>
        <v>0</v>
      </c>
    </row>
    <row r="121" spans="1:43" s="213" customFormat="1" ht="18" hidden="1" customHeight="1" outlineLevel="1" x14ac:dyDescent="0.15">
      <c r="A121" s="216" t="s">
        <v>292</v>
      </c>
      <c r="B121" s="210">
        <f>B69</f>
        <v>0</v>
      </c>
      <c r="C121" s="217">
        <f t="shared" si="43"/>
        <v>0</v>
      </c>
      <c r="D121" s="201">
        <f>ROUND(D69*$D$136,0)</f>
        <v>0</v>
      </c>
      <c r="E121" s="201">
        <f>ROUND(E69*$D$136+D69*$E$136,0)</f>
        <v>0</v>
      </c>
      <c r="F121" s="201">
        <f>ROUND(F69*$D$136+E69*$E$136+D69*$F$136,0)</f>
        <v>0</v>
      </c>
      <c r="G121" s="201">
        <f t="shared" ref="G121:AQ121" si="53">ROUND(G69*$D$136+F69*$E$136+E69*$F$136,0)</f>
        <v>0</v>
      </c>
      <c r="H121" s="201">
        <f t="shared" si="53"/>
        <v>0</v>
      </c>
      <c r="I121" s="201">
        <f t="shared" si="53"/>
        <v>0</v>
      </c>
      <c r="J121" s="201">
        <f t="shared" si="53"/>
        <v>0</v>
      </c>
      <c r="K121" s="201">
        <f t="shared" si="53"/>
        <v>0</v>
      </c>
      <c r="L121" s="201">
        <f t="shared" si="53"/>
        <v>0</v>
      </c>
      <c r="M121" s="201">
        <f t="shared" si="53"/>
        <v>0</v>
      </c>
      <c r="N121" s="201">
        <f t="shared" si="53"/>
        <v>0</v>
      </c>
      <c r="O121" s="201">
        <f t="shared" si="53"/>
        <v>0</v>
      </c>
      <c r="P121" s="201">
        <f t="shared" si="53"/>
        <v>0</v>
      </c>
      <c r="Q121" s="201">
        <f t="shared" si="53"/>
        <v>0</v>
      </c>
      <c r="R121" s="201">
        <f t="shared" si="53"/>
        <v>0</v>
      </c>
      <c r="S121" s="201">
        <f t="shared" si="53"/>
        <v>0</v>
      </c>
      <c r="T121" s="201">
        <f t="shared" si="53"/>
        <v>0</v>
      </c>
      <c r="U121" s="201">
        <f t="shared" si="53"/>
        <v>0</v>
      </c>
      <c r="V121" s="201">
        <f t="shared" si="53"/>
        <v>0</v>
      </c>
      <c r="W121" s="201">
        <f t="shared" si="53"/>
        <v>0</v>
      </c>
      <c r="X121" s="201">
        <f t="shared" si="53"/>
        <v>0</v>
      </c>
      <c r="Y121" s="201">
        <f t="shared" si="53"/>
        <v>0</v>
      </c>
      <c r="Z121" s="201">
        <f t="shared" si="53"/>
        <v>0</v>
      </c>
      <c r="AA121" s="201">
        <f t="shared" si="53"/>
        <v>0</v>
      </c>
      <c r="AB121" s="201">
        <f t="shared" si="53"/>
        <v>0</v>
      </c>
      <c r="AC121" s="201">
        <f t="shared" si="53"/>
        <v>0</v>
      </c>
      <c r="AD121" s="201">
        <f t="shared" si="53"/>
        <v>0</v>
      </c>
      <c r="AE121" s="201">
        <f t="shared" si="53"/>
        <v>0</v>
      </c>
      <c r="AF121" s="201">
        <f t="shared" si="53"/>
        <v>0</v>
      </c>
      <c r="AG121" s="201">
        <f t="shared" si="53"/>
        <v>0</v>
      </c>
      <c r="AH121" s="201">
        <f t="shared" si="53"/>
        <v>0</v>
      </c>
      <c r="AI121" s="201">
        <f t="shared" si="53"/>
        <v>0</v>
      </c>
      <c r="AJ121" s="201">
        <f t="shared" si="53"/>
        <v>0</v>
      </c>
      <c r="AK121" s="201">
        <f t="shared" si="53"/>
        <v>0</v>
      </c>
      <c r="AL121" s="201">
        <f t="shared" si="53"/>
        <v>0</v>
      </c>
      <c r="AM121" s="201">
        <f t="shared" si="53"/>
        <v>0</v>
      </c>
      <c r="AN121" s="201">
        <f t="shared" si="53"/>
        <v>0</v>
      </c>
      <c r="AO121" s="201">
        <f t="shared" si="53"/>
        <v>0</v>
      </c>
      <c r="AP121" s="201">
        <f t="shared" si="53"/>
        <v>0</v>
      </c>
      <c r="AQ121" s="201">
        <f t="shared" si="53"/>
        <v>0</v>
      </c>
    </row>
    <row r="122" spans="1:43" s="213" customFormat="1" ht="18" hidden="1" customHeight="1" outlineLevel="1" x14ac:dyDescent="0.15">
      <c r="A122" s="216" t="s">
        <v>293</v>
      </c>
      <c r="B122" s="210">
        <f>B76</f>
        <v>0</v>
      </c>
      <c r="C122" s="217">
        <f t="shared" si="43"/>
        <v>0</v>
      </c>
      <c r="D122" s="201">
        <f>ROUND(D76*$D$136,0)</f>
        <v>0</v>
      </c>
      <c r="E122" s="201">
        <f>ROUND(E76*$D$136+D76*$E$136,0)</f>
        <v>0</v>
      </c>
      <c r="F122" s="201">
        <f>ROUND(F76*$D$136+E76*$E$136+D76*$F$136,0)</f>
        <v>0</v>
      </c>
      <c r="G122" s="201">
        <f t="shared" ref="G122:AQ122" si="54">ROUND(G76*$D$136+F76*$E$136+E76*$F$136,0)</f>
        <v>0</v>
      </c>
      <c r="H122" s="201">
        <f t="shared" si="54"/>
        <v>0</v>
      </c>
      <c r="I122" s="201">
        <f t="shared" si="54"/>
        <v>0</v>
      </c>
      <c r="J122" s="201">
        <f t="shared" si="54"/>
        <v>0</v>
      </c>
      <c r="K122" s="201">
        <f t="shared" si="54"/>
        <v>0</v>
      </c>
      <c r="L122" s="201">
        <f t="shared" si="54"/>
        <v>0</v>
      </c>
      <c r="M122" s="201">
        <f t="shared" si="54"/>
        <v>0</v>
      </c>
      <c r="N122" s="201">
        <f t="shared" si="54"/>
        <v>0</v>
      </c>
      <c r="O122" s="201">
        <f t="shared" si="54"/>
        <v>0</v>
      </c>
      <c r="P122" s="201">
        <f t="shared" si="54"/>
        <v>0</v>
      </c>
      <c r="Q122" s="201">
        <f t="shared" si="54"/>
        <v>0</v>
      </c>
      <c r="R122" s="201">
        <f t="shared" si="54"/>
        <v>0</v>
      </c>
      <c r="S122" s="201">
        <f t="shared" si="54"/>
        <v>0</v>
      </c>
      <c r="T122" s="201">
        <f t="shared" si="54"/>
        <v>0</v>
      </c>
      <c r="U122" s="201">
        <f t="shared" si="54"/>
        <v>0</v>
      </c>
      <c r="V122" s="201">
        <f t="shared" si="54"/>
        <v>0</v>
      </c>
      <c r="W122" s="201">
        <f t="shared" si="54"/>
        <v>0</v>
      </c>
      <c r="X122" s="201">
        <f t="shared" si="54"/>
        <v>0</v>
      </c>
      <c r="Y122" s="201">
        <f t="shared" si="54"/>
        <v>0</v>
      </c>
      <c r="Z122" s="201">
        <f t="shared" si="54"/>
        <v>0</v>
      </c>
      <c r="AA122" s="201">
        <f t="shared" si="54"/>
        <v>0</v>
      </c>
      <c r="AB122" s="201">
        <f t="shared" si="54"/>
        <v>0</v>
      </c>
      <c r="AC122" s="201">
        <f t="shared" si="54"/>
        <v>0</v>
      </c>
      <c r="AD122" s="201">
        <f t="shared" si="54"/>
        <v>0</v>
      </c>
      <c r="AE122" s="201">
        <f t="shared" si="54"/>
        <v>0</v>
      </c>
      <c r="AF122" s="201">
        <f t="shared" si="54"/>
        <v>0</v>
      </c>
      <c r="AG122" s="201">
        <f t="shared" si="54"/>
        <v>0</v>
      </c>
      <c r="AH122" s="201">
        <f t="shared" si="54"/>
        <v>0</v>
      </c>
      <c r="AI122" s="201">
        <f t="shared" si="54"/>
        <v>0</v>
      </c>
      <c r="AJ122" s="201">
        <f t="shared" si="54"/>
        <v>0</v>
      </c>
      <c r="AK122" s="201">
        <f t="shared" si="54"/>
        <v>0</v>
      </c>
      <c r="AL122" s="201">
        <f t="shared" si="54"/>
        <v>0</v>
      </c>
      <c r="AM122" s="201">
        <f t="shared" si="54"/>
        <v>0</v>
      </c>
      <c r="AN122" s="201">
        <f t="shared" si="54"/>
        <v>0</v>
      </c>
      <c r="AO122" s="201">
        <f t="shared" si="54"/>
        <v>0</v>
      </c>
      <c r="AP122" s="201">
        <f t="shared" si="54"/>
        <v>0</v>
      </c>
      <c r="AQ122" s="201">
        <f t="shared" si="54"/>
        <v>0</v>
      </c>
    </row>
    <row r="123" spans="1:43" s="213" customFormat="1" ht="18" hidden="1" customHeight="1" outlineLevel="1" x14ac:dyDescent="0.15">
      <c r="A123" s="216" t="s">
        <v>582</v>
      </c>
      <c r="B123" s="619">
        <f>B83</f>
        <v>0</v>
      </c>
      <c r="C123" s="217">
        <f>SUM(D123:AQ123)</f>
        <v>0</v>
      </c>
      <c r="D123" s="201">
        <f>ROUND(D83*$D$136,0)</f>
        <v>0</v>
      </c>
      <c r="E123" s="201">
        <f>ROUND(E83*$D$136+D83*$E$136,0)</f>
        <v>0</v>
      </c>
      <c r="F123" s="201">
        <f>ROUND(F83*$D$136+E83*$E$136+D83*$F$136,0)</f>
        <v>0</v>
      </c>
      <c r="G123" s="201">
        <f t="shared" ref="G123:AQ123" si="55">ROUND(G83*$D$136+F83*$E$136+E83*$F$136,0)</f>
        <v>0</v>
      </c>
      <c r="H123" s="201">
        <f t="shared" si="55"/>
        <v>0</v>
      </c>
      <c r="I123" s="201">
        <f t="shared" si="55"/>
        <v>0</v>
      </c>
      <c r="J123" s="201">
        <f t="shared" si="55"/>
        <v>0</v>
      </c>
      <c r="K123" s="201">
        <f t="shared" si="55"/>
        <v>0</v>
      </c>
      <c r="L123" s="201">
        <f t="shared" si="55"/>
        <v>0</v>
      </c>
      <c r="M123" s="201">
        <f t="shared" si="55"/>
        <v>0</v>
      </c>
      <c r="N123" s="201">
        <f t="shared" si="55"/>
        <v>0</v>
      </c>
      <c r="O123" s="201">
        <f t="shared" si="55"/>
        <v>0</v>
      </c>
      <c r="P123" s="201">
        <f t="shared" si="55"/>
        <v>0</v>
      </c>
      <c r="Q123" s="201">
        <f t="shared" si="55"/>
        <v>0</v>
      </c>
      <c r="R123" s="201">
        <f t="shared" si="55"/>
        <v>0</v>
      </c>
      <c r="S123" s="201">
        <f t="shared" si="55"/>
        <v>0</v>
      </c>
      <c r="T123" s="201">
        <f t="shared" si="55"/>
        <v>0</v>
      </c>
      <c r="U123" s="201">
        <f t="shared" si="55"/>
        <v>0</v>
      </c>
      <c r="V123" s="201">
        <f t="shared" si="55"/>
        <v>0</v>
      </c>
      <c r="W123" s="201">
        <f t="shared" si="55"/>
        <v>0</v>
      </c>
      <c r="X123" s="201">
        <f t="shared" si="55"/>
        <v>0</v>
      </c>
      <c r="Y123" s="201">
        <f t="shared" si="55"/>
        <v>0</v>
      </c>
      <c r="Z123" s="201">
        <f t="shared" si="55"/>
        <v>0</v>
      </c>
      <c r="AA123" s="201">
        <f t="shared" si="55"/>
        <v>0</v>
      </c>
      <c r="AB123" s="201">
        <f t="shared" si="55"/>
        <v>0</v>
      </c>
      <c r="AC123" s="201">
        <f t="shared" si="55"/>
        <v>0</v>
      </c>
      <c r="AD123" s="201">
        <f t="shared" si="55"/>
        <v>0</v>
      </c>
      <c r="AE123" s="201">
        <f t="shared" si="55"/>
        <v>0</v>
      </c>
      <c r="AF123" s="201">
        <f t="shared" si="55"/>
        <v>0</v>
      </c>
      <c r="AG123" s="201">
        <f t="shared" si="55"/>
        <v>0</v>
      </c>
      <c r="AH123" s="201">
        <f t="shared" si="55"/>
        <v>0</v>
      </c>
      <c r="AI123" s="201">
        <f t="shared" si="55"/>
        <v>0</v>
      </c>
      <c r="AJ123" s="201">
        <f t="shared" si="55"/>
        <v>0</v>
      </c>
      <c r="AK123" s="201">
        <f t="shared" si="55"/>
        <v>0</v>
      </c>
      <c r="AL123" s="201">
        <f t="shared" si="55"/>
        <v>0</v>
      </c>
      <c r="AM123" s="201">
        <f t="shared" si="55"/>
        <v>0</v>
      </c>
      <c r="AN123" s="201">
        <f t="shared" si="55"/>
        <v>0</v>
      </c>
      <c r="AO123" s="201">
        <f t="shared" si="55"/>
        <v>0</v>
      </c>
      <c r="AP123" s="201">
        <f t="shared" si="55"/>
        <v>0</v>
      </c>
      <c r="AQ123" s="201">
        <f t="shared" si="55"/>
        <v>0</v>
      </c>
    </row>
    <row r="124" spans="1:43" s="213" customFormat="1" ht="18" hidden="1" customHeight="1" outlineLevel="1" x14ac:dyDescent="0.15">
      <c r="A124" s="216" t="s">
        <v>583</v>
      </c>
      <c r="B124" s="619">
        <f>B90</f>
        <v>0</v>
      </c>
      <c r="C124" s="217">
        <f>SUM(D124:AQ124)</f>
        <v>0</v>
      </c>
      <c r="D124" s="201">
        <f>ROUND(D90*$D$136,0)</f>
        <v>0</v>
      </c>
      <c r="E124" s="201">
        <f>ROUND(E90*$D$136+D90*$E$136,0)</f>
        <v>0</v>
      </c>
      <c r="F124" s="201">
        <f>ROUND(F90*$D$136+E90*$E$136+D90*$F$136,0)</f>
        <v>0</v>
      </c>
      <c r="G124" s="201">
        <f t="shared" ref="G124:AQ124" si="56">ROUND(G90*$D$136+F90*$E$136+E90*$F$136,0)</f>
        <v>0</v>
      </c>
      <c r="H124" s="201">
        <f t="shared" si="56"/>
        <v>0</v>
      </c>
      <c r="I124" s="201">
        <f t="shared" si="56"/>
        <v>0</v>
      </c>
      <c r="J124" s="201">
        <f t="shared" si="56"/>
        <v>0</v>
      </c>
      <c r="K124" s="201">
        <f t="shared" si="56"/>
        <v>0</v>
      </c>
      <c r="L124" s="201">
        <f t="shared" si="56"/>
        <v>0</v>
      </c>
      <c r="M124" s="201">
        <f t="shared" si="56"/>
        <v>0</v>
      </c>
      <c r="N124" s="201">
        <f t="shared" si="56"/>
        <v>0</v>
      </c>
      <c r="O124" s="201">
        <f t="shared" si="56"/>
        <v>0</v>
      </c>
      <c r="P124" s="201">
        <f t="shared" si="56"/>
        <v>0</v>
      </c>
      <c r="Q124" s="201">
        <f t="shared" si="56"/>
        <v>0</v>
      </c>
      <c r="R124" s="201">
        <f t="shared" si="56"/>
        <v>0</v>
      </c>
      <c r="S124" s="201">
        <f t="shared" si="56"/>
        <v>0</v>
      </c>
      <c r="T124" s="201">
        <f t="shared" si="56"/>
        <v>0</v>
      </c>
      <c r="U124" s="201">
        <f t="shared" si="56"/>
        <v>0</v>
      </c>
      <c r="V124" s="201">
        <f t="shared" si="56"/>
        <v>0</v>
      </c>
      <c r="W124" s="201">
        <f t="shared" si="56"/>
        <v>0</v>
      </c>
      <c r="X124" s="201">
        <f t="shared" si="56"/>
        <v>0</v>
      </c>
      <c r="Y124" s="201">
        <f t="shared" si="56"/>
        <v>0</v>
      </c>
      <c r="Z124" s="201">
        <f t="shared" si="56"/>
        <v>0</v>
      </c>
      <c r="AA124" s="201">
        <f t="shared" si="56"/>
        <v>0</v>
      </c>
      <c r="AB124" s="201">
        <f t="shared" si="56"/>
        <v>0</v>
      </c>
      <c r="AC124" s="201">
        <f t="shared" si="56"/>
        <v>0</v>
      </c>
      <c r="AD124" s="201">
        <f t="shared" si="56"/>
        <v>0</v>
      </c>
      <c r="AE124" s="201">
        <f t="shared" si="56"/>
        <v>0</v>
      </c>
      <c r="AF124" s="201">
        <f t="shared" si="56"/>
        <v>0</v>
      </c>
      <c r="AG124" s="201">
        <f t="shared" si="56"/>
        <v>0</v>
      </c>
      <c r="AH124" s="201">
        <f t="shared" si="56"/>
        <v>0</v>
      </c>
      <c r="AI124" s="201">
        <f t="shared" si="56"/>
        <v>0</v>
      </c>
      <c r="AJ124" s="201">
        <f t="shared" si="56"/>
        <v>0</v>
      </c>
      <c r="AK124" s="201">
        <f t="shared" si="56"/>
        <v>0</v>
      </c>
      <c r="AL124" s="201">
        <f t="shared" si="56"/>
        <v>0</v>
      </c>
      <c r="AM124" s="201">
        <f t="shared" si="56"/>
        <v>0</v>
      </c>
      <c r="AN124" s="201">
        <f t="shared" si="56"/>
        <v>0</v>
      </c>
      <c r="AO124" s="201">
        <f t="shared" si="56"/>
        <v>0</v>
      </c>
      <c r="AP124" s="201">
        <f t="shared" si="56"/>
        <v>0</v>
      </c>
      <c r="AQ124" s="201">
        <f t="shared" si="56"/>
        <v>0</v>
      </c>
    </row>
    <row r="125" spans="1:43" s="213" customFormat="1" ht="18" hidden="1" customHeight="1" outlineLevel="1" x14ac:dyDescent="0.15">
      <c r="A125" s="216" t="s">
        <v>584</v>
      </c>
      <c r="B125" s="619">
        <f>B97</f>
        <v>0</v>
      </c>
      <c r="C125" s="217">
        <f>SUM(D125:AQ125)</f>
        <v>0</v>
      </c>
      <c r="D125" s="201">
        <f>ROUND(D97*$D$136,0)</f>
        <v>0</v>
      </c>
      <c r="E125" s="201">
        <f>ROUND(E97*$D$136+D97*$E$136,0)</f>
        <v>0</v>
      </c>
      <c r="F125" s="201">
        <f>ROUND(F97*$D$136+E97*$E$136+D97*$F$136,0)</f>
        <v>0</v>
      </c>
      <c r="G125" s="201">
        <f t="shared" ref="G125:AQ125" si="57">ROUND(G97*$D$136+F97*$E$136+E97*$F$136,0)</f>
        <v>0</v>
      </c>
      <c r="H125" s="201">
        <f t="shared" si="57"/>
        <v>0</v>
      </c>
      <c r="I125" s="201">
        <f t="shared" si="57"/>
        <v>0</v>
      </c>
      <c r="J125" s="201">
        <f t="shared" si="57"/>
        <v>0</v>
      </c>
      <c r="K125" s="201">
        <f t="shared" si="57"/>
        <v>0</v>
      </c>
      <c r="L125" s="201">
        <f t="shared" si="57"/>
        <v>0</v>
      </c>
      <c r="M125" s="201">
        <f t="shared" si="57"/>
        <v>0</v>
      </c>
      <c r="N125" s="201">
        <f t="shared" si="57"/>
        <v>0</v>
      </c>
      <c r="O125" s="201">
        <f t="shared" si="57"/>
        <v>0</v>
      </c>
      <c r="P125" s="201">
        <f t="shared" si="57"/>
        <v>0</v>
      </c>
      <c r="Q125" s="201">
        <f t="shared" si="57"/>
        <v>0</v>
      </c>
      <c r="R125" s="201">
        <f t="shared" si="57"/>
        <v>0</v>
      </c>
      <c r="S125" s="201">
        <f t="shared" si="57"/>
        <v>0</v>
      </c>
      <c r="T125" s="201">
        <f t="shared" si="57"/>
        <v>0</v>
      </c>
      <c r="U125" s="201">
        <f t="shared" si="57"/>
        <v>0</v>
      </c>
      <c r="V125" s="201">
        <f t="shared" si="57"/>
        <v>0</v>
      </c>
      <c r="W125" s="201">
        <f t="shared" si="57"/>
        <v>0</v>
      </c>
      <c r="X125" s="201">
        <f t="shared" si="57"/>
        <v>0</v>
      </c>
      <c r="Y125" s="201">
        <f t="shared" si="57"/>
        <v>0</v>
      </c>
      <c r="Z125" s="201">
        <f t="shared" si="57"/>
        <v>0</v>
      </c>
      <c r="AA125" s="201">
        <f t="shared" si="57"/>
        <v>0</v>
      </c>
      <c r="AB125" s="201">
        <f t="shared" si="57"/>
        <v>0</v>
      </c>
      <c r="AC125" s="201">
        <f t="shared" si="57"/>
        <v>0</v>
      </c>
      <c r="AD125" s="201">
        <f t="shared" si="57"/>
        <v>0</v>
      </c>
      <c r="AE125" s="201">
        <f t="shared" si="57"/>
        <v>0</v>
      </c>
      <c r="AF125" s="201">
        <f t="shared" si="57"/>
        <v>0</v>
      </c>
      <c r="AG125" s="201">
        <f t="shared" si="57"/>
        <v>0</v>
      </c>
      <c r="AH125" s="201">
        <f t="shared" si="57"/>
        <v>0</v>
      </c>
      <c r="AI125" s="201">
        <f t="shared" si="57"/>
        <v>0</v>
      </c>
      <c r="AJ125" s="201">
        <f t="shared" si="57"/>
        <v>0</v>
      </c>
      <c r="AK125" s="201">
        <f t="shared" si="57"/>
        <v>0</v>
      </c>
      <c r="AL125" s="201">
        <f t="shared" si="57"/>
        <v>0</v>
      </c>
      <c r="AM125" s="201">
        <f t="shared" si="57"/>
        <v>0</v>
      </c>
      <c r="AN125" s="201">
        <f t="shared" si="57"/>
        <v>0</v>
      </c>
      <c r="AO125" s="201">
        <f t="shared" si="57"/>
        <v>0</v>
      </c>
      <c r="AP125" s="201">
        <f t="shared" si="57"/>
        <v>0</v>
      </c>
      <c r="AQ125" s="201">
        <f t="shared" si="57"/>
        <v>0</v>
      </c>
    </row>
    <row r="126" spans="1:43" s="213" customFormat="1" ht="18" hidden="1" customHeight="1" outlineLevel="1" x14ac:dyDescent="0.15">
      <c r="A126" s="216" t="s">
        <v>585</v>
      </c>
      <c r="B126" s="619">
        <f>B104</f>
        <v>0</v>
      </c>
      <c r="C126" s="217">
        <f>SUM(D126:AQ126)</f>
        <v>0</v>
      </c>
      <c r="D126" s="201">
        <f>ROUND(D104*$D$136,0)</f>
        <v>0</v>
      </c>
      <c r="E126" s="201">
        <f>ROUND(E104*$D$136+D104*$E$136,0)</f>
        <v>0</v>
      </c>
      <c r="F126" s="201">
        <f>ROUND(F104*$D$136+E104*$E$136+D104*$F$136,0)</f>
        <v>0</v>
      </c>
      <c r="G126" s="201">
        <f t="shared" ref="G126:AQ126" si="58">ROUND(G104*$D$136+F104*$E$136+E104*$F$136,0)</f>
        <v>0</v>
      </c>
      <c r="H126" s="201">
        <f t="shared" si="58"/>
        <v>0</v>
      </c>
      <c r="I126" s="201">
        <f t="shared" si="58"/>
        <v>0</v>
      </c>
      <c r="J126" s="201">
        <f t="shared" si="58"/>
        <v>0</v>
      </c>
      <c r="K126" s="201">
        <f t="shared" si="58"/>
        <v>0</v>
      </c>
      <c r="L126" s="201">
        <f t="shared" si="58"/>
        <v>0</v>
      </c>
      <c r="M126" s="201">
        <f t="shared" si="58"/>
        <v>0</v>
      </c>
      <c r="N126" s="201">
        <f t="shared" si="58"/>
        <v>0</v>
      </c>
      <c r="O126" s="201">
        <f t="shared" si="58"/>
        <v>0</v>
      </c>
      <c r="P126" s="201">
        <f t="shared" si="58"/>
        <v>0</v>
      </c>
      <c r="Q126" s="201">
        <f t="shared" si="58"/>
        <v>0</v>
      </c>
      <c r="R126" s="201">
        <f t="shared" si="58"/>
        <v>0</v>
      </c>
      <c r="S126" s="201">
        <f t="shared" si="58"/>
        <v>0</v>
      </c>
      <c r="T126" s="201">
        <f t="shared" si="58"/>
        <v>0</v>
      </c>
      <c r="U126" s="201">
        <f t="shared" si="58"/>
        <v>0</v>
      </c>
      <c r="V126" s="201">
        <f t="shared" si="58"/>
        <v>0</v>
      </c>
      <c r="W126" s="201">
        <f t="shared" si="58"/>
        <v>0</v>
      </c>
      <c r="X126" s="201">
        <f t="shared" si="58"/>
        <v>0</v>
      </c>
      <c r="Y126" s="201">
        <f t="shared" si="58"/>
        <v>0</v>
      </c>
      <c r="Z126" s="201">
        <f t="shared" si="58"/>
        <v>0</v>
      </c>
      <c r="AA126" s="201">
        <f t="shared" si="58"/>
        <v>0</v>
      </c>
      <c r="AB126" s="201">
        <f t="shared" si="58"/>
        <v>0</v>
      </c>
      <c r="AC126" s="201">
        <f t="shared" si="58"/>
        <v>0</v>
      </c>
      <c r="AD126" s="201">
        <f t="shared" si="58"/>
        <v>0</v>
      </c>
      <c r="AE126" s="201">
        <f t="shared" si="58"/>
        <v>0</v>
      </c>
      <c r="AF126" s="201">
        <f t="shared" si="58"/>
        <v>0</v>
      </c>
      <c r="AG126" s="201">
        <f t="shared" si="58"/>
        <v>0</v>
      </c>
      <c r="AH126" s="201">
        <f t="shared" si="58"/>
        <v>0</v>
      </c>
      <c r="AI126" s="201">
        <f t="shared" si="58"/>
        <v>0</v>
      </c>
      <c r="AJ126" s="201">
        <f t="shared" si="58"/>
        <v>0</v>
      </c>
      <c r="AK126" s="201">
        <f t="shared" si="58"/>
        <v>0</v>
      </c>
      <c r="AL126" s="201">
        <f t="shared" si="58"/>
        <v>0</v>
      </c>
      <c r="AM126" s="201">
        <f t="shared" si="58"/>
        <v>0</v>
      </c>
      <c r="AN126" s="201">
        <f t="shared" si="58"/>
        <v>0</v>
      </c>
      <c r="AO126" s="201">
        <f t="shared" si="58"/>
        <v>0</v>
      </c>
      <c r="AP126" s="201">
        <f t="shared" si="58"/>
        <v>0</v>
      </c>
      <c r="AQ126" s="201">
        <f t="shared" si="58"/>
        <v>0</v>
      </c>
    </row>
    <row r="127" spans="1:43" s="213" customFormat="1" ht="18" customHeight="1" outlineLevel="1" x14ac:dyDescent="0.15">
      <c r="A127" s="752" t="s">
        <v>690</v>
      </c>
      <c r="B127" s="753" t="s">
        <v>691</v>
      </c>
      <c r="C127" s="217">
        <f>AQ127</f>
        <v>354121</v>
      </c>
      <c r="D127" s="201">
        <f>D111</f>
        <v>0</v>
      </c>
      <c r="E127" s="201">
        <f>D127+E111</f>
        <v>0</v>
      </c>
      <c r="F127" s="201">
        <f t="shared" ref="F127:AQ127" si="59">E127+F111</f>
        <v>0</v>
      </c>
      <c r="G127" s="201">
        <f t="shared" si="59"/>
        <v>50164</v>
      </c>
      <c r="H127" s="201">
        <f t="shared" si="59"/>
        <v>99867</v>
      </c>
      <c r="I127" s="201">
        <f t="shared" si="59"/>
        <v>159021</v>
      </c>
      <c r="J127" s="201">
        <f t="shared" si="59"/>
        <v>216370</v>
      </c>
      <c r="K127" s="201">
        <f t="shared" si="59"/>
        <v>259415</v>
      </c>
      <c r="L127" s="201">
        <f t="shared" si="59"/>
        <v>296982</v>
      </c>
      <c r="M127" s="201">
        <f t="shared" si="59"/>
        <v>320749</v>
      </c>
      <c r="N127" s="201">
        <f t="shared" si="59"/>
        <v>335465</v>
      </c>
      <c r="O127" s="201">
        <f t="shared" si="59"/>
        <v>348555</v>
      </c>
      <c r="P127" s="201">
        <f t="shared" si="59"/>
        <v>353623</v>
      </c>
      <c r="Q127" s="201">
        <f t="shared" si="59"/>
        <v>354121</v>
      </c>
      <c r="R127" s="201">
        <f t="shared" si="59"/>
        <v>354121</v>
      </c>
      <c r="S127" s="201">
        <f t="shared" si="59"/>
        <v>354121</v>
      </c>
      <c r="T127" s="201">
        <f t="shared" si="59"/>
        <v>354121</v>
      </c>
      <c r="U127" s="201">
        <f t="shared" si="59"/>
        <v>354121</v>
      </c>
      <c r="V127" s="201">
        <f t="shared" si="59"/>
        <v>354121</v>
      </c>
      <c r="W127" s="201">
        <f t="shared" si="59"/>
        <v>354121</v>
      </c>
      <c r="X127" s="201">
        <f t="shared" si="59"/>
        <v>354121</v>
      </c>
      <c r="Y127" s="201">
        <f t="shared" si="59"/>
        <v>354121</v>
      </c>
      <c r="Z127" s="201">
        <f t="shared" si="59"/>
        <v>354121</v>
      </c>
      <c r="AA127" s="201">
        <f t="shared" si="59"/>
        <v>354121</v>
      </c>
      <c r="AB127" s="201">
        <f t="shared" si="59"/>
        <v>354121</v>
      </c>
      <c r="AC127" s="201">
        <f t="shared" si="59"/>
        <v>354121</v>
      </c>
      <c r="AD127" s="201">
        <f t="shared" si="59"/>
        <v>354121</v>
      </c>
      <c r="AE127" s="201">
        <f t="shared" si="59"/>
        <v>354121</v>
      </c>
      <c r="AF127" s="201">
        <f t="shared" si="59"/>
        <v>354121</v>
      </c>
      <c r="AG127" s="201">
        <f t="shared" si="59"/>
        <v>354121</v>
      </c>
      <c r="AH127" s="201">
        <f t="shared" si="59"/>
        <v>354121</v>
      </c>
      <c r="AI127" s="201">
        <f t="shared" si="59"/>
        <v>354121</v>
      </c>
      <c r="AJ127" s="201">
        <f t="shared" si="59"/>
        <v>354121</v>
      </c>
      <c r="AK127" s="201">
        <f t="shared" si="59"/>
        <v>354121</v>
      </c>
      <c r="AL127" s="201">
        <f t="shared" si="59"/>
        <v>354121</v>
      </c>
      <c r="AM127" s="201">
        <f t="shared" si="59"/>
        <v>354121</v>
      </c>
      <c r="AN127" s="201">
        <f t="shared" si="59"/>
        <v>354121</v>
      </c>
      <c r="AO127" s="201">
        <f t="shared" si="59"/>
        <v>354121</v>
      </c>
      <c r="AP127" s="201">
        <f t="shared" si="59"/>
        <v>354121</v>
      </c>
      <c r="AQ127" s="201">
        <f t="shared" si="59"/>
        <v>354121</v>
      </c>
    </row>
    <row r="128" spans="1:43" s="158" customFormat="1" ht="18" customHeight="1" x14ac:dyDescent="0.15">
      <c r="A128" s="241">
        <v>3</v>
      </c>
      <c r="B128" s="241" t="s">
        <v>137</v>
      </c>
      <c r="C128" s="242">
        <f>SUM(D128:AQ128)</f>
        <v>10916</v>
      </c>
      <c r="D128" s="238">
        <f>SUM(D129:D132)</f>
        <v>0</v>
      </c>
      <c r="E128" s="238">
        <f>SUM(E129:E132)</f>
        <v>0</v>
      </c>
      <c r="F128" s="238">
        <f>SUM(F129:F132)</f>
        <v>0</v>
      </c>
      <c r="G128" s="238">
        <f t="shared" ref="G128:AQ128" si="60">SUM(G129:G132)</f>
        <v>1547</v>
      </c>
      <c r="H128" s="238">
        <f t="shared" si="60"/>
        <v>1532</v>
      </c>
      <c r="I128" s="238">
        <f t="shared" si="60"/>
        <v>1824</v>
      </c>
      <c r="J128" s="238">
        <f t="shared" si="60"/>
        <v>1767</v>
      </c>
      <c r="K128" s="238">
        <f t="shared" si="60"/>
        <v>1328</v>
      </c>
      <c r="L128" s="238">
        <f t="shared" si="60"/>
        <v>1158</v>
      </c>
      <c r="M128" s="238">
        <f t="shared" si="60"/>
        <v>733</v>
      </c>
      <c r="N128" s="238">
        <f t="shared" si="60"/>
        <v>453</v>
      </c>
      <c r="O128" s="238">
        <f t="shared" si="60"/>
        <v>403</v>
      </c>
      <c r="P128" s="238">
        <f t="shared" si="60"/>
        <v>156</v>
      </c>
      <c r="Q128" s="238">
        <f t="shared" si="60"/>
        <v>15</v>
      </c>
      <c r="R128" s="238">
        <f t="shared" si="60"/>
        <v>0</v>
      </c>
      <c r="S128" s="238">
        <f t="shared" si="60"/>
        <v>0</v>
      </c>
      <c r="T128" s="238">
        <f t="shared" si="60"/>
        <v>0</v>
      </c>
      <c r="U128" s="238">
        <f t="shared" si="60"/>
        <v>0</v>
      </c>
      <c r="V128" s="238">
        <f t="shared" si="60"/>
        <v>0</v>
      </c>
      <c r="W128" s="238">
        <f t="shared" si="60"/>
        <v>0</v>
      </c>
      <c r="X128" s="238">
        <f t="shared" ref="X128:AM128" si="61">SUM(X129:X132)</f>
        <v>0</v>
      </c>
      <c r="Y128" s="238">
        <f t="shared" si="61"/>
        <v>0</v>
      </c>
      <c r="Z128" s="238">
        <f t="shared" si="61"/>
        <v>0</v>
      </c>
      <c r="AA128" s="238">
        <f t="shared" si="61"/>
        <v>0</v>
      </c>
      <c r="AB128" s="238">
        <f t="shared" si="61"/>
        <v>0</v>
      </c>
      <c r="AC128" s="238">
        <f t="shared" si="61"/>
        <v>0</v>
      </c>
      <c r="AD128" s="238">
        <f t="shared" si="61"/>
        <v>0</v>
      </c>
      <c r="AE128" s="238">
        <f t="shared" si="61"/>
        <v>0</v>
      </c>
      <c r="AF128" s="238">
        <f t="shared" si="61"/>
        <v>0</v>
      </c>
      <c r="AG128" s="238">
        <f t="shared" si="61"/>
        <v>0</v>
      </c>
      <c r="AH128" s="238">
        <f t="shared" si="61"/>
        <v>0</v>
      </c>
      <c r="AI128" s="238">
        <f t="shared" si="61"/>
        <v>0</v>
      </c>
      <c r="AJ128" s="238">
        <f t="shared" si="61"/>
        <v>0</v>
      </c>
      <c r="AK128" s="238">
        <f t="shared" si="61"/>
        <v>0</v>
      </c>
      <c r="AL128" s="238">
        <f t="shared" si="61"/>
        <v>0</v>
      </c>
      <c r="AM128" s="238">
        <f t="shared" si="61"/>
        <v>0</v>
      </c>
      <c r="AN128" s="238">
        <f t="shared" si="60"/>
        <v>0</v>
      </c>
      <c r="AO128" s="238">
        <f t="shared" si="60"/>
        <v>0</v>
      </c>
      <c r="AP128" s="238">
        <f t="shared" si="60"/>
        <v>0</v>
      </c>
      <c r="AQ128" s="238">
        <f t="shared" si="60"/>
        <v>0</v>
      </c>
    </row>
    <row r="129" spans="1:43" ht="18" customHeight="1" outlineLevel="1" x14ac:dyDescent="0.15">
      <c r="A129" s="216" t="s">
        <v>313</v>
      </c>
      <c r="B129" s="216" t="s">
        <v>162</v>
      </c>
      <c r="C129" s="217">
        <f t="shared" si="43"/>
        <v>9746</v>
      </c>
      <c r="D129" s="201">
        <f>ROUND(D111/(1+基础数据!$C$22)*基础数据!$D$22,0)</f>
        <v>0</v>
      </c>
      <c r="E129" s="201">
        <f>ROUND(E111/(1+基础数据!$C$22)*基础数据!$D$22,0)</f>
        <v>0</v>
      </c>
      <c r="F129" s="201">
        <f>ROUND(F111/(1+基础数据!$C$22)*基础数据!$D$22,0)</f>
        <v>0</v>
      </c>
      <c r="G129" s="201">
        <f>ROUND(G111/(1+基础数据!$C$22)*基础数据!$D$22,0)</f>
        <v>1381</v>
      </c>
      <c r="H129" s="201">
        <f>ROUND(H111/(1+基础数据!$C$22)*基础数据!$D$22,0)</f>
        <v>1368</v>
      </c>
      <c r="I129" s="201">
        <f>ROUND(I111/(1+基础数据!$C$22)*基础数据!$D$22,0)</f>
        <v>1628</v>
      </c>
      <c r="J129" s="201">
        <f>ROUND(J111/(1+基础数据!$C$22)*基础数据!$D$22,0)</f>
        <v>1578</v>
      </c>
      <c r="K129" s="201">
        <f>ROUND(K111/(1+基础数据!$C$22)*基础数据!$D$22,0)</f>
        <v>1185</v>
      </c>
      <c r="L129" s="201">
        <f>ROUND(L111/(1+基础数据!$C$22)*基础数据!$D$22,0)</f>
        <v>1034</v>
      </c>
      <c r="M129" s="201">
        <f>ROUND(M111/(1+基础数据!$C$22)*基础数据!$D$22,0)</f>
        <v>654</v>
      </c>
      <c r="N129" s="201">
        <f>ROUND(N111/(1+基础数据!$C$22)*基础数据!$D$22,0)</f>
        <v>405</v>
      </c>
      <c r="O129" s="201">
        <f>ROUND(O111/(1+基础数据!$C$22)*基础数据!$D$22,0)</f>
        <v>360</v>
      </c>
      <c r="P129" s="201">
        <f>ROUND(P111/(1+基础数据!$C$22)*基础数据!$D$22,0)</f>
        <v>139</v>
      </c>
      <c r="Q129" s="201">
        <f>ROUND(Q111/(1+基础数据!$C$22)*基础数据!$D$22,0)</f>
        <v>14</v>
      </c>
      <c r="R129" s="201">
        <f>ROUND(R111/(1+基础数据!$C$22)*基础数据!$D$22,0)</f>
        <v>0</v>
      </c>
      <c r="S129" s="201">
        <f>ROUND(S111/(1+基础数据!$C$22)*基础数据!$D$22,0)</f>
        <v>0</v>
      </c>
      <c r="T129" s="201">
        <f>ROUND(T111/(1+基础数据!$C$22)*基础数据!$D$22,0)</f>
        <v>0</v>
      </c>
      <c r="U129" s="201">
        <f>ROUND(U111/(1+基础数据!$C$22)*基础数据!$D$22,0)</f>
        <v>0</v>
      </c>
      <c r="V129" s="201">
        <f>ROUND(V111/(1+基础数据!$C$22)*基础数据!$D$22,0)</f>
        <v>0</v>
      </c>
      <c r="W129" s="201">
        <f>ROUND(W111/(1+基础数据!$C$22)*基础数据!$D$22,0)</f>
        <v>0</v>
      </c>
      <c r="X129" s="201">
        <f>ROUND(X111/(1+基础数据!$C$22)*基础数据!$D$22,0)</f>
        <v>0</v>
      </c>
      <c r="Y129" s="201">
        <f>ROUND(Y111/(1+基础数据!$C$22)*基础数据!$D$22,0)</f>
        <v>0</v>
      </c>
      <c r="Z129" s="201">
        <f>ROUND(Z111/(1+基础数据!$C$22)*基础数据!$D$22,0)</f>
        <v>0</v>
      </c>
      <c r="AA129" s="201">
        <f>ROUND(AA111/(1+基础数据!$C$22)*基础数据!$D$22,0)</f>
        <v>0</v>
      </c>
      <c r="AB129" s="201">
        <f>ROUND(AB111/(1+基础数据!$C$22)*基础数据!$D$22,0)</f>
        <v>0</v>
      </c>
      <c r="AC129" s="201">
        <f>ROUND(AC111/(1+基础数据!$C$22)*基础数据!$D$22,0)</f>
        <v>0</v>
      </c>
      <c r="AD129" s="201">
        <f>ROUND(AD111/(1+基础数据!$C$22)*基础数据!$D$22,0)</f>
        <v>0</v>
      </c>
      <c r="AE129" s="201">
        <f>ROUND(AE111/(1+基础数据!$C$22)*基础数据!$D$22,0)</f>
        <v>0</v>
      </c>
      <c r="AF129" s="201">
        <f>ROUND(AF111/(1+基础数据!$C$22)*基础数据!$D$22,0)</f>
        <v>0</v>
      </c>
      <c r="AG129" s="201">
        <f>ROUND(AG111/(1+基础数据!$C$22)*基础数据!$D$22,0)</f>
        <v>0</v>
      </c>
      <c r="AH129" s="201">
        <f>ROUND(AH111/(1+基础数据!$C$22)*基础数据!$D$22,0)</f>
        <v>0</v>
      </c>
      <c r="AI129" s="201">
        <f>ROUND(AI111/(1+基础数据!$C$22)*基础数据!$D$22,0)</f>
        <v>0</v>
      </c>
      <c r="AJ129" s="201">
        <f>ROUND(AJ111/(1+基础数据!$C$22)*基础数据!$D$22,0)</f>
        <v>0</v>
      </c>
      <c r="AK129" s="201">
        <f>ROUND(AK111/(1+基础数据!$C$22)*基础数据!$D$22,0)</f>
        <v>0</v>
      </c>
      <c r="AL129" s="201">
        <f>ROUND(AL111/(1+基础数据!$C$22)*基础数据!$D$22,0)</f>
        <v>0</v>
      </c>
      <c r="AM129" s="201">
        <f>ROUND(AM111/(1+基础数据!$C$22)*基础数据!$D$22,0)</f>
        <v>0</v>
      </c>
      <c r="AN129" s="201">
        <f>ROUND(AN111/(1+基础数据!$C$22)*基础数据!$D$22,0)</f>
        <v>0</v>
      </c>
      <c r="AO129" s="201">
        <f>ROUND(AO111/(1+基础数据!$C$22)*基础数据!$D$22,0)</f>
        <v>0</v>
      </c>
      <c r="AP129" s="201">
        <f>ROUND(AP111/(1+基础数据!$C$22)*基础数据!$D$22,0)</f>
        <v>0</v>
      </c>
      <c r="AQ129" s="201">
        <f>ROUND(AQ111/(1+基础数据!$C$22)*基础数据!$D$22,0)</f>
        <v>0</v>
      </c>
    </row>
    <row r="130" spans="1:43" ht="18" customHeight="1" outlineLevel="1" x14ac:dyDescent="0.15">
      <c r="A130" s="216" t="s">
        <v>314</v>
      </c>
      <c r="B130" s="210" t="s">
        <v>426</v>
      </c>
      <c r="C130" s="217">
        <f t="shared" si="43"/>
        <v>292</v>
      </c>
      <c r="D130" s="201">
        <f>ROUND(D129*基础数据!$C$23,0)</f>
        <v>0</v>
      </c>
      <c r="E130" s="201">
        <f>ROUND(E129*基础数据!$C$23,0)</f>
        <v>0</v>
      </c>
      <c r="F130" s="201">
        <f>ROUND(F129*基础数据!$C$23,0)</f>
        <v>0</v>
      </c>
      <c r="G130" s="201">
        <f>ROUND(G129*基础数据!$C$23,0)</f>
        <v>41</v>
      </c>
      <c r="H130" s="201">
        <f>ROUND(H129*基础数据!$C$23,0)</f>
        <v>41</v>
      </c>
      <c r="I130" s="201">
        <f>ROUND(I129*基础数据!$C$23,0)</f>
        <v>49</v>
      </c>
      <c r="J130" s="201">
        <f>ROUND(J129*基础数据!$C$23,0)</f>
        <v>47</v>
      </c>
      <c r="K130" s="201">
        <f>ROUND(K129*基础数据!$C$23,0)</f>
        <v>36</v>
      </c>
      <c r="L130" s="201">
        <f>ROUND(L129*基础数据!$C$23,0)</f>
        <v>31</v>
      </c>
      <c r="M130" s="201">
        <f>ROUND(M129*基础数据!$C$23,0)</f>
        <v>20</v>
      </c>
      <c r="N130" s="201">
        <f>ROUND(N129*基础数据!$C$23,0)</f>
        <v>12</v>
      </c>
      <c r="O130" s="201">
        <f>ROUND(O129*基础数据!$C$23,0)</f>
        <v>11</v>
      </c>
      <c r="P130" s="201">
        <f>ROUND(P129*基础数据!$C$23,0)</f>
        <v>4</v>
      </c>
      <c r="Q130" s="201">
        <f>ROUND(Q129*基础数据!$C$23,0)</f>
        <v>0</v>
      </c>
      <c r="R130" s="201">
        <f>ROUND(R129*基础数据!$C$23,0)</f>
        <v>0</v>
      </c>
      <c r="S130" s="201">
        <f>ROUND(S129*基础数据!$C$23,0)</f>
        <v>0</v>
      </c>
      <c r="T130" s="201">
        <f>ROUND(T129*基础数据!$C$23,0)</f>
        <v>0</v>
      </c>
      <c r="U130" s="201">
        <f>ROUND(U129*基础数据!$C$23,0)</f>
        <v>0</v>
      </c>
      <c r="V130" s="201">
        <f>ROUND(V129*基础数据!$C$23,0)</f>
        <v>0</v>
      </c>
      <c r="W130" s="201">
        <f>ROUND(W129*基础数据!$C$23,0)</f>
        <v>0</v>
      </c>
      <c r="X130" s="201">
        <f>ROUND(X129*基础数据!$C$23,0)</f>
        <v>0</v>
      </c>
      <c r="Y130" s="201">
        <f>ROUND(Y129*基础数据!$C$23,0)</f>
        <v>0</v>
      </c>
      <c r="Z130" s="201">
        <f>ROUND(Z129*基础数据!$C$23,0)</f>
        <v>0</v>
      </c>
      <c r="AA130" s="201">
        <f>ROUND(AA129*基础数据!$C$23,0)</f>
        <v>0</v>
      </c>
      <c r="AB130" s="201">
        <f>ROUND(AB129*基础数据!$C$23,0)</f>
        <v>0</v>
      </c>
      <c r="AC130" s="201">
        <f>ROUND(AC129*基础数据!$C$23,0)</f>
        <v>0</v>
      </c>
      <c r="AD130" s="201">
        <f>ROUND(AD129*基础数据!$C$23,0)</f>
        <v>0</v>
      </c>
      <c r="AE130" s="201">
        <f>ROUND(AE129*基础数据!$C$23,0)</f>
        <v>0</v>
      </c>
      <c r="AF130" s="201">
        <f>ROUND(AF129*基础数据!$C$23,0)</f>
        <v>0</v>
      </c>
      <c r="AG130" s="201">
        <f>ROUND(AG129*基础数据!$C$23,0)</f>
        <v>0</v>
      </c>
      <c r="AH130" s="201">
        <f>ROUND(AH129*基础数据!$C$23,0)</f>
        <v>0</v>
      </c>
      <c r="AI130" s="201">
        <f>ROUND(AI129*基础数据!$C$23,0)</f>
        <v>0</v>
      </c>
      <c r="AJ130" s="201">
        <f>ROUND(AJ129*基础数据!$C$23,0)</f>
        <v>0</v>
      </c>
      <c r="AK130" s="201">
        <f>ROUND(AK129*基础数据!$C$23,0)</f>
        <v>0</v>
      </c>
      <c r="AL130" s="201">
        <f>ROUND(AL129*基础数据!$C$23,0)</f>
        <v>0</v>
      </c>
      <c r="AM130" s="201">
        <f>ROUND(AM129*基础数据!$C$23,0)</f>
        <v>0</v>
      </c>
      <c r="AN130" s="201">
        <f>ROUND(AN129*基础数据!$C$23,0)</f>
        <v>0</v>
      </c>
      <c r="AO130" s="201">
        <f>ROUND(AO129*基础数据!$C$23,0)</f>
        <v>0</v>
      </c>
      <c r="AP130" s="201">
        <f>ROUND(AP129*基础数据!$C$23,0)</f>
        <v>0</v>
      </c>
      <c r="AQ130" s="201">
        <f>ROUND(AQ129*基础数据!$C$23,0)</f>
        <v>0</v>
      </c>
    </row>
    <row r="131" spans="1:43" ht="18" customHeight="1" outlineLevel="1" x14ac:dyDescent="0.15">
      <c r="A131" s="216" t="s">
        <v>315</v>
      </c>
      <c r="B131" s="210" t="s">
        <v>427</v>
      </c>
      <c r="C131" s="217">
        <f t="shared" si="43"/>
        <v>196</v>
      </c>
      <c r="D131" s="201">
        <f>ROUND(D129*基础数据!$C$24,0)</f>
        <v>0</v>
      </c>
      <c r="E131" s="201">
        <f>ROUND(E129*基础数据!$C$24,0)</f>
        <v>0</v>
      </c>
      <c r="F131" s="201">
        <f>ROUND(F129*基础数据!$C$24,0)</f>
        <v>0</v>
      </c>
      <c r="G131" s="201">
        <f>ROUND(G129*基础数据!$C$24,0)</f>
        <v>28</v>
      </c>
      <c r="H131" s="201">
        <f>ROUND(H129*基础数据!$C$24,0)</f>
        <v>27</v>
      </c>
      <c r="I131" s="201">
        <f>ROUND(I129*基础数据!$C$24,0)</f>
        <v>33</v>
      </c>
      <c r="J131" s="201">
        <f>ROUND(J129*基础数据!$C$24,0)</f>
        <v>32</v>
      </c>
      <c r="K131" s="201">
        <f>ROUND(K129*基础数据!$C$24,0)</f>
        <v>24</v>
      </c>
      <c r="L131" s="201">
        <f>ROUND(L129*基础数据!$C$24,0)</f>
        <v>21</v>
      </c>
      <c r="M131" s="201">
        <f>ROUND(M129*基础数据!$C$24,0)</f>
        <v>13</v>
      </c>
      <c r="N131" s="201">
        <f>ROUND(N129*基础数据!$C$24,0)</f>
        <v>8</v>
      </c>
      <c r="O131" s="201">
        <f>ROUND(O129*基础数据!$C$24,0)</f>
        <v>7</v>
      </c>
      <c r="P131" s="201">
        <f>ROUND(P129*基础数据!$C$24,0)</f>
        <v>3</v>
      </c>
      <c r="Q131" s="201">
        <f>ROUND(Q129*基础数据!$C$24,0)</f>
        <v>0</v>
      </c>
      <c r="R131" s="201">
        <f>ROUND(R129*基础数据!$C$24,0)</f>
        <v>0</v>
      </c>
      <c r="S131" s="201">
        <f>ROUND(S129*基础数据!$C$24,0)</f>
        <v>0</v>
      </c>
      <c r="T131" s="201">
        <f>ROUND(T129*基础数据!$C$24,0)</f>
        <v>0</v>
      </c>
      <c r="U131" s="201">
        <f>ROUND(U129*基础数据!$C$24,0)</f>
        <v>0</v>
      </c>
      <c r="V131" s="201">
        <f>ROUND(V129*基础数据!$C$24,0)</f>
        <v>0</v>
      </c>
      <c r="W131" s="201">
        <f>ROUND(W129*基础数据!$C$24,0)</f>
        <v>0</v>
      </c>
      <c r="X131" s="201">
        <f>ROUND(X129*基础数据!$C$24,0)</f>
        <v>0</v>
      </c>
      <c r="Y131" s="201">
        <f>ROUND(Y129*基础数据!$C$24,0)</f>
        <v>0</v>
      </c>
      <c r="Z131" s="201">
        <f>ROUND(Z129*基础数据!$C$24,0)</f>
        <v>0</v>
      </c>
      <c r="AA131" s="201">
        <f>ROUND(AA129*基础数据!$C$24,0)</f>
        <v>0</v>
      </c>
      <c r="AB131" s="201">
        <f>ROUND(AB129*基础数据!$C$24,0)</f>
        <v>0</v>
      </c>
      <c r="AC131" s="201">
        <f>ROUND(AC129*基础数据!$C$24,0)</f>
        <v>0</v>
      </c>
      <c r="AD131" s="201">
        <f>ROUND(AD129*基础数据!$C$24,0)</f>
        <v>0</v>
      </c>
      <c r="AE131" s="201">
        <f>ROUND(AE129*基础数据!$C$24,0)</f>
        <v>0</v>
      </c>
      <c r="AF131" s="201">
        <f>ROUND(AF129*基础数据!$C$24,0)</f>
        <v>0</v>
      </c>
      <c r="AG131" s="201">
        <f>ROUND(AG129*基础数据!$C$24,0)</f>
        <v>0</v>
      </c>
      <c r="AH131" s="201">
        <f>ROUND(AH129*基础数据!$C$24,0)</f>
        <v>0</v>
      </c>
      <c r="AI131" s="201">
        <f>ROUND(AI129*基础数据!$C$24,0)</f>
        <v>0</v>
      </c>
      <c r="AJ131" s="201">
        <f>ROUND(AJ129*基础数据!$C$24,0)</f>
        <v>0</v>
      </c>
      <c r="AK131" s="201">
        <f>ROUND(AK129*基础数据!$C$24,0)</f>
        <v>0</v>
      </c>
      <c r="AL131" s="201">
        <f>ROUND(AL129*基础数据!$C$24,0)</f>
        <v>0</v>
      </c>
      <c r="AM131" s="201">
        <f>ROUND(AM129*基础数据!$C$24,0)</f>
        <v>0</v>
      </c>
      <c r="AN131" s="201">
        <f>ROUND(AN129*基础数据!$C$24,0)</f>
        <v>0</v>
      </c>
      <c r="AO131" s="201">
        <f>ROUND(AO129*基础数据!$C$24,0)</f>
        <v>0</v>
      </c>
      <c r="AP131" s="201">
        <f>ROUND(AP129*基础数据!$C$24,0)</f>
        <v>0</v>
      </c>
      <c r="AQ131" s="201">
        <f>ROUND(AQ129*基础数据!$C$24,0)</f>
        <v>0</v>
      </c>
    </row>
    <row r="132" spans="1:43" ht="18" customHeight="1" outlineLevel="1" x14ac:dyDescent="0.15">
      <c r="A132" s="216" t="s">
        <v>316</v>
      </c>
      <c r="B132" s="210" t="s">
        <v>428</v>
      </c>
      <c r="C132" s="217">
        <f t="shared" si="43"/>
        <v>682</v>
      </c>
      <c r="D132" s="201">
        <f>ROUND(D129*基础数据!$C$25,0)</f>
        <v>0</v>
      </c>
      <c r="E132" s="201">
        <f>ROUND(E129*基础数据!$C$25,0)</f>
        <v>0</v>
      </c>
      <c r="F132" s="201">
        <f>ROUND(F129*基础数据!$C$25,0)</f>
        <v>0</v>
      </c>
      <c r="G132" s="201">
        <f>ROUND(G129*基础数据!$C$25,0)</f>
        <v>97</v>
      </c>
      <c r="H132" s="201">
        <f>ROUND(H129*基础数据!$C$25,0)</f>
        <v>96</v>
      </c>
      <c r="I132" s="201">
        <f>ROUND(I129*基础数据!$C$25,0)</f>
        <v>114</v>
      </c>
      <c r="J132" s="201">
        <f>ROUND(J129*基础数据!$C$25,0)</f>
        <v>110</v>
      </c>
      <c r="K132" s="201">
        <f>ROUND(K129*基础数据!$C$25,0)</f>
        <v>83</v>
      </c>
      <c r="L132" s="201">
        <f>ROUND(L129*基础数据!$C$25,0)</f>
        <v>72</v>
      </c>
      <c r="M132" s="201">
        <f>ROUND(M129*基础数据!$C$25,0)</f>
        <v>46</v>
      </c>
      <c r="N132" s="201">
        <f>ROUND(N129*基础数据!$C$25,0)</f>
        <v>28</v>
      </c>
      <c r="O132" s="201">
        <f>ROUND(O129*基础数据!$C$25,0)</f>
        <v>25</v>
      </c>
      <c r="P132" s="201">
        <f>ROUND(P129*基础数据!$C$25,0)</f>
        <v>10</v>
      </c>
      <c r="Q132" s="201">
        <f>ROUND(Q129*基础数据!$C$25,0)</f>
        <v>1</v>
      </c>
      <c r="R132" s="201">
        <f>ROUND(R129*基础数据!$C$25,0)</f>
        <v>0</v>
      </c>
      <c r="S132" s="201">
        <f>ROUND(S129*基础数据!$C$25,0)</f>
        <v>0</v>
      </c>
      <c r="T132" s="201">
        <f>ROUND(T129*基础数据!$C$25,0)</f>
        <v>0</v>
      </c>
      <c r="U132" s="201">
        <f>ROUND(U129*基础数据!$C$25,0)</f>
        <v>0</v>
      </c>
      <c r="V132" s="201">
        <f>ROUND(V129*基础数据!$C$25,0)</f>
        <v>0</v>
      </c>
      <c r="W132" s="201">
        <f>ROUND(W129*基础数据!$C$25,0)</f>
        <v>0</v>
      </c>
      <c r="X132" s="201">
        <f>ROUND(X129*基础数据!$C$25,0)</f>
        <v>0</v>
      </c>
      <c r="Y132" s="201">
        <f>ROUND(Y129*基础数据!$C$25,0)</f>
        <v>0</v>
      </c>
      <c r="Z132" s="201">
        <f>ROUND(Z129*基础数据!$C$25,0)</f>
        <v>0</v>
      </c>
      <c r="AA132" s="201">
        <f>ROUND(AA129*基础数据!$C$25,0)</f>
        <v>0</v>
      </c>
      <c r="AB132" s="201">
        <f>ROUND(AB129*基础数据!$C$25,0)</f>
        <v>0</v>
      </c>
      <c r="AC132" s="201">
        <f>ROUND(AC129*基础数据!$C$25,0)</f>
        <v>0</v>
      </c>
      <c r="AD132" s="201">
        <f>ROUND(AD129*基础数据!$C$25,0)</f>
        <v>0</v>
      </c>
      <c r="AE132" s="201">
        <f>ROUND(AE129*基础数据!$C$25,0)</f>
        <v>0</v>
      </c>
      <c r="AF132" s="201">
        <f>ROUND(AF129*基础数据!$C$25,0)</f>
        <v>0</v>
      </c>
      <c r="AG132" s="201">
        <f>ROUND(AG129*基础数据!$C$25,0)</f>
        <v>0</v>
      </c>
      <c r="AH132" s="201">
        <f>ROUND(AH129*基础数据!$C$25,0)</f>
        <v>0</v>
      </c>
      <c r="AI132" s="201">
        <f>ROUND(AI129*基础数据!$C$25,0)</f>
        <v>0</v>
      </c>
      <c r="AJ132" s="201">
        <f>ROUND(AJ129*基础数据!$C$25,0)</f>
        <v>0</v>
      </c>
      <c r="AK132" s="201">
        <f>ROUND(AK129*基础数据!$C$25,0)</f>
        <v>0</v>
      </c>
      <c r="AL132" s="201">
        <f>ROUND(AL129*基础数据!$C$25,0)</f>
        <v>0</v>
      </c>
      <c r="AM132" s="201">
        <f>ROUND(AM129*基础数据!$C$25,0)</f>
        <v>0</v>
      </c>
      <c r="AN132" s="201">
        <f>ROUND(AN129*基础数据!$C$25,0)</f>
        <v>0</v>
      </c>
      <c r="AO132" s="201">
        <f>ROUND(AO129*基础数据!$C$25,0)</f>
        <v>0</v>
      </c>
      <c r="AP132" s="201">
        <f>ROUND(AP129*基础数据!$C$25,0)</f>
        <v>0</v>
      </c>
      <c r="AQ132" s="201">
        <f>ROUND(AQ129*基础数据!$C$25,0)</f>
        <v>0</v>
      </c>
    </row>
    <row r="133" spans="1:43" ht="18" customHeight="1" x14ac:dyDescent="0.15">
      <c r="A133" s="209"/>
      <c r="B133" s="211"/>
      <c r="C133" s="211"/>
      <c r="D133" s="206"/>
      <c r="E133" s="206"/>
      <c r="F133" s="202"/>
      <c r="G133" s="202"/>
      <c r="H133" s="202"/>
      <c r="I133" s="202"/>
      <c r="J133" s="203"/>
      <c r="K133" s="203"/>
      <c r="L133" s="203"/>
      <c r="M133" s="203"/>
      <c r="N133" s="203"/>
      <c r="O133" s="204"/>
      <c r="P133" s="204"/>
      <c r="Q133" s="204"/>
      <c r="R133" s="204"/>
      <c r="S133" s="204"/>
      <c r="T133" s="204"/>
      <c r="U133" s="204"/>
      <c r="V133" s="204"/>
      <c r="W133" s="204"/>
      <c r="X133" s="202"/>
      <c r="Y133" s="202"/>
      <c r="Z133" s="203"/>
      <c r="AA133" s="203"/>
      <c r="AB133" s="203"/>
      <c r="AC133" s="203"/>
      <c r="AD133" s="203"/>
      <c r="AE133" s="204"/>
      <c r="AF133" s="204"/>
      <c r="AG133" s="204"/>
      <c r="AH133" s="204"/>
      <c r="AI133" s="204"/>
      <c r="AJ133" s="204"/>
      <c r="AK133" s="204"/>
      <c r="AL133" s="204"/>
      <c r="AM133" s="204"/>
      <c r="AN133" s="204"/>
      <c r="AO133" s="204"/>
      <c r="AP133" s="204"/>
      <c r="AQ133" s="204"/>
    </row>
    <row r="134" spans="1:43" ht="18" customHeight="1" collapsed="1" x14ac:dyDescent="0.15">
      <c r="A134" s="221"/>
      <c r="B134" s="219" t="s">
        <v>429</v>
      </c>
      <c r="C134" s="220"/>
      <c r="D134" s="207"/>
      <c r="E134" s="207"/>
      <c r="F134" s="208"/>
      <c r="G134" s="202"/>
      <c r="H134" s="202"/>
      <c r="I134" s="202"/>
      <c r="J134" s="203"/>
      <c r="K134" s="203"/>
      <c r="L134" s="203"/>
      <c r="M134" s="203"/>
      <c r="N134" s="203"/>
      <c r="O134" s="204"/>
      <c r="P134" s="204"/>
      <c r="Q134" s="204"/>
      <c r="R134" s="204"/>
      <c r="S134" s="204"/>
      <c r="T134" s="204"/>
      <c r="U134" s="204"/>
      <c r="V134" s="204"/>
      <c r="W134" s="204"/>
      <c r="X134" s="208"/>
      <c r="Y134" s="202"/>
      <c r="Z134" s="203"/>
      <c r="AA134" s="203"/>
      <c r="AB134" s="203"/>
      <c r="AC134" s="203"/>
      <c r="AD134" s="203"/>
      <c r="AE134" s="204"/>
      <c r="AF134" s="204"/>
      <c r="AG134" s="204"/>
      <c r="AH134" s="204"/>
      <c r="AI134" s="204"/>
      <c r="AJ134" s="204"/>
      <c r="AK134" s="204"/>
      <c r="AL134" s="204"/>
      <c r="AM134" s="204"/>
      <c r="AN134" s="204"/>
      <c r="AO134" s="204"/>
      <c r="AP134" s="204"/>
      <c r="AQ134" s="204"/>
    </row>
    <row r="135" spans="1:43" ht="18" hidden="1" customHeight="1" outlineLevel="1" x14ac:dyDescent="0.15">
      <c r="A135" s="639"/>
      <c r="B135" s="640"/>
      <c r="C135" s="641"/>
      <c r="D135" s="708" t="s">
        <v>586</v>
      </c>
      <c r="E135" s="684"/>
      <c r="F135" s="685"/>
      <c r="G135" s="202"/>
      <c r="H135" s="202"/>
      <c r="I135" s="202"/>
      <c r="J135" s="203"/>
      <c r="K135" s="203"/>
      <c r="L135" s="203"/>
      <c r="M135" s="203"/>
      <c r="N135" s="203"/>
      <c r="O135" s="204"/>
      <c r="P135" s="204"/>
      <c r="Q135" s="204"/>
      <c r="R135" s="204"/>
      <c r="S135" s="204"/>
      <c r="T135" s="204"/>
      <c r="U135" s="204"/>
      <c r="V135" s="204"/>
      <c r="W135" s="204"/>
      <c r="X135" s="203"/>
      <c r="Y135" s="202"/>
      <c r="Z135" s="203"/>
      <c r="AA135" s="203"/>
      <c r="AB135" s="203"/>
      <c r="AC135" s="203"/>
      <c r="AD135" s="203"/>
      <c r="AE135" s="204"/>
      <c r="AF135" s="204"/>
      <c r="AG135" s="204"/>
      <c r="AH135" s="204"/>
      <c r="AI135" s="204"/>
      <c r="AJ135" s="204"/>
      <c r="AK135" s="204"/>
      <c r="AL135" s="204"/>
      <c r="AM135" s="204"/>
      <c r="AN135" s="204"/>
      <c r="AO135" s="204"/>
      <c r="AP135" s="204"/>
      <c r="AQ135" s="204"/>
    </row>
    <row r="136" spans="1:43" ht="18" hidden="1" customHeight="1" outlineLevel="1" x14ac:dyDescent="0.15">
      <c r="A136" s="686" t="s">
        <v>587</v>
      </c>
      <c r="B136" s="633" t="str">
        <f t="shared" ref="B136:B150" si="62">B112</f>
        <v>小高层</v>
      </c>
      <c r="C136" s="211"/>
      <c r="D136" s="705">
        <v>0.7</v>
      </c>
      <c r="E136" s="705">
        <f>1-D136</f>
        <v>0.3</v>
      </c>
      <c r="F136" s="642">
        <v>0</v>
      </c>
      <c r="G136" s="202"/>
      <c r="H136" s="202"/>
      <c r="I136" s="202"/>
      <c r="J136" s="203"/>
      <c r="K136" s="203"/>
      <c r="L136" s="203"/>
      <c r="M136" s="203"/>
      <c r="N136" s="203"/>
      <c r="O136" s="204"/>
      <c r="P136" s="204"/>
      <c r="Q136" s="204"/>
      <c r="R136" s="204"/>
      <c r="S136" s="204"/>
      <c r="T136" s="204"/>
      <c r="U136" s="204"/>
      <c r="V136" s="204"/>
      <c r="W136" s="204"/>
      <c r="X136" s="203"/>
      <c r="Y136" s="202"/>
      <c r="Z136" s="203"/>
      <c r="AA136" s="203"/>
      <c r="AB136" s="203"/>
      <c r="AC136" s="203"/>
      <c r="AD136" s="203"/>
      <c r="AE136" s="204"/>
      <c r="AF136" s="204"/>
      <c r="AG136" s="204"/>
      <c r="AH136" s="204"/>
      <c r="AI136" s="204"/>
      <c r="AJ136" s="204"/>
      <c r="AK136" s="204"/>
      <c r="AL136" s="204"/>
      <c r="AM136" s="204"/>
      <c r="AN136" s="204"/>
      <c r="AO136" s="204"/>
      <c r="AP136" s="204"/>
      <c r="AQ136" s="204"/>
    </row>
    <row r="137" spans="1:43" ht="18" hidden="1" customHeight="1" outlineLevel="1" x14ac:dyDescent="0.15">
      <c r="A137" s="686" t="s">
        <v>588</v>
      </c>
      <c r="B137" s="633" t="str">
        <f t="shared" si="62"/>
        <v>洋房</v>
      </c>
      <c r="C137" s="211"/>
      <c r="D137" s="706">
        <f t="shared" ref="D137:E139" si="63">D136</f>
        <v>0.7</v>
      </c>
      <c r="E137" s="706">
        <f t="shared" si="63"/>
        <v>0.3</v>
      </c>
      <c r="F137" s="643">
        <v>0</v>
      </c>
      <c r="G137" s="202"/>
      <c r="H137" s="202"/>
      <c r="I137" s="202"/>
      <c r="J137" s="203"/>
      <c r="K137" s="203"/>
      <c r="L137" s="203"/>
      <c r="M137" s="203"/>
      <c r="N137" s="203"/>
      <c r="O137" s="204"/>
      <c r="P137" s="204"/>
      <c r="Q137" s="204"/>
      <c r="R137" s="204"/>
      <c r="S137" s="204"/>
      <c r="T137" s="204"/>
      <c r="U137" s="204"/>
      <c r="V137" s="204"/>
      <c r="W137" s="204"/>
      <c r="X137" s="203"/>
      <c r="Y137" s="202"/>
      <c r="Z137" s="203"/>
      <c r="AA137" s="203"/>
      <c r="AB137" s="203"/>
      <c r="AC137" s="203"/>
      <c r="AD137" s="203"/>
      <c r="AE137" s="204"/>
      <c r="AF137" s="204"/>
      <c r="AG137" s="204"/>
      <c r="AH137" s="204"/>
      <c r="AI137" s="204"/>
      <c r="AJ137" s="204"/>
      <c r="AK137" s="204"/>
      <c r="AL137" s="204"/>
      <c r="AM137" s="204"/>
      <c r="AN137" s="204"/>
      <c r="AO137" s="204"/>
      <c r="AP137" s="204"/>
      <c r="AQ137" s="204"/>
    </row>
    <row r="138" spans="1:43" ht="18" hidden="1" customHeight="1" outlineLevel="1" x14ac:dyDescent="0.15">
      <c r="A138" s="686" t="s">
        <v>589</v>
      </c>
      <c r="B138" s="633" t="str">
        <f t="shared" si="62"/>
        <v>商业</v>
      </c>
      <c r="C138" s="211"/>
      <c r="D138" s="706">
        <f t="shared" si="63"/>
        <v>0.7</v>
      </c>
      <c r="E138" s="706">
        <f t="shared" si="63"/>
        <v>0.3</v>
      </c>
      <c r="F138" s="643">
        <v>0</v>
      </c>
      <c r="G138" s="202"/>
      <c r="H138" s="202"/>
      <c r="I138" s="202"/>
      <c r="J138" s="203"/>
      <c r="K138" s="203"/>
      <c r="L138" s="203"/>
      <c r="M138" s="203"/>
      <c r="N138" s="203"/>
      <c r="O138" s="204"/>
      <c r="P138" s="204"/>
      <c r="Q138" s="204"/>
      <c r="R138" s="204"/>
      <c r="S138" s="204"/>
      <c r="T138" s="204"/>
      <c r="U138" s="204"/>
      <c r="V138" s="204"/>
      <c r="W138" s="204"/>
      <c r="X138" s="203"/>
      <c r="Y138" s="202"/>
      <c r="Z138" s="203"/>
      <c r="AA138" s="203"/>
      <c r="AB138" s="203"/>
      <c r="AC138" s="203"/>
      <c r="AD138" s="203"/>
      <c r="AE138" s="204"/>
      <c r="AF138" s="204"/>
      <c r="AG138" s="204"/>
      <c r="AH138" s="204"/>
      <c r="AI138" s="204"/>
      <c r="AJ138" s="204"/>
      <c r="AK138" s="204"/>
      <c r="AL138" s="204"/>
      <c r="AM138" s="204"/>
      <c r="AN138" s="204"/>
      <c r="AO138" s="204"/>
      <c r="AP138" s="204"/>
      <c r="AQ138" s="204"/>
    </row>
    <row r="139" spans="1:43" ht="18" hidden="1" customHeight="1" outlineLevel="1" x14ac:dyDescent="0.15">
      <c r="A139" s="686" t="s">
        <v>590</v>
      </c>
      <c r="B139" s="633" t="str">
        <f t="shared" si="62"/>
        <v>储藏室</v>
      </c>
      <c r="C139" s="211"/>
      <c r="D139" s="706">
        <f t="shared" si="63"/>
        <v>0.7</v>
      </c>
      <c r="E139" s="706">
        <f t="shared" si="63"/>
        <v>0.3</v>
      </c>
      <c r="F139" s="643">
        <v>0</v>
      </c>
      <c r="G139" s="202"/>
      <c r="H139" s="202"/>
      <c r="I139" s="202"/>
      <c r="J139" s="203"/>
      <c r="K139" s="203"/>
      <c r="L139" s="203"/>
      <c r="M139" s="203"/>
      <c r="N139" s="203"/>
      <c r="O139" s="204"/>
      <c r="P139" s="204"/>
      <c r="Q139" s="204"/>
      <c r="R139" s="204"/>
      <c r="S139" s="204"/>
      <c r="T139" s="204"/>
      <c r="U139" s="204"/>
      <c r="V139" s="204"/>
      <c r="W139" s="204"/>
      <c r="X139" s="203"/>
      <c r="Y139" s="202"/>
      <c r="Z139" s="203"/>
      <c r="AA139" s="203"/>
      <c r="AB139" s="203"/>
      <c r="AC139" s="203"/>
      <c r="AD139" s="203"/>
      <c r="AE139" s="204"/>
      <c r="AF139" s="204"/>
      <c r="AG139" s="204"/>
      <c r="AH139" s="204"/>
      <c r="AI139" s="204"/>
      <c r="AJ139" s="204"/>
      <c r="AK139" s="204"/>
      <c r="AL139" s="204"/>
      <c r="AM139" s="204"/>
      <c r="AN139" s="204"/>
      <c r="AO139" s="204"/>
      <c r="AP139" s="204"/>
      <c r="AQ139" s="204"/>
    </row>
    <row r="140" spans="1:43" ht="18" hidden="1" customHeight="1" outlineLevel="1" x14ac:dyDescent="0.15">
      <c r="A140" s="686" t="s">
        <v>591</v>
      </c>
      <c r="B140" s="633" t="str">
        <f t="shared" si="62"/>
        <v>非人防地下车库</v>
      </c>
      <c r="C140" s="211"/>
      <c r="D140" s="706"/>
      <c r="E140" s="706"/>
      <c r="F140" s="643"/>
      <c r="G140" s="202"/>
      <c r="H140" s="202"/>
      <c r="I140" s="202"/>
      <c r="J140" s="203"/>
      <c r="K140" s="203"/>
      <c r="L140" s="203"/>
      <c r="M140" s="203"/>
      <c r="N140" s="203"/>
      <c r="O140" s="204"/>
      <c r="P140" s="204"/>
      <c r="Q140" s="204"/>
      <c r="R140" s="204"/>
      <c r="S140" s="204"/>
      <c r="T140" s="204"/>
      <c r="U140" s="204"/>
      <c r="V140" s="204"/>
      <c r="W140" s="204"/>
      <c r="X140" s="203"/>
      <c r="Y140" s="202"/>
      <c r="Z140" s="203"/>
      <c r="AA140" s="203"/>
      <c r="AB140" s="203"/>
      <c r="AC140" s="203"/>
      <c r="AD140" s="203"/>
      <c r="AE140" s="204"/>
      <c r="AF140" s="204"/>
      <c r="AG140" s="204"/>
      <c r="AH140" s="204"/>
      <c r="AI140" s="204"/>
      <c r="AJ140" s="204"/>
      <c r="AK140" s="204"/>
      <c r="AL140" s="204"/>
      <c r="AM140" s="204"/>
      <c r="AN140" s="204"/>
      <c r="AO140" s="204"/>
      <c r="AP140" s="204"/>
      <c r="AQ140" s="204"/>
    </row>
    <row r="141" spans="1:43" ht="18" hidden="1" customHeight="1" outlineLevel="1" x14ac:dyDescent="0.15">
      <c r="A141" s="686" t="s">
        <v>592</v>
      </c>
      <c r="B141" s="633">
        <f t="shared" si="62"/>
        <v>0</v>
      </c>
      <c r="C141" s="212"/>
      <c r="D141" s="706"/>
      <c r="E141" s="706"/>
      <c r="F141" s="643"/>
      <c r="G141" s="202"/>
      <c r="H141" s="202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</row>
    <row r="142" spans="1:43" ht="18" hidden="1" customHeight="1" outlineLevel="1" x14ac:dyDescent="0.15">
      <c r="A142" s="686" t="s">
        <v>593</v>
      </c>
      <c r="B142" s="633">
        <f t="shared" si="62"/>
        <v>0</v>
      </c>
      <c r="C142" s="213"/>
      <c r="D142" s="706"/>
      <c r="E142" s="706"/>
      <c r="F142" s="643"/>
      <c r="G142" s="202"/>
      <c r="H142" s="202"/>
      <c r="I142" s="205"/>
      <c r="J142" s="206"/>
      <c r="K142" s="206"/>
      <c r="L142" s="206"/>
      <c r="M142" s="206"/>
      <c r="N142" s="206"/>
      <c r="O142" s="206"/>
      <c r="P142" s="203"/>
      <c r="Q142" s="203"/>
      <c r="R142" s="203"/>
      <c r="S142" s="203"/>
      <c r="T142" s="203"/>
      <c r="U142" s="203"/>
      <c r="V142" s="203"/>
      <c r="W142" s="203"/>
      <c r="X142" s="203"/>
      <c r="Y142" s="205"/>
      <c r="Z142" s="206"/>
      <c r="AA142" s="206"/>
      <c r="AB142" s="206"/>
      <c r="AC142" s="206"/>
      <c r="AD142" s="206"/>
      <c r="AE142" s="206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</row>
    <row r="143" spans="1:43" ht="18" hidden="1" customHeight="1" outlineLevel="1" x14ac:dyDescent="0.15">
      <c r="A143" s="686" t="s">
        <v>594</v>
      </c>
      <c r="B143" s="633">
        <f t="shared" si="62"/>
        <v>0</v>
      </c>
      <c r="C143" s="214"/>
      <c r="D143" s="706"/>
      <c r="E143" s="706"/>
      <c r="F143" s="643"/>
      <c r="G143" s="202"/>
      <c r="H143" s="202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</row>
    <row r="144" spans="1:43" ht="18" hidden="1" customHeight="1" outlineLevel="1" x14ac:dyDescent="0.15">
      <c r="A144" s="686" t="s">
        <v>595</v>
      </c>
      <c r="B144" s="633">
        <f t="shared" si="62"/>
        <v>0</v>
      </c>
      <c r="C144" s="215"/>
      <c r="D144" s="706"/>
      <c r="E144" s="706"/>
      <c r="F144" s="643"/>
      <c r="G144" s="202"/>
      <c r="H144" s="202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</row>
    <row r="145" spans="1:43" ht="18" hidden="1" customHeight="1" outlineLevel="1" x14ac:dyDescent="0.15">
      <c r="A145" s="686" t="s">
        <v>596</v>
      </c>
      <c r="B145" s="633">
        <f t="shared" si="62"/>
        <v>0</v>
      </c>
      <c r="C145" s="215"/>
      <c r="D145" s="706"/>
      <c r="E145" s="706"/>
      <c r="F145" s="643"/>
      <c r="G145" s="202"/>
      <c r="H145" s="202"/>
      <c r="I145" s="202"/>
      <c r="J145" s="202"/>
      <c r="K145" s="202"/>
      <c r="L145" s="202"/>
      <c r="M145" s="202"/>
      <c r="N145" s="202"/>
      <c r="O145" s="202"/>
      <c r="P145" s="202"/>
      <c r="Q145" s="202"/>
      <c r="R145" s="202"/>
      <c r="S145" s="202"/>
      <c r="T145" s="202"/>
      <c r="U145" s="202"/>
      <c r="V145" s="202"/>
      <c r="W145" s="202"/>
      <c r="X145" s="203"/>
      <c r="Y145" s="202"/>
      <c r="Z145" s="202"/>
      <c r="AA145" s="202"/>
      <c r="AB145" s="202"/>
      <c r="AC145" s="202"/>
      <c r="AD145" s="202"/>
      <c r="AE145" s="202"/>
      <c r="AF145" s="202"/>
      <c r="AG145" s="202"/>
      <c r="AH145" s="202"/>
      <c r="AI145" s="202"/>
      <c r="AJ145" s="202"/>
      <c r="AK145" s="202"/>
      <c r="AL145" s="202"/>
      <c r="AM145" s="202"/>
      <c r="AN145" s="202"/>
      <c r="AO145" s="202"/>
      <c r="AP145" s="202"/>
      <c r="AQ145" s="202"/>
    </row>
    <row r="146" spans="1:43" ht="18" hidden="1" customHeight="1" outlineLevel="1" x14ac:dyDescent="0.15">
      <c r="A146" s="686" t="s">
        <v>597</v>
      </c>
      <c r="B146" s="633">
        <f t="shared" si="62"/>
        <v>0</v>
      </c>
      <c r="C146" s="213"/>
      <c r="D146" s="706"/>
      <c r="E146" s="706"/>
      <c r="F146" s="643"/>
      <c r="G146" s="202"/>
      <c r="H146" s="202"/>
      <c r="I146" s="202"/>
      <c r="J146" s="202"/>
      <c r="K146" s="202"/>
      <c r="L146" s="202"/>
      <c r="M146" s="202"/>
      <c r="N146" s="202"/>
      <c r="O146" s="202"/>
      <c r="P146" s="202"/>
      <c r="Q146" s="202"/>
      <c r="R146" s="202"/>
      <c r="S146" s="202"/>
      <c r="T146" s="202"/>
      <c r="U146" s="202"/>
      <c r="V146" s="202"/>
      <c r="W146" s="202"/>
      <c r="X146" s="203"/>
      <c r="Y146" s="202"/>
      <c r="Z146" s="202"/>
      <c r="AA146" s="202"/>
      <c r="AB146" s="202"/>
      <c r="AC146" s="202"/>
      <c r="AD146" s="202"/>
      <c r="AE146" s="202"/>
      <c r="AF146" s="202"/>
      <c r="AG146" s="202"/>
      <c r="AH146" s="202"/>
      <c r="AI146" s="202"/>
      <c r="AJ146" s="202"/>
      <c r="AK146" s="202"/>
      <c r="AL146" s="202"/>
      <c r="AM146" s="202"/>
      <c r="AN146" s="202"/>
      <c r="AO146" s="202"/>
      <c r="AP146" s="202"/>
      <c r="AQ146" s="202"/>
    </row>
    <row r="147" spans="1:43" ht="18" hidden="1" customHeight="1" outlineLevel="1" x14ac:dyDescent="0.15">
      <c r="A147" s="686" t="s">
        <v>598</v>
      </c>
      <c r="B147" s="633">
        <f t="shared" si="62"/>
        <v>0</v>
      </c>
      <c r="C147" s="214"/>
      <c r="D147" s="706"/>
      <c r="E147" s="706"/>
      <c r="F147" s="643"/>
      <c r="G147" s="202"/>
      <c r="H147" s="202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</row>
    <row r="148" spans="1:43" ht="18" hidden="1" customHeight="1" outlineLevel="1" x14ac:dyDescent="0.15">
      <c r="A148" s="686" t="s">
        <v>599</v>
      </c>
      <c r="B148" s="633">
        <f t="shared" si="62"/>
        <v>0</v>
      </c>
      <c r="C148" s="215"/>
      <c r="D148" s="706"/>
      <c r="E148" s="706"/>
      <c r="F148" s="643"/>
      <c r="G148" s="202"/>
      <c r="H148" s="202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</row>
    <row r="149" spans="1:43" ht="18" hidden="1" customHeight="1" outlineLevel="1" x14ac:dyDescent="0.15">
      <c r="A149" s="686" t="s">
        <v>600</v>
      </c>
      <c r="B149" s="633">
        <f t="shared" si="62"/>
        <v>0</v>
      </c>
      <c r="C149" s="215"/>
      <c r="D149" s="706"/>
      <c r="E149" s="706"/>
      <c r="F149" s="643"/>
      <c r="G149" s="202"/>
      <c r="H149" s="202"/>
      <c r="I149" s="202"/>
      <c r="J149" s="202"/>
      <c r="K149" s="202"/>
      <c r="L149" s="202"/>
      <c r="M149" s="202"/>
      <c r="N149" s="202"/>
      <c r="O149" s="202"/>
      <c r="P149" s="202"/>
      <c r="Q149" s="202"/>
      <c r="R149" s="202"/>
      <c r="S149" s="202"/>
      <c r="T149" s="202"/>
      <c r="U149" s="202"/>
      <c r="V149" s="202"/>
      <c r="W149" s="202"/>
      <c r="X149" s="203"/>
      <c r="Y149" s="202"/>
      <c r="Z149" s="202"/>
      <c r="AA149" s="202"/>
      <c r="AB149" s="202"/>
      <c r="AC149" s="202"/>
      <c r="AD149" s="202"/>
      <c r="AE149" s="202"/>
      <c r="AF149" s="202"/>
      <c r="AG149" s="202"/>
      <c r="AH149" s="202"/>
      <c r="AI149" s="202"/>
      <c r="AJ149" s="202"/>
      <c r="AK149" s="202"/>
      <c r="AL149" s="202"/>
      <c r="AM149" s="202"/>
      <c r="AN149" s="202"/>
      <c r="AO149" s="202"/>
      <c r="AP149" s="202"/>
      <c r="AQ149" s="202"/>
    </row>
    <row r="150" spans="1:43" ht="18" hidden="1" customHeight="1" outlineLevel="1" x14ac:dyDescent="0.15">
      <c r="A150" s="686" t="s">
        <v>601</v>
      </c>
      <c r="B150" s="633">
        <f t="shared" si="62"/>
        <v>0</v>
      </c>
      <c r="C150" s="213"/>
      <c r="D150" s="707">
        <f>D139</f>
        <v>0.7</v>
      </c>
      <c r="E150" s="707">
        <f>E139</f>
        <v>0.3</v>
      </c>
      <c r="F150" s="644">
        <v>0</v>
      </c>
      <c r="G150" s="202"/>
      <c r="H150" s="202"/>
      <c r="I150" s="202"/>
      <c r="J150" s="202"/>
      <c r="K150" s="202"/>
      <c r="L150" s="202"/>
      <c r="M150" s="202"/>
      <c r="N150" s="202"/>
      <c r="O150" s="202"/>
      <c r="P150" s="202"/>
      <c r="Q150" s="202"/>
      <c r="R150" s="202"/>
      <c r="S150" s="202"/>
      <c r="T150" s="202"/>
      <c r="U150" s="202"/>
      <c r="V150" s="202"/>
      <c r="W150" s="202"/>
      <c r="X150" s="203"/>
      <c r="Y150" s="202"/>
      <c r="Z150" s="202"/>
      <c r="AA150" s="202"/>
      <c r="AB150" s="202"/>
      <c r="AC150" s="202"/>
      <c r="AD150" s="202"/>
      <c r="AE150" s="202"/>
      <c r="AF150" s="202"/>
      <c r="AG150" s="202"/>
      <c r="AH150" s="202"/>
      <c r="AI150" s="202"/>
      <c r="AJ150" s="202"/>
      <c r="AK150" s="202"/>
      <c r="AL150" s="202"/>
      <c r="AM150" s="202"/>
      <c r="AN150" s="202"/>
      <c r="AO150" s="202"/>
      <c r="AP150" s="202"/>
      <c r="AQ150" s="202"/>
    </row>
    <row r="151" spans="1:43" ht="18" customHeight="1" collapsed="1" x14ac:dyDescent="0.15">
      <c r="A151" s="221"/>
      <c r="B151" s="219" t="s">
        <v>430</v>
      </c>
      <c r="C151" s="220"/>
      <c r="D151" s="207"/>
      <c r="E151" s="202"/>
      <c r="F151" s="202"/>
      <c r="G151" s="202"/>
      <c r="H151" s="202"/>
      <c r="I151" s="202"/>
      <c r="J151" s="203"/>
      <c r="K151" s="203"/>
      <c r="L151" s="203"/>
      <c r="M151" s="203"/>
      <c r="N151" s="203"/>
      <c r="O151" s="204"/>
      <c r="P151" s="204"/>
      <c r="Q151" s="204"/>
      <c r="R151" s="204"/>
      <c r="S151" s="204"/>
      <c r="T151" s="204"/>
      <c r="U151" s="204"/>
      <c r="V151" s="204"/>
      <c r="W151" s="204"/>
      <c r="X151" s="203"/>
      <c r="Y151" s="202"/>
      <c r="Z151" s="203"/>
      <c r="AA151" s="203"/>
      <c r="AB151" s="203"/>
      <c r="AC151" s="203"/>
      <c r="AD151" s="203"/>
      <c r="AE151" s="204"/>
      <c r="AF151" s="204"/>
      <c r="AG151" s="204"/>
      <c r="AH151" s="204"/>
      <c r="AI151" s="204"/>
      <c r="AJ151" s="204"/>
      <c r="AK151" s="204"/>
      <c r="AL151" s="204"/>
      <c r="AM151" s="204"/>
      <c r="AN151" s="204"/>
      <c r="AO151" s="204"/>
      <c r="AP151" s="204"/>
      <c r="AQ151" s="204"/>
    </row>
    <row r="152" spans="1:43" ht="18" hidden="1" customHeight="1" outlineLevel="1" x14ac:dyDescent="0.15">
      <c r="A152" s="209" t="str">
        <f t="shared" ref="A152:B166" si="64">A136</f>
        <v>1</v>
      </c>
      <c r="B152" s="210" t="str">
        <f t="shared" si="64"/>
        <v>小高层</v>
      </c>
      <c r="C152" s="202"/>
      <c r="D152" s="232">
        <v>1</v>
      </c>
      <c r="E152" s="218"/>
      <c r="F152" s="202"/>
      <c r="G152" s="202"/>
      <c r="H152" s="202"/>
      <c r="I152" s="202"/>
      <c r="J152" s="202"/>
      <c r="K152" s="202"/>
      <c r="L152" s="202"/>
      <c r="M152" s="202"/>
      <c r="N152" s="202"/>
      <c r="O152" s="202"/>
      <c r="P152" s="202"/>
      <c r="Q152" s="202"/>
      <c r="R152" s="202"/>
      <c r="S152" s="202"/>
      <c r="T152" s="202"/>
      <c r="U152" s="202"/>
      <c r="V152" s="202"/>
      <c r="W152" s="202"/>
      <c r="X152" s="202"/>
      <c r="Y152" s="202"/>
      <c r="Z152" s="202"/>
      <c r="AA152" s="202"/>
      <c r="AB152" s="202"/>
      <c r="AC152" s="202"/>
      <c r="AD152" s="202"/>
      <c r="AE152" s="202"/>
      <c r="AF152" s="202"/>
      <c r="AG152" s="202"/>
      <c r="AH152" s="202"/>
      <c r="AI152" s="202"/>
      <c r="AJ152" s="202"/>
      <c r="AK152" s="202"/>
      <c r="AL152" s="202"/>
      <c r="AM152" s="202"/>
      <c r="AN152" s="202"/>
      <c r="AO152" s="202"/>
      <c r="AP152" s="202"/>
      <c r="AQ152" s="202"/>
    </row>
    <row r="153" spans="1:43" ht="18" hidden="1" customHeight="1" outlineLevel="1" x14ac:dyDescent="0.15">
      <c r="A153" s="209" t="str">
        <f t="shared" si="64"/>
        <v>2</v>
      </c>
      <c r="B153" s="619" t="str">
        <f t="shared" si="64"/>
        <v>洋房</v>
      </c>
      <c r="C153" s="202"/>
      <c r="D153" s="232">
        <f>D152</f>
        <v>1</v>
      </c>
      <c r="E153" s="202"/>
      <c r="F153" s="202"/>
      <c r="G153" s="202"/>
      <c r="H153" s="202"/>
      <c r="I153" s="202"/>
      <c r="J153" s="202"/>
      <c r="K153" s="202"/>
      <c r="L153" s="202"/>
      <c r="M153" s="202"/>
      <c r="N153" s="202"/>
      <c r="O153" s="202"/>
      <c r="P153" s="202"/>
      <c r="Q153" s="202"/>
      <c r="R153" s="202"/>
      <c r="S153" s="202"/>
      <c r="T153" s="202"/>
      <c r="U153" s="202"/>
      <c r="V153" s="202"/>
      <c r="W153" s="202"/>
      <c r="X153" s="202"/>
      <c r="Y153" s="202"/>
      <c r="Z153" s="202"/>
      <c r="AA153" s="202"/>
      <c r="AB153" s="202"/>
      <c r="AC153" s="202"/>
      <c r="AD153" s="202"/>
      <c r="AE153" s="202"/>
      <c r="AF153" s="202"/>
      <c r="AG153" s="202"/>
      <c r="AH153" s="202"/>
      <c r="AI153" s="202"/>
      <c r="AJ153" s="202"/>
      <c r="AK153" s="202"/>
      <c r="AL153" s="202"/>
      <c r="AM153" s="202"/>
      <c r="AN153" s="202"/>
      <c r="AO153" s="202"/>
      <c r="AP153" s="202"/>
      <c r="AQ153" s="202"/>
    </row>
    <row r="154" spans="1:43" ht="18" hidden="1" customHeight="1" outlineLevel="1" x14ac:dyDescent="0.15">
      <c r="A154" s="209" t="str">
        <f t="shared" si="64"/>
        <v>3</v>
      </c>
      <c r="B154" s="619" t="str">
        <f t="shared" si="64"/>
        <v>商业</v>
      </c>
      <c r="C154" s="202"/>
      <c r="D154" s="232">
        <f t="shared" ref="D154:D166" si="65">D153</f>
        <v>1</v>
      </c>
      <c r="E154" s="202"/>
      <c r="F154" s="202"/>
      <c r="G154" s="202"/>
      <c r="H154" s="202"/>
      <c r="I154" s="202"/>
      <c r="J154" s="202"/>
      <c r="K154" s="202"/>
      <c r="L154" s="202"/>
      <c r="M154" s="202"/>
      <c r="N154" s="202"/>
      <c r="O154" s="202"/>
      <c r="P154" s="202"/>
      <c r="Q154" s="202"/>
      <c r="R154" s="202"/>
      <c r="S154" s="202"/>
      <c r="T154" s="202"/>
      <c r="U154" s="202"/>
      <c r="V154" s="202"/>
      <c r="W154" s="202"/>
      <c r="X154" s="202"/>
      <c r="Y154" s="202"/>
      <c r="Z154" s="202"/>
      <c r="AA154" s="202"/>
      <c r="AB154" s="202"/>
      <c r="AC154" s="202"/>
      <c r="AD154" s="202"/>
      <c r="AE154" s="202"/>
      <c r="AF154" s="202"/>
      <c r="AG154" s="202"/>
      <c r="AH154" s="202"/>
      <c r="AI154" s="202"/>
      <c r="AJ154" s="202"/>
      <c r="AK154" s="202"/>
      <c r="AL154" s="202"/>
      <c r="AM154" s="202"/>
      <c r="AN154" s="202"/>
      <c r="AO154" s="202"/>
      <c r="AP154" s="202"/>
      <c r="AQ154" s="202"/>
    </row>
    <row r="155" spans="1:43" ht="18" hidden="1" customHeight="1" outlineLevel="1" x14ac:dyDescent="0.15">
      <c r="A155" s="209" t="str">
        <f t="shared" si="64"/>
        <v>4</v>
      </c>
      <c r="B155" s="619" t="str">
        <f t="shared" si="64"/>
        <v>储藏室</v>
      </c>
      <c r="C155" s="202"/>
      <c r="D155" s="232">
        <f t="shared" si="65"/>
        <v>1</v>
      </c>
      <c r="E155" s="202"/>
      <c r="F155" s="202"/>
      <c r="G155" s="202"/>
      <c r="H155" s="202"/>
      <c r="I155" s="202"/>
      <c r="J155" s="202"/>
      <c r="K155" s="202"/>
      <c r="L155" s="202"/>
      <c r="M155" s="202"/>
      <c r="N155" s="202"/>
      <c r="O155" s="202"/>
      <c r="P155" s="202"/>
      <c r="Q155" s="202"/>
      <c r="R155" s="202"/>
      <c r="S155" s="202"/>
      <c r="T155" s="202"/>
      <c r="U155" s="202"/>
      <c r="V155" s="202"/>
      <c r="W155" s="202"/>
      <c r="X155" s="202"/>
      <c r="Y155" s="202"/>
      <c r="Z155" s="202"/>
      <c r="AA155" s="202"/>
      <c r="AB155" s="202"/>
      <c r="AC155" s="202"/>
      <c r="AD155" s="202"/>
      <c r="AE155" s="202"/>
      <c r="AF155" s="202"/>
      <c r="AG155" s="202"/>
      <c r="AH155" s="202"/>
      <c r="AI155" s="202"/>
      <c r="AJ155" s="202"/>
      <c r="AK155" s="202"/>
      <c r="AL155" s="202"/>
      <c r="AM155" s="202"/>
      <c r="AN155" s="202"/>
      <c r="AO155" s="202"/>
      <c r="AP155" s="202"/>
      <c r="AQ155" s="202"/>
    </row>
    <row r="156" spans="1:43" ht="18" hidden="1" customHeight="1" outlineLevel="1" x14ac:dyDescent="0.15">
      <c r="A156" s="209" t="str">
        <f t="shared" si="64"/>
        <v>5</v>
      </c>
      <c r="B156" s="619" t="str">
        <f t="shared" si="64"/>
        <v>非人防地下车库</v>
      </c>
      <c r="C156" s="202"/>
      <c r="D156" s="232">
        <f t="shared" si="65"/>
        <v>1</v>
      </c>
      <c r="E156" s="202"/>
      <c r="F156" s="202"/>
      <c r="G156" s="202"/>
      <c r="H156" s="202"/>
      <c r="I156" s="202"/>
      <c r="J156" s="202"/>
      <c r="K156" s="202"/>
      <c r="L156" s="202"/>
      <c r="M156" s="202"/>
      <c r="N156" s="202"/>
      <c r="O156" s="202"/>
      <c r="P156" s="202"/>
      <c r="Q156" s="202"/>
      <c r="R156" s="202"/>
      <c r="S156" s="202"/>
      <c r="T156" s="202"/>
      <c r="U156" s="202"/>
      <c r="V156" s="202"/>
      <c r="W156" s="202"/>
      <c r="X156" s="202"/>
      <c r="Y156" s="202"/>
      <c r="Z156" s="202"/>
      <c r="AA156" s="202"/>
      <c r="AB156" s="202"/>
      <c r="AC156" s="202"/>
      <c r="AD156" s="202"/>
      <c r="AE156" s="202"/>
      <c r="AF156" s="202"/>
      <c r="AG156" s="202"/>
      <c r="AH156" s="202"/>
      <c r="AI156" s="202"/>
      <c r="AJ156" s="202"/>
      <c r="AK156" s="202"/>
      <c r="AL156" s="202"/>
      <c r="AM156" s="202"/>
      <c r="AN156" s="202"/>
      <c r="AO156" s="202"/>
      <c r="AP156" s="202"/>
      <c r="AQ156" s="202"/>
    </row>
    <row r="157" spans="1:43" ht="18" hidden="1" customHeight="1" outlineLevel="1" x14ac:dyDescent="0.15">
      <c r="A157" s="209" t="str">
        <f t="shared" si="64"/>
        <v>6</v>
      </c>
      <c r="B157" s="619">
        <f t="shared" si="64"/>
        <v>0</v>
      </c>
      <c r="C157" s="202"/>
      <c r="D157" s="232">
        <f t="shared" si="65"/>
        <v>1</v>
      </c>
      <c r="E157" s="202"/>
      <c r="F157" s="202"/>
      <c r="G157" s="202"/>
      <c r="H157" s="202"/>
      <c r="I157" s="202"/>
      <c r="J157" s="202"/>
      <c r="K157" s="202"/>
      <c r="L157" s="202"/>
      <c r="M157" s="202"/>
      <c r="N157" s="202"/>
      <c r="O157" s="202"/>
      <c r="P157" s="202"/>
      <c r="Q157" s="202"/>
      <c r="R157" s="202"/>
      <c r="S157" s="202"/>
      <c r="T157" s="202"/>
      <c r="U157" s="202"/>
      <c r="V157" s="202"/>
      <c r="W157" s="202"/>
      <c r="X157" s="202"/>
      <c r="Y157" s="202"/>
      <c r="Z157" s="202"/>
      <c r="AA157" s="202"/>
      <c r="AB157" s="202"/>
      <c r="AC157" s="202"/>
      <c r="AD157" s="202"/>
      <c r="AE157" s="202"/>
      <c r="AF157" s="202"/>
      <c r="AG157" s="202"/>
      <c r="AH157" s="202"/>
      <c r="AI157" s="202"/>
      <c r="AJ157" s="202"/>
      <c r="AK157" s="202"/>
      <c r="AL157" s="202"/>
      <c r="AM157" s="202"/>
      <c r="AN157" s="202"/>
      <c r="AO157" s="202"/>
      <c r="AP157" s="202"/>
      <c r="AQ157" s="202"/>
    </row>
    <row r="158" spans="1:43" ht="18" hidden="1" customHeight="1" outlineLevel="1" x14ac:dyDescent="0.15">
      <c r="A158" s="209" t="str">
        <f t="shared" si="64"/>
        <v>7</v>
      </c>
      <c r="B158" s="619">
        <f t="shared" si="64"/>
        <v>0</v>
      </c>
      <c r="C158" s="202"/>
      <c r="D158" s="232">
        <f t="shared" si="65"/>
        <v>1</v>
      </c>
      <c r="E158" s="202"/>
      <c r="F158" s="202"/>
      <c r="G158" s="202"/>
      <c r="H158" s="202"/>
      <c r="I158" s="202"/>
      <c r="J158" s="202"/>
      <c r="K158" s="202"/>
      <c r="L158" s="202"/>
      <c r="M158" s="202"/>
      <c r="N158" s="202"/>
      <c r="O158" s="202"/>
      <c r="P158" s="202"/>
      <c r="Q158" s="202"/>
      <c r="R158" s="202"/>
      <c r="S158" s="202"/>
      <c r="T158" s="202"/>
      <c r="U158" s="202"/>
      <c r="V158" s="202"/>
      <c r="W158" s="202"/>
      <c r="X158" s="202"/>
      <c r="Y158" s="202"/>
      <c r="Z158" s="202"/>
      <c r="AA158" s="202"/>
      <c r="AB158" s="202"/>
      <c r="AC158" s="202"/>
      <c r="AD158" s="202"/>
      <c r="AE158" s="202"/>
      <c r="AF158" s="202"/>
      <c r="AG158" s="202"/>
      <c r="AH158" s="202"/>
      <c r="AI158" s="202"/>
      <c r="AJ158" s="202"/>
      <c r="AK158" s="202"/>
      <c r="AL158" s="202"/>
      <c r="AM158" s="202"/>
      <c r="AN158" s="202"/>
      <c r="AO158" s="202"/>
      <c r="AP158" s="202"/>
      <c r="AQ158" s="202"/>
    </row>
    <row r="159" spans="1:43" ht="18" hidden="1" customHeight="1" outlineLevel="1" x14ac:dyDescent="0.15">
      <c r="A159" s="209" t="str">
        <f t="shared" si="64"/>
        <v>8</v>
      </c>
      <c r="B159" s="619">
        <f t="shared" si="64"/>
        <v>0</v>
      </c>
      <c r="C159" s="202"/>
      <c r="D159" s="232">
        <f t="shared" si="65"/>
        <v>1</v>
      </c>
      <c r="E159" s="202"/>
      <c r="F159" s="202"/>
      <c r="G159" s="202"/>
      <c r="H159" s="202"/>
      <c r="I159" s="202"/>
      <c r="J159" s="202"/>
      <c r="K159" s="202"/>
      <c r="L159" s="202"/>
      <c r="M159" s="202"/>
      <c r="N159" s="202"/>
      <c r="O159" s="202"/>
      <c r="P159" s="202"/>
      <c r="Q159" s="202"/>
      <c r="R159" s="202"/>
      <c r="S159" s="202"/>
      <c r="T159" s="202"/>
      <c r="U159" s="202"/>
      <c r="V159" s="202"/>
      <c r="W159" s="202"/>
      <c r="X159" s="202"/>
      <c r="Y159" s="202"/>
      <c r="Z159" s="202"/>
      <c r="AA159" s="202"/>
      <c r="AB159" s="202"/>
      <c r="AC159" s="202"/>
      <c r="AD159" s="202"/>
      <c r="AE159" s="202"/>
      <c r="AF159" s="202"/>
      <c r="AG159" s="202"/>
      <c r="AH159" s="202"/>
      <c r="AI159" s="202"/>
      <c r="AJ159" s="202"/>
      <c r="AK159" s="202"/>
      <c r="AL159" s="202"/>
      <c r="AM159" s="202"/>
      <c r="AN159" s="202"/>
      <c r="AO159" s="202"/>
      <c r="AP159" s="202"/>
      <c r="AQ159" s="202"/>
    </row>
    <row r="160" spans="1:43" ht="18" hidden="1" customHeight="1" outlineLevel="1" x14ac:dyDescent="0.15">
      <c r="A160" s="209" t="str">
        <f t="shared" si="64"/>
        <v>9</v>
      </c>
      <c r="B160" s="619">
        <f t="shared" si="64"/>
        <v>0</v>
      </c>
      <c r="C160" s="202"/>
      <c r="D160" s="232">
        <f t="shared" si="65"/>
        <v>1</v>
      </c>
      <c r="E160" s="202"/>
      <c r="F160" s="202"/>
      <c r="G160" s="202"/>
      <c r="H160" s="202"/>
      <c r="I160" s="202"/>
      <c r="J160" s="202"/>
      <c r="K160" s="202"/>
      <c r="L160" s="202"/>
      <c r="M160" s="202"/>
      <c r="N160" s="202"/>
      <c r="O160" s="202"/>
      <c r="P160" s="202"/>
      <c r="Q160" s="202"/>
      <c r="R160" s="202"/>
      <c r="S160" s="202"/>
      <c r="T160" s="202"/>
      <c r="U160" s="202"/>
      <c r="V160" s="202"/>
      <c r="W160" s="202"/>
      <c r="X160" s="202"/>
      <c r="Y160" s="202"/>
      <c r="Z160" s="202"/>
      <c r="AA160" s="202"/>
      <c r="AB160" s="202"/>
      <c r="AC160" s="202"/>
      <c r="AD160" s="202"/>
      <c r="AE160" s="202"/>
      <c r="AF160" s="202"/>
      <c r="AG160" s="202"/>
      <c r="AH160" s="202"/>
      <c r="AI160" s="202"/>
      <c r="AJ160" s="202"/>
      <c r="AK160" s="202"/>
      <c r="AL160" s="202"/>
      <c r="AM160" s="202"/>
      <c r="AN160" s="202"/>
      <c r="AO160" s="202"/>
      <c r="AP160" s="202"/>
      <c r="AQ160" s="202"/>
    </row>
    <row r="161" spans="1:43" ht="18" hidden="1" customHeight="1" outlineLevel="1" x14ac:dyDescent="0.15">
      <c r="A161" s="209" t="str">
        <f t="shared" si="64"/>
        <v>10</v>
      </c>
      <c r="B161" s="619">
        <f t="shared" si="64"/>
        <v>0</v>
      </c>
      <c r="C161" s="202"/>
      <c r="D161" s="232">
        <f t="shared" si="65"/>
        <v>1</v>
      </c>
      <c r="E161" s="202"/>
      <c r="F161" s="202"/>
      <c r="G161" s="202"/>
      <c r="H161" s="202"/>
      <c r="I161" s="202"/>
      <c r="J161" s="202"/>
      <c r="K161" s="202"/>
      <c r="L161" s="202"/>
      <c r="M161" s="202"/>
      <c r="N161" s="202"/>
      <c r="O161" s="202"/>
      <c r="P161" s="202"/>
      <c r="Q161" s="202"/>
      <c r="R161" s="202"/>
      <c r="S161" s="202"/>
      <c r="T161" s="202"/>
      <c r="U161" s="202"/>
      <c r="V161" s="202"/>
      <c r="W161" s="202"/>
      <c r="X161" s="202"/>
      <c r="Y161" s="202"/>
      <c r="Z161" s="202"/>
      <c r="AA161" s="202"/>
      <c r="AB161" s="202"/>
      <c r="AC161" s="202"/>
      <c r="AD161" s="202"/>
      <c r="AE161" s="202"/>
      <c r="AF161" s="202"/>
      <c r="AG161" s="202"/>
      <c r="AH161" s="202"/>
      <c r="AI161" s="202"/>
      <c r="AJ161" s="202"/>
      <c r="AK161" s="202"/>
      <c r="AL161" s="202"/>
      <c r="AM161" s="202"/>
      <c r="AN161" s="202"/>
      <c r="AO161" s="202"/>
      <c r="AP161" s="202"/>
      <c r="AQ161" s="202"/>
    </row>
    <row r="162" spans="1:43" ht="18" hidden="1" customHeight="1" outlineLevel="1" x14ac:dyDescent="0.15">
      <c r="A162" s="209" t="str">
        <f t="shared" si="64"/>
        <v>11</v>
      </c>
      <c r="B162" s="619">
        <f t="shared" si="64"/>
        <v>0</v>
      </c>
      <c r="C162" s="213"/>
      <c r="D162" s="232">
        <f t="shared" si="65"/>
        <v>1</v>
      </c>
      <c r="E162" s="202"/>
      <c r="F162" s="202"/>
      <c r="G162" s="202"/>
      <c r="H162" s="202"/>
      <c r="I162" s="202"/>
      <c r="J162" s="202"/>
      <c r="K162" s="202"/>
      <c r="L162" s="202"/>
      <c r="M162" s="202"/>
      <c r="N162" s="202"/>
      <c r="O162" s="202"/>
      <c r="P162" s="202"/>
      <c r="Q162" s="202"/>
      <c r="R162" s="202"/>
      <c r="S162" s="202"/>
      <c r="T162" s="202"/>
      <c r="U162" s="202"/>
      <c r="V162" s="202"/>
      <c r="W162" s="202"/>
      <c r="X162" s="202"/>
      <c r="Y162" s="202"/>
      <c r="Z162" s="202"/>
      <c r="AA162" s="202"/>
      <c r="AB162" s="202"/>
      <c r="AC162" s="202"/>
      <c r="AD162" s="202"/>
      <c r="AE162" s="202"/>
      <c r="AF162" s="202"/>
      <c r="AG162" s="202"/>
      <c r="AH162" s="202"/>
      <c r="AI162" s="202"/>
      <c r="AJ162" s="202"/>
      <c r="AK162" s="202"/>
      <c r="AL162" s="202"/>
      <c r="AM162" s="202"/>
      <c r="AN162" s="202"/>
      <c r="AO162" s="202"/>
      <c r="AP162" s="202"/>
      <c r="AQ162" s="202"/>
    </row>
    <row r="163" spans="1:43" ht="18" hidden="1" customHeight="1" outlineLevel="1" x14ac:dyDescent="0.15">
      <c r="A163" s="209" t="str">
        <f t="shared" si="64"/>
        <v>12</v>
      </c>
      <c r="B163" s="619">
        <f t="shared" si="64"/>
        <v>0</v>
      </c>
      <c r="C163" s="202"/>
      <c r="D163" s="232">
        <f t="shared" si="65"/>
        <v>1</v>
      </c>
      <c r="E163" s="202"/>
      <c r="F163" s="202"/>
      <c r="G163" s="202"/>
      <c r="H163" s="202"/>
      <c r="I163" s="202"/>
      <c r="J163" s="202"/>
      <c r="K163" s="202"/>
      <c r="L163" s="202"/>
      <c r="M163" s="202"/>
      <c r="N163" s="202"/>
      <c r="O163" s="202"/>
      <c r="P163" s="202"/>
      <c r="Q163" s="202"/>
      <c r="R163" s="202"/>
      <c r="S163" s="202"/>
      <c r="T163" s="202"/>
      <c r="U163" s="202"/>
      <c r="V163" s="202"/>
      <c r="W163" s="202"/>
      <c r="X163" s="202"/>
      <c r="Y163" s="202"/>
      <c r="Z163" s="202"/>
      <c r="AA163" s="202"/>
      <c r="AB163" s="202"/>
      <c r="AC163" s="202"/>
      <c r="AD163" s="202"/>
      <c r="AE163" s="202"/>
      <c r="AF163" s="202"/>
      <c r="AG163" s="202"/>
      <c r="AH163" s="202"/>
      <c r="AI163" s="202"/>
      <c r="AJ163" s="202"/>
      <c r="AK163" s="202"/>
      <c r="AL163" s="202"/>
      <c r="AM163" s="202"/>
      <c r="AN163" s="202"/>
      <c r="AO163" s="202"/>
      <c r="AP163" s="202"/>
      <c r="AQ163" s="202"/>
    </row>
    <row r="164" spans="1:43" ht="18" hidden="1" customHeight="1" outlineLevel="1" x14ac:dyDescent="0.15">
      <c r="A164" s="209" t="str">
        <f t="shared" si="64"/>
        <v>13</v>
      </c>
      <c r="B164" s="619">
        <f t="shared" si="64"/>
        <v>0</v>
      </c>
      <c r="C164" s="202"/>
      <c r="D164" s="232">
        <f t="shared" si="65"/>
        <v>1</v>
      </c>
      <c r="E164" s="202"/>
      <c r="F164" s="202"/>
      <c r="G164" s="202"/>
      <c r="H164" s="202"/>
      <c r="I164" s="202"/>
      <c r="J164" s="202"/>
      <c r="K164" s="202"/>
      <c r="L164" s="202"/>
      <c r="M164" s="202"/>
      <c r="N164" s="202"/>
      <c r="O164" s="202"/>
      <c r="P164" s="202"/>
      <c r="Q164" s="202"/>
      <c r="R164" s="202"/>
      <c r="S164" s="202"/>
      <c r="T164" s="202"/>
      <c r="U164" s="202"/>
      <c r="V164" s="202"/>
      <c r="W164" s="202"/>
      <c r="X164" s="202"/>
      <c r="Y164" s="202"/>
      <c r="Z164" s="202"/>
      <c r="AA164" s="202"/>
      <c r="AB164" s="202"/>
      <c r="AC164" s="202"/>
      <c r="AD164" s="202"/>
      <c r="AE164" s="202"/>
      <c r="AF164" s="202"/>
      <c r="AG164" s="202"/>
      <c r="AH164" s="202"/>
      <c r="AI164" s="202"/>
      <c r="AJ164" s="202"/>
      <c r="AK164" s="202"/>
      <c r="AL164" s="202"/>
      <c r="AM164" s="202"/>
      <c r="AN164" s="202"/>
      <c r="AO164" s="202"/>
      <c r="AP164" s="202"/>
      <c r="AQ164" s="202"/>
    </row>
    <row r="165" spans="1:43" ht="18" hidden="1" customHeight="1" outlineLevel="1" x14ac:dyDescent="0.15">
      <c r="A165" s="209" t="str">
        <f t="shared" si="64"/>
        <v>14</v>
      </c>
      <c r="B165" s="619">
        <f t="shared" si="64"/>
        <v>0</v>
      </c>
      <c r="C165" s="202"/>
      <c r="D165" s="232">
        <f t="shared" si="65"/>
        <v>1</v>
      </c>
      <c r="E165" s="202"/>
      <c r="F165" s="202"/>
      <c r="G165" s="202"/>
      <c r="H165" s="202"/>
      <c r="I165" s="202"/>
      <c r="J165" s="202"/>
      <c r="K165" s="202"/>
      <c r="L165" s="202"/>
      <c r="M165" s="202"/>
      <c r="N165" s="202"/>
      <c r="O165" s="202"/>
      <c r="P165" s="202"/>
      <c r="Q165" s="202"/>
      <c r="R165" s="202"/>
      <c r="S165" s="202"/>
      <c r="T165" s="202"/>
      <c r="U165" s="202"/>
      <c r="V165" s="202"/>
      <c r="W165" s="202"/>
      <c r="X165" s="202"/>
      <c r="Y165" s="202"/>
      <c r="Z165" s="202"/>
      <c r="AA165" s="202"/>
      <c r="AB165" s="202"/>
      <c r="AC165" s="202"/>
      <c r="AD165" s="202"/>
      <c r="AE165" s="202"/>
      <c r="AF165" s="202"/>
      <c r="AG165" s="202"/>
      <c r="AH165" s="202"/>
      <c r="AI165" s="202"/>
      <c r="AJ165" s="202"/>
      <c r="AK165" s="202"/>
      <c r="AL165" s="202"/>
      <c r="AM165" s="202"/>
      <c r="AN165" s="202"/>
      <c r="AO165" s="202"/>
      <c r="AP165" s="202"/>
      <c r="AQ165" s="202"/>
    </row>
    <row r="166" spans="1:43" ht="18" hidden="1" customHeight="1" outlineLevel="1" x14ac:dyDescent="0.15">
      <c r="A166" s="209" t="str">
        <f t="shared" si="64"/>
        <v>15</v>
      </c>
      <c r="B166" s="619">
        <f t="shared" si="64"/>
        <v>0</v>
      </c>
      <c r="C166" s="213"/>
      <c r="D166" s="232">
        <f t="shared" si="65"/>
        <v>1</v>
      </c>
      <c r="E166" s="202"/>
      <c r="F166" s="202"/>
      <c r="G166" s="202"/>
      <c r="H166" s="202"/>
      <c r="I166" s="202"/>
      <c r="J166" s="202"/>
      <c r="K166" s="202"/>
      <c r="L166" s="202"/>
      <c r="M166" s="202"/>
      <c r="N166" s="202"/>
      <c r="O166" s="202"/>
      <c r="P166" s="202"/>
      <c r="Q166" s="202"/>
      <c r="R166" s="202"/>
      <c r="S166" s="202"/>
      <c r="T166" s="202"/>
      <c r="U166" s="202"/>
      <c r="V166" s="202"/>
      <c r="W166" s="202"/>
      <c r="X166" s="202"/>
      <c r="Y166" s="202"/>
      <c r="Z166" s="202"/>
      <c r="AA166" s="202"/>
      <c r="AB166" s="202"/>
      <c r="AC166" s="202"/>
      <c r="AD166" s="202"/>
      <c r="AE166" s="202"/>
      <c r="AF166" s="202"/>
      <c r="AG166" s="202"/>
      <c r="AH166" s="202"/>
      <c r="AI166" s="202"/>
      <c r="AJ166" s="202"/>
      <c r="AK166" s="202"/>
      <c r="AL166" s="202"/>
      <c r="AM166" s="202"/>
      <c r="AN166" s="202"/>
      <c r="AO166" s="202"/>
      <c r="AP166" s="202"/>
      <c r="AQ166" s="202"/>
    </row>
    <row r="167" spans="1:43" ht="18" customHeight="1" x14ac:dyDescent="0.15">
      <c r="B167" s="161"/>
    </row>
  </sheetData>
  <mergeCells count="13">
    <mergeCell ref="AN3:AQ3"/>
    <mergeCell ref="X3:AA3"/>
    <mergeCell ref="A3:A4"/>
    <mergeCell ref="B3:B4"/>
    <mergeCell ref="D3:G3"/>
    <mergeCell ref="H3:K3"/>
    <mergeCell ref="L3:O3"/>
    <mergeCell ref="P3:S3"/>
    <mergeCell ref="AB3:AE3"/>
    <mergeCell ref="AF3:AI3"/>
    <mergeCell ref="AJ3:AM3"/>
    <mergeCell ref="C3:C4"/>
    <mergeCell ref="T3:W3"/>
  </mergeCells>
  <phoneticPr fontId="2" type="noConversion"/>
  <conditionalFormatting sqref="C111">
    <cfRule type="cellIs" dxfId="52" priority="24" stopIfTrue="1" operator="notEqual">
      <formula>$C$5</formula>
    </cfRule>
  </conditionalFormatting>
  <conditionalFormatting sqref="C117">
    <cfRule type="cellIs" dxfId="51" priority="17" stopIfTrue="1" operator="notEqual">
      <formula>$C$41</formula>
    </cfRule>
  </conditionalFormatting>
  <conditionalFormatting sqref="C118">
    <cfRule type="cellIs" dxfId="50" priority="16" stopIfTrue="1" operator="notEqual">
      <formula>$C$48</formula>
    </cfRule>
  </conditionalFormatting>
  <conditionalFormatting sqref="C119">
    <cfRule type="cellIs" dxfId="49" priority="15" stopIfTrue="1" operator="notEqual">
      <formula>$C$55</formula>
    </cfRule>
  </conditionalFormatting>
  <conditionalFormatting sqref="C120">
    <cfRule type="cellIs" dxfId="48" priority="14" stopIfTrue="1" operator="notEqual">
      <formula>$C$62</formula>
    </cfRule>
  </conditionalFormatting>
  <conditionalFormatting sqref="C121">
    <cfRule type="cellIs" dxfId="47" priority="13" stopIfTrue="1" operator="notEqual">
      <formula>$C$69</formula>
    </cfRule>
  </conditionalFormatting>
  <conditionalFormatting sqref="C122">
    <cfRule type="cellIs" dxfId="46" priority="12" stopIfTrue="1" operator="greaterThan">
      <formula>$C$76</formula>
    </cfRule>
  </conditionalFormatting>
  <conditionalFormatting sqref="C123">
    <cfRule type="cellIs" dxfId="45" priority="10" stopIfTrue="1" operator="notEqual">
      <formula>$C$55</formula>
    </cfRule>
  </conditionalFormatting>
  <conditionalFormatting sqref="C124">
    <cfRule type="cellIs" dxfId="44" priority="9" stopIfTrue="1" operator="notEqual">
      <formula>$C$62</formula>
    </cfRule>
  </conditionalFormatting>
  <conditionalFormatting sqref="C125">
    <cfRule type="cellIs" dxfId="43" priority="8" stopIfTrue="1" operator="notEqual">
      <formula>$C$69</formula>
    </cfRule>
  </conditionalFormatting>
  <pageMargins left="0.7" right="0.7" top="0.75" bottom="0.75" header="0.3" footer="0.3"/>
  <pageSetup paperSize="9" scale="2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P23"/>
  <sheetViews>
    <sheetView view="pageBreakPreview" zoomScaleNormal="100" zoomScaleSheetLayoutView="100" workbookViewId="0">
      <selection activeCell="K17" sqref="A17:K19"/>
    </sheetView>
  </sheetViews>
  <sheetFormatPr defaultColWidth="8.875" defaultRowHeight="18" customHeight="1" x14ac:dyDescent="0.15"/>
  <cols>
    <col min="1" max="1" width="6.5" style="212" customWidth="1"/>
    <col min="2" max="2" width="19.375" style="213" customWidth="1"/>
    <col min="3" max="3" width="8.125" style="213" customWidth="1"/>
    <col min="4" max="4" width="13.5" style="213" customWidth="1"/>
    <col min="5" max="7" width="12.5" style="213" customWidth="1"/>
    <col min="8" max="9" width="1.375" style="213" customWidth="1"/>
    <col min="10" max="10" width="6.5" style="212" customWidth="1"/>
    <col min="11" max="11" width="24.375" style="213" customWidth="1"/>
    <col min="12" max="12" width="10" style="213" customWidth="1"/>
    <col min="13" max="13" width="12.625" style="213" customWidth="1"/>
    <col min="14" max="14" width="23.375" style="213" customWidth="1"/>
    <col min="15" max="15" width="25.25" style="213" customWidth="1"/>
    <col min="16" max="16384" width="8.875" style="213"/>
  </cols>
  <sheetData>
    <row r="1" spans="1:16" ht="18" customHeight="1" x14ac:dyDescent="0.15">
      <c r="A1" s="522"/>
      <c r="B1" s="317"/>
      <c r="C1" s="317" t="s">
        <v>209</v>
      </c>
      <c r="D1" s="317"/>
      <c r="E1" s="317"/>
      <c r="F1" s="317"/>
      <c r="G1" s="317"/>
      <c r="H1" s="545"/>
      <c r="J1" s="522"/>
      <c r="K1" s="503"/>
      <c r="L1" s="503" t="s">
        <v>210</v>
      </c>
      <c r="M1" s="503"/>
      <c r="N1" s="503"/>
      <c r="O1" s="524"/>
      <c r="P1" s="524"/>
    </row>
    <row r="2" spans="1:16" ht="18" customHeight="1" x14ac:dyDescent="0.15">
      <c r="A2" s="522"/>
      <c r="B2" s="498" t="s">
        <v>8</v>
      </c>
      <c r="C2" s="317"/>
      <c r="D2" s="317"/>
      <c r="E2" s="317"/>
      <c r="F2" s="317"/>
      <c r="G2" s="317"/>
      <c r="H2" s="545"/>
      <c r="J2" s="522"/>
      <c r="K2" s="498" t="s">
        <v>8</v>
      </c>
      <c r="L2" s="524"/>
      <c r="M2" s="524"/>
      <c r="N2" s="524"/>
      <c r="O2" s="524"/>
      <c r="P2" s="524"/>
    </row>
    <row r="3" spans="1:16" ht="36" customHeight="1" x14ac:dyDescent="0.15">
      <c r="A3" s="499" t="s">
        <v>504</v>
      </c>
      <c r="B3" s="500" t="s">
        <v>211</v>
      </c>
      <c r="C3" s="500" t="s">
        <v>173</v>
      </c>
      <c r="D3" s="500" t="s">
        <v>212</v>
      </c>
      <c r="E3" s="500" t="s">
        <v>505</v>
      </c>
      <c r="F3" s="500" t="s">
        <v>506</v>
      </c>
      <c r="G3" s="500" t="s">
        <v>507</v>
      </c>
      <c r="H3" s="545"/>
      <c r="J3" s="499" t="s">
        <v>504</v>
      </c>
      <c r="K3" s="500" t="s">
        <v>211</v>
      </c>
      <c r="L3" s="503"/>
      <c r="M3" s="503"/>
      <c r="N3" s="503"/>
      <c r="O3" s="524"/>
      <c r="P3" s="524"/>
    </row>
    <row r="4" spans="1:16" ht="18" customHeight="1" x14ac:dyDescent="0.15">
      <c r="A4" s="516" t="s">
        <v>213</v>
      </c>
      <c r="B4" s="517" t="s">
        <v>214</v>
      </c>
      <c r="C4" s="518"/>
      <c r="D4" s="518"/>
      <c r="E4" s="518"/>
      <c r="F4" s="518"/>
      <c r="G4" s="518">
        <f>G5-G6</f>
        <v>13789</v>
      </c>
      <c r="H4" s="545"/>
      <c r="J4" s="516" t="s">
        <v>55</v>
      </c>
      <c r="K4" s="491" t="s">
        <v>215</v>
      </c>
      <c r="L4" s="517"/>
      <c r="M4" s="507">
        <f>E5-G4</f>
        <v>340332</v>
      </c>
      <c r="N4" s="492" t="s">
        <v>216</v>
      </c>
      <c r="O4" s="492"/>
    </row>
    <row r="5" spans="1:16" ht="18" customHeight="1" x14ac:dyDescent="0.15">
      <c r="A5" s="229">
        <v>1.1000000000000001</v>
      </c>
      <c r="B5" s="229" t="s">
        <v>217</v>
      </c>
      <c r="C5" s="513">
        <f>基础数据!C22</f>
        <v>0.09</v>
      </c>
      <c r="D5" s="515">
        <v>1</v>
      </c>
      <c r="E5" s="526">
        <f>'底表1（销售计划）'!C111</f>
        <v>354121</v>
      </c>
      <c r="F5" s="526">
        <f>E5-G5</f>
        <v>324882</v>
      </c>
      <c r="G5" s="526">
        <f>E5*D5*C5/(1+C5)</f>
        <v>29239</v>
      </c>
      <c r="H5" s="545"/>
      <c r="J5" s="519" t="s">
        <v>56</v>
      </c>
      <c r="K5" s="491" t="s">
        <v>218</v>
      </c>
      <c r="L5" s="517"/>
      <c r="M5" s="507">
        <f>SUM(M6:M9)</f>
        <v>359140</v>
      </c>
      <c r="N5" s="493" t="s">
        <v>508</v>
      </c>
      <c r="O5" s="493" t="s">
        <v>219</v>
      </c>
    </row>
    <row r="6" spans="1:16" ht="18" customHeight="1" x14ac:dyDescent="0.15">
      <c r="A6" s="229">
        <v>1.2</v>
      </c>
      <c r="B6" s="229" t="s">
        <v>220</v>
      </c>
      <c r="C6" s="515">
        <v>0.09</v>
      </c>
      <c r="D6" s="515">
        <v>1</v>
      </c>
      <c r="E6" s="526">
        <f>'主表1（成本）'!B15</f>
        <v>187119</v>
      </c>
      <c r="F6" s="526">
        <f>E6-G6</f>
        <v>171669</v>
      </c>
      <c r="G6" s="526">
        <f>E6*D6*C6/(1+C6)</f>
        <v>15450</v>
      </c>
      <c r="H6" s="545"/>
      <c r="J6" s="229" t="s">
        <v>221</v>
      </c>
      <c r="K6" s="504" t="s">
        <v>169</v>
      </c>
      <c r="M6" s="739">
        <f>E6+SUM(E8:E12)</f>
        <v>275532</v>
      </c>
      <c r="N6" s="493" t="s">
        <v>222</v>
      </c>
      <c r="O6" s="493">
        <v>0</v>
      </c>
    </row>
    <row r="7" spans="1:16" ht="18" customHeight="1" x14ac:dyDescent="0.15">
      <c r="A7" s="519">
        <v>2</v>
      </c>
      <c r="B7" s="517" t="s">
        <v>223</v>
      </c>
      <c r="C7" s="520"/>
      <c r="D7" s="520"/>
      <c r="E7" s="521">
        <f>SUM(E8:E14)</f>
        <v>100983</v>
      </c>
      <c r="F7" s="521">
        <f>SUM(F8:F14)</f>
        <v>95103</v>
      </c>
      <c r="G7" s="521">
        <f>SUM(G8:G14)</f>
        <v>5880</v>
      </c>
      <c r="H7" s="545"/>
      <c r="J7" s="527" t="s">
        <v>224</v>
      </c>
      <c r="K7" s="504" t="s">
        <v>225</v>
      </c>
      <c r="M7" s="506">
        <f>M6*10%</f>
        <v>27553</v>
      </c>
      <c r="N7" s="493" t="s">
        <v>226</v>
      </c>
      <c r="O7" s="494" t="s">
        <v>227</v>
      </c>
    </row>
    <row r="8" spans="1:16" ht="18" customHeight="1" x14ac:dyDescent="0.15">
      <c r="A8" s="229">
        <v>2.1</v>
      </c>
      <c r="B8" s="504" t="s">
        <v>228</v>
      </c>
      <c r="C8" s="515">
        <v>0.06</v>
      </c>
      <c r="D8" s="514">
        <v>0.8</v>
      </c>
      <c r="E8" s="526">
        <f>'主表1（成本）'!B22</f>
        <v>4826</v>
      </c>
      <c r="F8" s="526">
        <f t="shared" ref="F8:F14" si="0">E8-G8</f>
        <v>4607</v>
      </c>
      <c r="G8" s="526">
        <f>E8*D8/(1+C8)*C8</f>
        <v>219</v>
      </c>
      <c r="H8" s="545"/>
      <c r="J8" s="229" t="s">
        <v>229</v>
      </c>
      <c r="K8" s="511" t="s">
        <v>230</v>
      </c>
      <c r="M8" s="506">
        <f>G15*12%</f>
        <v>949</v>
      </c>
      <c r="N8" s="493" t="s">
        <v>231</v>
      </c>
      <c r="O8" s="494" t="s">
        <v>232</v>
      </c>
    </row>
    <row r="9" spans="1:16" ht="18" customHeight="1" x14ac:dyDescent="0.15">
      <c r="A9" s="229">
        <v>2.2000000000000002</v>
      </c>
      <c r="B9" s="504" t="s">
        <v>233</v>
      </c>
      <c r="C9" s="515">
        <v>0.09</v>
      </c>
      <c r="D9" s="514">
        <v>0.8</v>
      </c>
      <c r="E9" s="526">
        <f>'主表1（成本）'!B28</f>
        <v>75008</v>
      </c>
      <c r="F9" s="526">
        <f t="shared" si="0"/>
        <v>70053</v>
      </c>
      <c r="G9" s="526">
        <f t="shared" ref="G9:G14" si="1">E9*D9/(1+C9)*C9</f>
        <v>4955</v>
      </c>
      <c r="H9" s="545"/>
      <c r="J9" s="229" t="s">
        <v>234</v>
      </c>
      <c r="K9" s="504" t="s">
        <v>235</v>
      </c>
      <c r="M9" s="506">
        <f>M6*20%</f>
        <v>55106</v>
      </c>
      <c r="N9" s="493" t="s">
        <v>236</v>
      </c>
      <c r="O9" s="494" t="s">
        <v>237</v>
      </c>
    </row>
    <row r="10" spans="1:16" ht="18" customHeight="1" x14ac:dyDescent="0.15">
      <c r="A10" s="229">
        <v>2.2999999999999998</v>
      </c>
      <c r="B10" s="504" t="s">
        <v>238</v>
      </c>
      <c r="C10" s="515">
        <v>0.09</v>
      </c>
      <c r="D10" s="514">
        <v>0.8</v>
      </c>
      <c r="E10" s="526">
        <f>'主表1（成本）'!B29</f>
        <v>2334</v>
      </c>
      <c r="F10" s="526">
        <f t="shared" si="0"/>
        <v>2180</v>
      </c>
      <c r="G10" s="526">
        <f t="shared" si="1"/>
        <v>154</v>
      </c>
      <c r="H10" s="545"/>
      <c r="J10" s="519" t="s">
        <v>57</v>
      </c>
      <c r="K10" s="491" t="s">
        <v>171</v>
      </c>
      <c r="L10" s="517"/>
      <c r="M10" s="507">
        <f>M4-M5</f>
        <v>-18808</v>
      </c>
      <c r="N10" s="493" t="s">
        <v>239</v>
      </c>
      <c r="O10" s="494" t="s">
        <v>240</v>
      </c>
    </row>
    <row r="11" spans="1:16" ht="18" customHeight="1" x14ac:dyDescent="0.15">
      <c r="A11" s="229">
        <v>2.4</v>
      </c>
      <c r="B11" s="504" t="s">
        <v>241</v>
      </c>
      <c r="C11" s="515">
        <v>0.09</v>
      </c>
      <c r="D11" s="514">
        <v>0.8</v>
      </c>
      <c r="E11" s="526">
        <f>'主表1（成本）'!B30</f>
        <v>3501</v>
      </c>
      <c r="F11" s="526">
        <f t="shared" si="0"/>
        <v>3270</v>
      </c>
      <c r="G11" s="526">
        <f t="shared" si="1"/>
        <v>231</v>
      </c>
      <c r="H11" s="545"/>
      <c r="J11" s="519" t="s">
        <v>159</v>
      </c>
      <c r="K11" s="491" t="s">
        <v>242</v>
      </c>
      <c r="L11" s="517"/>
      <c r="M11" s="512">
        <f>M10/M5</f>
        <v>-0.05</v>
      </c>
      <c r="N11" s="492" t="s">
        <v>243</v>
      </c>
      <c r="O11" s="495" t="str">
        <f>基础数据!C45</f>
        <v>否</v>
      </c>
    </row>
    <row r="12" spans="1:16" ht="18" customHeight="1" x14ac:dyDescent="0.15">
      <c r="A12" s="229">
        <v>2.6</v>
      </c>
      <c r="B12" s="504" t="s">
        <v>244</v>
      </c>
      <c r="C12" s="515">
        <v>0.09</v>
      </c>
      <c r="D12" s="514">
        <v>0</v>
      </c>
      <c r="E12" s="526">
        <f>'主表1（成本）'!B35</f>
        <v>2744</v>
      </c>
      <c r="F12" s="526">
        <f t="shared" si="0"/>
        <v>2744</v>
      </c>
      <c r="G12" s="526">
        <f t="shared" si="1"/>
        <v>0</v>
      </c>
      <c r="H12" s="545"/>
      <c r="J12" s="519" t="s">
        <v>160</v>
      </c>
      <c r="K12" s="491" t="s">
        <v>245</v>
      </c>
      <c r="L12" s="517"/>
      <c r="M12" s="507">
        <f>IF(M11&gt;0,IF(M11&lt;=20%,IF(O11="是",O6,O7),IF(M11&lt;=50%,O7,IF(M11&lt;=100%,O8,IF(M11&lt;=200%,O9,O10)))),O6)</f>
        <v>0</v>
      </c>
      <c r="N12" s="492"/>
      <c r="O12" s="496"/>
    </row>
    <row r="13" spans="1:16" ht="18" customHeight="1" x14ac:dyDescent="0.15">
      <c r="A13" s="229">
        <v>2.7</v>
      </c>
      <c r="B13" s="504" t="s">
        <v>246</v>
      </c>
      <c r="C13" s="515">
        <v>0.06</v>
      </c>
      <c r="D13" s="514">
        <v>0</v>
      </c>
      <c r="E13" s="526">
        <f>'主表1（成本）'!B33</f>
        <v>5488</v>
      </c>
      <c r="F13" s="526">
        <f t="shared" si="0"/>
        <v>5488</v>
      </c>
      <c r="G13" s="526">
        <f t="shared" si="1"/>
        <v>0</v>
      </c>
      <c r="H13" s="545"/>
      <c r="J13" s="505" t="s">
        <v>161</v>
      </c>
      <c r="K13" s="503" t="s">
        <v>247</v>
      </c>
      <c r="L13" s="317"/>
      <c r="M13" s="508">
        <f>IF(M11&gt;0,IF(M11&lt;=20%,IF(O11="是",O6,M10*30%),IF(M11&lt;=50%,M10*30%,IF(M11&lt;=100%,M10*40%-M5*5%,IF(M11&lt;=200%,M10*50%-M5*15%,M10*60%-M5*35%)))),O6)</f>
        <v>0</v>
      </c>
      <c r="N13" s="509"/>
      <c r="O13" s="510"/>
      <c r="P13" s="523"/>
    </row>
    <row r="14" spans="1:16" ht="18" customHeight="1" x14ac:dyDescent="0.15">
      <c r="A14" s="229">
        <v>2.8</v>
      </c>
      <c r="B14" s="504" t="s">
        <v>248</v>
      </c>
      <c r="C14" s="515">
        <v>0.06</v>
      </c>
      <c r="D14" s="514">
        <v>0.8</v>
      </c>
      <c r="E14" s="526">
        <f>'主表1（成本）'!B32</f>
        <v>7082</v>
      </c>
      <c r="F14" s="526">
        <f t="shared" si="0"/>
        <v>6761</v>
      </c>
      <c r="G14" s="526">
        <f t="shared" si="1"/>
        <v>321</v>
      </c>
      <c r="H14" s="545"/>
      <c r="J14" s="229"/>
    </row>
    <row r="15" spans="1:16" ht="18" customHeight="1" x14ac:dyDescent="0.15">
      <c r="A15" s="505">
        <v>3</v>
      </c>
      <c r="B15" s="502" t="s">
        <v>509</v>
      </c>
      <c r="C15" s="501"/>
      <c r="D15" s="501"/>
      <c r="E15" s="501"/>
      <c r="F15" s="501"/>
      <c r="G15" s="501">
        <f>G4-G7</f>
        <v>7909</v>
      </c>
      <c r="H15" s="545"/>
      <c r="J15" s="519"/>
    </row>
    <row r="16" spans="1:16" ht="18" customHeight="1" x14ac:dyDescent="0.15">
      <c r="H16" s="545"/>
    </row>
    <row r="17" spans="1:10" ht="18" customHeight="1" x14ac:dyDescent="0.15">
      <c r="A17" s="525" t="s">
        <v>518</v>
      </c>
      <c r="B17" s="525"/>
      <c r="H17" s="545"/>
      <c r="J17" s="497"/>
    </row>
    <row r="18" spans="1:10" ht="18" customHeight="1" x14ac:dyDescent="0.15">
      <c r="A18" s="528"/>
      <c r="B18" s="529"/>
      <c r="C18" s="528" t="s">
        <v>510</v>
      </c>
      <c r="D18" s="529"/>
      <c r="E18" s="532" t="s">
        <v>511</v>
      </c>
      <c r="F18" s="532" t="s">
        <v>512</v>
      </c>
      <c r="G18" s="532" t="s">
        <v>513</v>
      </c>
      <c r="H18" s="545"/>
      <c r="J18" s="213"/>
    </row>
    <row r="19" spans="1:10" ht="18" customHeight="1" x14ac:dyDescent="0.15">
      <c r="A19" s="528"/>
      <c r="B19" s="544" t="s">
        <v>520</v>
      </c>
      <c r="C19" s="543"/>
      <c r="D19" s="531" t="s">
        <v>514</v>
      </c>
      <c r="E19" s="542"/>
      <c r="F19" s="330">
        <f>ROUND(C19*E19/10000,0)</f>
        <v>0</v>
      </c>
      <c r="G19" s="330">
        <f>ROUND(F19/(1+$C$5)*$C$5,0)</f>
        <v>0</v>
      </c>
      <c r="H19" s="545"/>
    </row>
    <row r="20" spans="1:10" ht="18" customHeight="1" x14ac:dyDescent="0.15">
      <c r="A20" s="528"/>
      <c r="B20" s="544" t="s">
        <v>520</v>
      </c>
      <c r="C20" s="543"/>
      <c r="D20" s="531" t="s">
        <v>515</v>
      </c>
      <c r="E20" s="542"/>
      <c r="F20" s="330">
        <f>ROUND(C20*E20/10000,0)</f>
        <v>0</v>
      </c>
      <c r="G20" s="330">
        <f>ROUND(F20/(1+$C$5)*$C$5,0)</f>
        <v>0</v>
      </c>
      <c r="H20" s="545"/>
    </row>
    <row r="21" spans="1:10" ht="18" customHeight="1" x14ac:dyDescent="0.15">
      <c r="A21" s="528"/>
      <c r="B21" s="544" t="s">
        <v>516</v>
      </c>
      <c r="C21" s="543"/>
      <c r="D21" s="531"/>
      <c r="E21" s="542"/>
      <c r="F21" s="330">
        <f>ROUND(C21*E21/10000,0)</f>
        <v>0</v>
      </c>
      <c r="G21" s="330">
        <f>ROUND(F21/(1+$C$5)*$C$5,0)</f>
        <v>0</v>
      </c>
      <c r="H21" s="545"/>
    </row>
    <row r="22" spans="1:10" ht="18" customHeight="1" x14ac:dyDescent="0.15">
      <c r="A22" s="528"/>
      <c r="B22" s="544" t="s">
        <v>516</v>
      </c>
      <c r="C22" s="543"/>
      <c r="D22" s="531"/>
      <c r="E22" s="542"/>
      <c r="F22" s="330">
        <f>ROUND(C22*E22/10000,0)</f>
        <v>0</v>
      </c>
      <c r="G22" s="330">
        <f>ROUND(F22/(1+$C$5)*$C$5,0)</f>
        <v>0</v>
      </c>
      <c r="H22" s="545"/>
    </row>
    <row r="23" spans="1:10" ht="18" customHeight="1" x14ac:dyDescent="0.15">
      <c r="A23" s="528"/>
      <c r="B23" s="531" t="s">
        <v>517</v>
      </c>
      <c r="C23" s="530"/>
      <c r="D23" s="531"/>
      <c r="E23" s="330"/>
      <c r="F23" s="330">
        <f>SUM(F19:F22)</f>
        <v>0</v>
      </c>
      <c r="G23" s="330">
        <f>SUM(G19:G22)</f>
        <v>0</v>
      </c>
      <c r="H23" s="545"/>
    </row>
  </sheetData>
  <phoneticPr fontId="21" type="noConversion"/>
  <pageMargins left="0.7" right="0.7" top="0.75" bottom="0.75" header="0.3" footer="0.3"/>
  <pageSetup paperSize="9" scale="4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3"/>
    <outlinePr summaryBelow="0" summaryRight="0"/>
  </sheetPr>
  <dimension ref="A1:AZ243"/>
  <sheetViews>
    <sheetView view="pageBreakPreview" zoomScale="80" zoomScaleNormal="100" zoomScaleSheetLayoutView="80" workbookViewId="0">
      <pane xSplit="2" ySplit="4" topLeftCell="C26" activePane="bottomRight" state="frozen"/>
      <selection pane="topRight" activeCell="C1" sqref="C1"/>
      <selection pane="bottomLeft" activeCell="A5" sqref="A5"/>
      <selection pane="bottomRight" activeCell="B27" sqref="B27:B39"/>
    </sheetView>
  </sheetViews>
  <sheetFormatPr defaultRowHeight="18" customHeight="1" outlineLevelRow="2" x14ac:dyDescent="0.15"/>
  <cols>
    <col min="1" max="1" width="29.125" style="134" customWidth="1"/>
    <col min="2" max="42" width="13.625" style="134" customWidth="1"/>
    <col min="43" max="43" width="11.125" style="135" customWidth="1"/>
    <col min="44" max="44" width="15.875" style="134" customWidth="1"/>
    <col min="45" max="45" width="12.125" style="134" customWidth="1"/>
    <col min="46" max="46" width="10.625" style="134" customWidth="1"/>
    <col min="47" max="47" width="10.5" style="134" customWidth="1"/>
    <col min="48" max="16384" width="9" style="134"/>
  </cols>
  <sheetData>
    <row r="1" spans="1:44" ht="18" customHeight="1" x14ac:dyDescent="0.15">
      <c r="A1" s="235" t="s">
        <v>431</v>
      </c>
      <c r="B1" s="236"/>
      <c r="C1" s="236" t="s">
        <v>318</v>
      </c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236"/>
      <c r="Z1" s="236"/>
      <c r="AA1" s="236"/>
      <c r="AB1" s="236"/>
      <c r="AC1" s="236"/>
      <c r="AD1" s="236"/>
      <c r="AE1" s="236"/>
      <c r="AF1" s="236"/>
      <c r="AG1" s="236"/>
      <c r="AH1" s="236"/>
      <c r="AI1" s="236"/>
      <c r="AJ1" s="236"/>
      <c r="AK1" s="236"/>
      <c r="AL1" s="236"/>
      <c r="AM1" s="236"/>
      <c r="AN1" s="236"/>
      <c r="AO1" s="236"/>
      <c r="AP1" s="236"/>
      <c r="AQ1" s="133"/>
    </row>
    <row r="2" spans="1:44" ht="18" customHeight="1" x14ac:dyDescent="0.15">
      <c r="A2" s="237" t="s">
        <v>8</v>
      </c>
      <c r="B2" s="236"/>
      <c r="C2" s="638"/>
      <c r="D2" s="638"/>
      <c r="E2" s="638"/>
      <c r="F2" s="638"/>
      <c r="G2" s="638"/>
      <c r="H2" s="638"/>
      <c r="I2" s="638"/>
      <c r="J2" s="638"/>
      <c r="K2" s="638"/>
      <c r="L2" s="638"/>
      <c r="M2" s="638"/>
      <c r="N2" s="638"/>
      <c r="O2" s="638"/>
      <c r="P2" s="638"/>
      <c r="Q2" s="236"/>
      <c r="R2" s="236"/>
      <c r="S2" s="236"/>
      <c r="T2" s="236"/>
      <c r="U2" s="236"/>
      <c r="V2" s="236"/>
      <c r="W2" s="236"/>
      <c r="X2" s="236"/>
      <c r="Y2" s="236"/>
      <c r="Z2" s="236"/>
      <c r="AA2" s="236"/>
      <c r="AB2" s="236"/>
      <c r="AC2" s="236"/>
      <c r="AD2" s="236"/>
      <c r="AE2" s="236"/>
      <c r="AF2" s="236"/>
      <c r="AG2" s="236"/>
      <c r="AH2" s="236"/>
      <c r="AI2" s="236"/>
      <c r="AJ2" s="236"/>
      <c r="AK2" s="236"/>
      <c r="AL2" s="236"/>
      <c r="AM2" s="236"/>
      <c r="AN2" s="236"/>
      <c r="AO2" s="236"/>
      <c r="AP2" s="236"/>
    </row>
    <row r="3" spans="1:44" ht="18" customHeight="1" x14ac:dyDescent="0.15">
      <c r="A3" s="819" t="s">
        <v>496</v>
      </c>
      <c r="B3" s="819" t="s">
        <v>319</v>
      </c>
      <c r="C3" s="821" t="str">
        <f>CONCATENATE(TEXT(基础数据!$C$8,"@"),"年")</f>
        <v>2021年</v>
      </c>
      <c r="D3" s="822"/>
      <c r="E3" s="822"/>
      <c r="F3" s="823"/>
      <c r="G3" s="821" t="str">
        <f>CONCATENATE(TEXT(基础数据!$C$8+1,"@"),"年")</f>
        <v>2022年</v>
      </c>
      <c r="H3" s="822"/>
      <c r="I3" s="822"/>
      <c r="J3" s="823"/>
      <c r="K3" s="821" t="str">
        <f>CONCATENATE(TEXT(基础数据!$C$8+2,"@"),"年")</f>
        <v>2023年</v>
      </c>
      <c r="L3" s="822"/>
      <c r="M3" s="822"/>
      <c r="N3" s="823"/>
      <c r="O3" s="821" t="str">
        <f>CONCATENATE(TEXT(基础数据!$C$8+3,"@"),"年")</f>
        <v>2024年</v>
      </c>
      <c r="P3" s="822"/>
      <c r="Q3" s="822"/>
      <c r="R3" s="823"/>
      <c r="S3" s="821" t="str">
        <f>CONCATENATE(TEXT(基础数据!$C$8+4,"@"),"年")</f>
        <v>2025年</v>
      </c>
      <c r="T3" s="822"/>
      <c r="U3" s="822"/>
      <c r="V3" s="823"/>
      <c r="W3" s="821" t="str">
        <f>CONCATENATE(TEXT(基础数据!$C$8+5,"@"),"年")</f>
        <v>2026年</v>
      </c>
      <c r="X3" s="822"/>
      <c r="Y3" s="822"/>
      <c r="Z3" s="823"/>
      <c r="AA3" s="821" t="str">
        <f>CONCATENATE(TEXT(基础数据!$C$8+6,"@"),"年")</f>
        <v>2027年</v>
      </c>
      <c r="AB3" s="822"/>
      <c r="AC3" s="822"/>
      <c r="AD3" s="823"/>
      <c r="AE3" s="821" t="str">
        <f>CONCATENATE(TEXT(基础数据!$C$8+7,"@"),"年")</f>
        <v>2028年</v>
      </c>
      <c r="AF3" s="822"/>
      <c r="AG3" s="822"/>
      <c r="AH3" s="823"/>
      <c r="AI3" s="821" t="str">
        <f>CONCATENATE(TEXT(基础数据!$C$8+8,"@"),"年")</f>
        <v>2029年</v>
      </c>
      <c r="AJ3" s="822"/>
      <c r="AK3" s="822"/>
      <c r="AL3" s="823"/>
      <c r="AM3" s="821" t="str">
        <f>CONCATENATE(TEXT(基础数据!$C$8+9,"@"),"年")</f>
        <v>2030年</v>
      </c>
      <c r="AN3" s="822"/>
      <c r="AO3" s="822"/>
      <c r="AP3" s="823"/>
    </row>
    <row r="4" spans="1:44" ht="18" customHeight="1" x14ac:dyDescent="0.15">
      <c r="A4" s="819"/>
      <c r="B4" s="819"/>
      <c r="C4" s="539" t="s">
        <v>251</v>
      </c>
      <c r="D4" s="540" t="s">
        <v>252</v>
      </c>
      <c r="E4" s="540" t="s">
        <v>253</v>
      </c>
      <c r="F4" s="541" t="s">
        <v>254</v>
      </c>
      <c r="G4" s="539" t="s">
        <v>255</v>
      </c>
      <c r="H4" s="540" t="s">
        <v>256</v>
      </c>
      <c r="I4" s="540" t="s">
        <v>253</v>
      </c>
      <c r="J4" s="541" t="s">
        <v>254</v>
      </c>
      <c r="K4" s="539" t="s">
        <v>179</v>
      </c>
      <c r="L4" s="540" t="s">
        <v>256</v>
      </c>
      <c r="M4" s="540" t="s">
        <v>253</v>
      </c>
      <c r="N4" s="541" t="s">
        <v>254</v>
      </c>
      <c r="O4" s="539" t="s">
        <v>255</v>
      </c>
      <c r="P4" s="540" t="s">
        <v>256</v>
      </c>
      <c r="Q4" s="540" t="s">
        <v>253</v>
      </c>
      <c r="R4" s="541" t="s">
        <v>254</v>
      </c>
      <c r="S4" s="539" t="s">
        <v>255</v>
      </c>
      <c r="T4" s="540" t="s">
        <v>256</v>
      </c>
      <c r="U4" s="540" t="s">
        <v>253</v>
      </c>
      <c r="V4" s="541" t="s">
        <v>254</v>
      </c>
      <c r="W4" s="539" t="s">
        <v>179</v>
      </c>
      <c r="X4" s="540" t="s">
        <v>180</v>
      </c>
      <c r="Y4" s="540" t="s">
        <v>181</v>
      </c>
      <c r="Z4" s="541" t="s">
        <v>182</v>
      </c>
      <c r="AA4" s="539" t="s">
        <v>179</v>
      </c>
      <c r="AB4" s="540" t="s">
        <v>180</v>
      </c>
      <c r="AC4" s="540" t="s">
        <v>181</v>
      </c>
      <c r="AD4" s="541" t="s">
        <v>182</v>
      </c>
      <c r="AE4" s="539" t="s">
        <v>179</v>
      </c>
      <c r="AF4" s="540" t="s">
        <v>180</v>
      </c>
      <c r="AG4" s="540" t="s">
        <v>181</v>
      </c>
      <c r="AH4" s="541" t="s">
        <v>182</v>
      </c>
      <c r="AI4" s="539" t="s">
        <v>179</v>
      </c>
      <c r="AJ4" s="540" t="s">
        <v>180</v>
      </c>
      <c r="AK4" s="540" t="s">
        <v>181</v>
      </c>
      <c r="AL4" s="541" t="s">
        <v>182</v>
      </c>
      <c r="AM4" s="539" t="s">
        <v>255</v>
      </c>
      <c r="AN4" s="540" t="s">
        <v>256</v>
      </c>
      <c r="AO4" s="540" t="s">
        <v>253</v>
      </c>
      <c r="AP4" s="541" t="s">
        <v>254</v>
      </c>
    </row>
    <row r="5" spans="1:44" s="137" customFormat="1" ht="18" customHeight="1" x14ac:dyDescent="0.15">
      <c r="A5" s="235" t="s">
        <v>320</v>
      </c>
      <c r="B5" s="239">
        <f>SUM(C5:AP5)</f>
        <v>302593</v>
      </c>
      <c r="C5" s="734">
        <f>SUM(C6:C13)</f>
        <v>0</v>
      </c>
      <c r="D5" s="238">
        <f>SUM(D6:D13)</f>
        <v>180664</v>
      </c>
      <c r="E5" s="238">
        <f>SUM(E6:E13)</f>
        <v>27913</v>
      </c>
      <c r="F5" s="238">
        <f>SUM(F6:F13)</f>
        <v>17318</v>
      </c>
      <c r="G5" s="238">
        <f t="shared" ref="G5:AP5" si="0">SUM(G6:G13)</f>
        <v>11977</v>
      </c>
      <c r="H5" s="238">
        <f t="shared" si="0"/>
        <v>11011</v>
      </c>
      <c r="I5" s="238">
        <f t="shared" si="0"/>
        <v>9990</v>
      </c>
      <c r="J5" s="238">
        <f t="shared" si="0"/>
        <v>9394</v>
      </c>
      <c r="K5" s="238">
        <f t="shared" si="0"/>
        <v>7578</v>
      </c>
      <c r="L5" s="238">
        <f t="shared" si="0"/>
        <v>7302</v>
      </c>
      <c r="M5" s="238">
        <f t="shared" si="0"/>
        <v>5413</v>
      </c>
      <c r="N5" s="238">
        <f t="shared" si="0"/>
        <v>5381</v>
      </c>
      <c r="O5" s="238">
        <f t="shared" si="0"/>
        <v>4367</v>
      </c>
      <c r="P5" s="238">
        <f t="shared" si="0"/>
        <v>4285</v>
      </c>
      <c r="Q5" s="238">
        <f t="shared" si="0"/>
        <v>0</v>
      </c>
      <c r="R5" s="238">
        <f t="shared" si="0"/>
        <v>0</v>
      </c>
      <c r="S5" s="238">
        <f t="shared" si="0"/>
        <v>0</v>
      </c>
      <c r="T5" s="238">
        <f t="shared" si="0"/>
        <v>0</v>
      </c>
      <c r="U5" s="238">
        <f t="shared" si="0"/>
        <v>0</v>
      </c>
      <c r="V5" s="238">
        <f t="shared" si="0"/>
        <v>0</v>
      </c>
      <c r="W5" s="238">
        <f t="shared" ref="W5:AL5" si="1">SUM(W6:W13)</f>
        <v>0</v>
      </c>
      <c r="X5" s="238">
        <f t="shared" si="1"/>
        <v>0</v>
      </c>
      <c r="Y5" s="238">
        <f t="shared" si="1"/>
        <v>0</v>
      </c>
      <c r="Z5" s="238">
        <f t="shared" si="1"/>
        <v>0</v>
      </c>
      <c r="AA5" s="238">
        <f t="shared" si="1"/>
        <v>0</v>
      </c>
      <c r="AB5" s="238">
        <f t="shared" si="1"/>
        <v>0</v>
      </c>
      <c r="AC5" s="238">
        <f t="shared" si="1"/>
        <v>0</v>
      </c>
      <c r="AD5" s="238">
        <f t="shared" si="1"/>
        <v>0</v>
      </c>
      <c r="AE5" s="238">
        <f t="shared" si="1"/>
        <v>0</v>
      </c>
      <c r="AF5" s="238">
        <f t="shared" si="1"/>
        <v>0</v>
      </c>
      <c r="AG5" s="238">
        <f t="shared" si="1"/>
        <v>0</v>
      </c>
      <c r="AH5" s="238">
        <f t="shared" si="1"/>
        <v>0</v>
      </c>
      <c r="AI5" s="238">
        <f t="shared" si="1"/>
        <v>0</v>
      </c>
      <c r="AJ5" s="238">
        <f t="shared" si="1"/>
        <v>0</v>
      </c>
      <c r="AK5" s="238">
        <f t="shared" si="1"/>
        <v>0</v>
      </c>
      <c r="AL5" s="238">
        <f t="shared" si="1"/>
        <v>0</v>
      </c>
      <c r="AM5" s="238">
        <f t="shared" si="0"/>
        <v>0</v>
      </c>
      <c r="AN5" s="238">
        <f t="shared" si="0"/>
        <v>0</v>
      </c>
      <c r="AO5" s="238">
        <f t="shared" si="0"/>
        <v>0</v>
      </c>
      <c r="AP5" s="238">
        <f t="shared" si="0"/>
        <v>0</v>
      </c>
      <c r="AQ5" s="136"/>
    </row>
    <row r="6" spans="1:44" ht="18" customHeight="1" outlineLevel="1" x14ac:dyDescent="0.15">
      <c r="A6" s="243" t="s">
        <v>321</v>
      </c>
      <c r="B6" s="264">
        <f t="shared" ref="B6:B39" si="2">SUM(C6:AP6)</f>
        <v>73399</v>
      </c>
      <c r="C6" s="750">
        <f>C14-SUM(C8:C11)-C7</f>
        <v>0</v>
      </c>
      <c r="D6" s="750">
        <f>D14-SUM(D8:D11)-D7</f>
        <v>57146</v>
      </c>
      <c r="E6" s="750">
        <f>E14-SUM(E8:E11)-E7</f>
        <v>16253</v>
      </c>
      <c r="F6" s="750"/>
      <c r="G6" s="750"/>
      <c r="H6" s="750"/>
      <c r="I6" s="750"/>
      <c r="J6" s="750"/>
      <c r="K6" s="750"/>
      <c r="L6" s="750"/>
      <c r="M6" s="750"/>
      <c r="N6" s="750"/>
      <c r="O6" s="750"/>
      <c r="P6" s="750"/>
      <c r="Q6" s="750"/>
      <c r="R6" s="750"/>
      <c r="S6" s="750"/>
      <c r="T6" s="750"/>
      <c r="U6" s="750"/>
      <c r="V6" s="750"/>
      <c r="W6" s="750"/>
      <c r="X6" s="750"/>
      <c r="Y6" s="750"/>
      <c r="Z6" s="750"/>
      <c r="AA6" s="750"/>
      <c r="AB6" s="750"/>
      <c r="AC6" s="750"/>
      <c r="AD6" s="750"/>
      <c r="AE6" s="750"/>
      <c r="AF6" s="750"/>
      <c r="AG6" s="750"/>
      <c r="AH6" s="750"/>
      <c r="AI6" s="750"/>
      <c r="AJ6" s="750"/>
      <c r="AK6" s="750"/>
      <c r="AL6" s="750"/>
      <c r="AM6" s="750"/>
      <c r="AN6" s="750"/>
      <c r="AO6" s="750"/>
      <c r="AP6" s="750"/>
    </row>
    <row r="7" spans="1:44" ht="18" customHeight="1" outlineLevel="1" x14ac:dyDescent="0.15">
      <c r="A7" s="243" t="str">
        <f>基础数据!B12</f>
        <v>信托-权益性投资</v>
      </c>
      <c r="B7" s="264">
        <f t="shared" si="2"/>
        <v>13518</v>
      </c>
      <c r="C7" s="750"/>
      <c r="D7" s="750">
        <f>基础数据!D12</f>
        <v>13518</v>
      </c>
      <c r="E7" s="750"/>
      <c r="F7" s="750"/>
      <c r="G7" s="750"/>
      <c r="H7" s="750"/>
      <c r="I7" s="750"/>
      <c r="J7" s="750"/>
      <c r="K7" s="750"/>
      <c r="L7" s="262"/>
      <c r="M7" s="262"/>
      <c r="N7" s="262"/>
      <c r="O7" s="262"/>
      <c r="P7" s="262"/>
      <c r="Q7" s="262"/>
      <c r="R7" s="262"/>
      <c r="S7" s="262"/>
      <c r="T7" s="262"/>
      <c r="U7" s="262"/>
      <c r="V7" s="262"/>
      <c r="W7" s="262"/>
      <c r="X7" s="262"/>
      <c r="Y7" s="262"/>
      <c r="Z7" s="262"/>
      <c r="AA7" s="262"/>
      <c r="AB7" s="262"/>
      <c r="AC7" s="262"/>
      <c r="AD7" s="262"/>
      <c r="AE7" s="262"/>
      <c r="AF7" s="262"/>
      <c r="AG7" s="262"/>
      <c r="AH7" s="262"/>
      <c r="AI7" s="262"/>
      <c r="AJ7" s="262"/>
      <c r="AK7" s="262"/>
      <c r="AL7" s="262"/>
      <c r="AM7" s="262"/>
      <c r="AN7" s="262"/>
      <c r="AO7" s="262"/>
      <c r="AP7" s="262"/>
      <c r="AQ7" s="133"/>
    </row>
    <row r="8" spans="1:44" ht="18" customHeight="1" outlineLevel="1" x14ac:dyDescent="0.15">
      <c r="A8" s="243" t="str">
        <f>基础数据!B13</f>
        <v>信托-股东借款</v>
      </c>
      <c r="B8" s="264">
        <f t="shared" si="2"/>
        <v>0</v>
      </c>
      <c r="C8" s="751">
        <f>'主表6（负债偿还预测）'!D15-'主表6（负债偿还预测）'!D20</f>
        <v>0</v>
      </c>
      <c r="D8" s="751">
        <f>'主表6（负债偿还预测）'!E15-'主表6（负债偿还预测）'!E20</f>
        <v>110000</v>
      </c>
      <c r="E8" s="751">
        <f>'主表6（负债偿还预测）'!F15-'主表6（负债偿还预测）'!F20</f>
        <v>11660</v>
      </c>
      <c r="F8" s="751">
        <f>'主表6（负债偿还预测）'!G15-'主表6（负债偿还预测）'!G20</f>
        <v>-24000</v>
      </c>
      <c r="G8" s="751">
        <f>'主表6（负债偿还预测）'!H15-'主表6（负债偿还预测）'!H20</f>
        <v>-32000</v>
      </c>
      <c r="H8" s="751">
        <f>'主表6（负债偿还预测）'!I15-'主表6（负债偿还预测）'!I20</f>
        <v>-45000</v>
      </c>
      <c r="I8" s="751">
        <f>'主表6（负债偿还预测）'!J15-'主表6（负债偿还预测）'!J20</f>
        <v>-20660</v>
      </c>
      <c r="J8" s="751">
        <f>'主表6（负债偿还预测）'!K15-'主表6（负债偿还预测）'!K20</f>
        <v>0</v>
      </c>
      <c r="K8" s="751">
        <f>'主表6（负债偿还预测）'!L15-'主表6（负债偿还预测）'!L20</f>
        <v>0</v>
      </c>
      <c r="L8" s="751">
        <f>'主表6（负债偿还预测）'!M15-'主表6（负债偿还预测）'!M20</f>
        <v>0</v>
      </c>
      <c r="M8" s="751">
        <f>'主表6（负债偿还预测）'!N15-'主表6（负债偿还预测）'!N20</f>
        <v>0</v>
      </c>
      <c r="N8" s="751">
        <f>'主表6（负债偿还预测）'!O15-'主表6（负债偿还预测）'!O20</f>
        <v>0</v>
      </c>
      <c r="O8" s="751">
        <f>'主表6（负债偿还预测）'!P15-'主表6（负债偿还预测）'!P20</f>
        <v>0</v>
      </c>
      <c r="P8" s="751">
        <f>'主表6（负债偿还预测）'!Q15-'主表6（负债偿还预测）'!Q20</f>
        <v>0</v>
      </c>
      <c r="Q8" s="751">
        <f>'主表6（负债偿还预测）'!R15-'主表6（负债偿还预测）'!R20</f>
        <v>0</v>
      </c>
      <c r="R8" s="751">
        <f>'主表6（负债偿还预测）'!S15-'主表6（负债偿还预测）'!S20</f>
        <v>0</v>
      </c>
      <c r="S8" s="751">
        <f>'主表6（负债偿还预测）'!T15-'主表6（负债偿还预测）'!T20</f>
        <v>0</v>
      </c>
      <c r="T8" s="751">
        <f>'主表6（负债偿还预测）'!U15-'主表6（负债偿还预测）'!U20</f>
        <v>0</v>
      </c>
      <c r="U8" s="751">
        <f>'主表6（负债偿还预测）'!V15-'主表6（负债偿还预测）'!V20</f>
        <v>0</v>
      </c>
      <c r="V8" s="751">
        <f>'主表6（负债偿还预测）'!W15-'主表6（负债偿还预测）'!W20</f>
        <v>0</v>
      </c>
      <c r="W8" s="751">
        <f>'主表6（负债偿还预测）'!X15-'主表6（负债偿还预测）'!X20</f>
        <v>0</v>
      </c>
      <c r="X8" s="751">
        <f>'主表6（负债偿还预测）'!Y15-'主表6（负债偿还预测）'!Y20</f>
        <v>0</v>
      </c>
      <c r="Y8" s="751">
        <f>'主表6（负债偿还预测）'!Z15-'主表6（负债偿还预测）'!Z20</f>
        <v>0</v>
      </c>
      <c r="Z8" s="751">
        <f>'主表6（负债偿还预测）'!AA15-'主表6（负债偿还预测）'!AA20</f>
        <v>0</v>
      </c>
      <c r="AA8" s="751">
        <f>'主表6（负债偿还预测）'!AB15-'主表6（负债偿还预测）'!AB20</f>
        <v>0</v>
      </c>
      <c r="AB8" s="751">
        <f>'主表6（负债偿还预测）'!AC15-'主表6（负债偿还预测）'!AC20</f>
        <v>0</v>
      </c>
      <c r="AC8" s="751">
        <f>'主表6（负债偿还预测）'!AD15-'主表6（负债偿还预测）'!AD20</f>
        <v>0</v>
      </c>
      <c r="AD8" s="751">
        <f>'主表6（负债偿还预测）'!AE15-'主表6（负债偿还预测）'!AE20</f>
        <v>0</v>
      </c>
      <c r="AE8" s="751">
        <f>'主表6（负债偿还预测）'!AF15-'主表6（负债偿还预测）'!AF20</f>
        <v>0</v>
      </c>
      <c r="AF8" s="751">
        <f>'主表6（负债偿还预测）'!AG15-'主表6（负债偿还预测）'!AG20</f>
        <v>0</v>
      </c>
      <c r="AG8" s="751">
        <f>'主表6（负债偿还预测）'!AH15-'主表6（负债偿还预测）'!AH20</f>
        <v>0</v>
      </c>
      <c r="AH8" s="751">
        <f>'主表6（负债偿还预测）'!AI15-'主表6（负债偿还预测）'!AI20</f>
        <v>0</v>
      </c>
      <c r="AI8" s="751">
        <f>'主表6（负债偿还预测）'!AJ15-'主表6（负债偿还预测）'!AJ20</f>
        <v>0</v>
      </c>
      <c r="AJ8" s="751">
        <f>'主表6（负债偿还预测）'!AK15-'主表6（负债偿还预测）'!AK20</f>
        <v>0</v>
      </c>
      <c r="AK8" s="751">
        <f>'主表6（负债偿还预测）'!AL15-'主表6（负债偿还预测）'!AL20</f>
        <v>0</v>
      </c>
      <c r="AL8" s="751">
        <f>'主表6（负债偿还预测）'!AM15-'主表6（负债偿还预测）'!AM20</f>
        <v>0</v>
      </c>
      <c r="AM8" s="751">
        <f>'主表6（负债偿还预测）'!AN15-'主表6（负债偿还预测）'!AN20</f>
        <v>0</v>
      </c>
      <c r="AN8" s="751">
        <f>'主表6（负债偿还预测）'!AO15-'主表6（负债偿还预测）'!AO20</f>
        <v>0</v>
      </c>
      <c r="AO8" s="751">
        <f>'主表6（负债偿还预测）'!AP15-'主表6（负债偿还预测）'!AP20</f>
        <v>0</v>
      </c>
      <c r="AP8" s="751">
        <f>'主表6（负债偿还预测）'!AQ15-'主表6（负债偿还预测）'!AQ20</f>
        <v>0</v>
      </c>
      <c r="AR8" s="138"/>
    </row>
    <row r="9" spans="1:44" ht="18" customHeight="1" outlineLevel="1" x14ac:dyDescent="0.15">
      <c r="A9" s="243" t="str">
        <f>基础数据!B14</f>
        <v>集团-股东借款</v>
      </c>
      <c r="B9" s="264">
        <f t="shared" si="2"/>
        <v>0</v>
      </c>
      <c r="C9" s="751">
        <f>'主表6（负债偿还预测）'!D16-'主表6（负债偿还预测）'!D21</f>
        <v>0</v>
      </c>
      <c r="D9" s="751">
        <f>'主表6（负债偿还预测）'!E16-'主表6（负债偿还预测）'!E21</f>
        <v>0</v>
      </c>
      <c r="E9" s="751">
        <f>'主表6（负债偿还预测）'!F16-'主表6（负债偿还预测）'!F21</f>
        <v>0</v>
      </c>
      <c r="F9" s="751">
        <f>'主表6（负债偿还预测）'!G16-'主表6（负债偿还预测）'!G21</f>
        <v>0</v>
      </c>
      <c r="G9" s="751">
        <f>'主表6（负债偿还预测）'!H16-'主表6（负债偿还预测）'!H21</f>
        <v>0</v>
      </c>
      <c r="H9" s="751">
        <f>'主表6（负债偿还预测）'!I16-'主表6（负债偿还预测）'!I21</f>
        <v>0</v>
      </c>
      <c r="I9" s="751">
        <f>'主表6（负债偿还预测）'!J16-'主表6（负债偿还预测）'!J21</f>
        <v>0</v>
      </c>
      <c r="J9" s="751">
        <f>'主表6（负债偿还预测）'!K16-'主表6（负债偿还预测）'!K21</f>
        <v>0</v>
      </c>
      <c r="K9" s="751">
        <f>'主表6（负债偿还预测）'!L16-'主表6（负债偿还预测）'!L21</f>
        <v>0</v>
      </c>
      <c r="L9" s="751">
        <f>'主表6（负债偿还预测）'!M16-'主表6（负债偿还预测）'!M21</f>
        <v>0</v>
      </c>
      <c r="M9" s="751">
        <f>'主表6（负债偿还预测）'!N16-'主表6（负债偿还预测）'!N21</f>
        <v>0</v>
      </c>
      <c r="N9" s="751">
        <f>'主表6（负债偿还预测）'!O16-'主表6（负债偿还预测）'!O21</f>
        <v>0</v>
      </c>
      <c r="O9" s="751">
        <f>'主表6（负债偿还预测）'!P16-'主表6（负债偿还预测）'!P21</f>
        <v>0</v>
      </c>
      <c r="P9" s="751">
        <f>'主表6（负债偿还预测）'!Q16-'主表6（负债偿还预测）'!Q21</f>
        <v>0</v>
      </c>
      <c r="Q9" s="751">
        <f>'主表6（负债偿还预测）'!R16-'主表6（负债偿还预测）'!R21</f>
        <v>0</v>
      </c>
      <c r="R9" s="751">
        <f>'主表6（负债偿还预测）'!S16-'主表6（负债偿还预测）'!S21</f>
        <v>0</v>
      </c>
      <c r="S9" s="751">
        <f>'主表6（负债偿还预测）'!T16-'主表6（负债偿还预测）'!T21</f>
        <v>0</v>
      </c>
      <c r="T9" s="751">
        <f>'主表6（负债偿还预测）'!U16-'主表6（负债偿还预测）'!U21</f>
        <v>0</v>
      </c>
      <c r="U9" s="751">
        <f>'主表6（负债偿还预测）'!V16-'主表6（负债偿还预测）'!V21</f>
        <v>0</v>
      </c>
      <c r="V9" s="751">
        <f>'主表6（负债偿还预测）'!W16-'主表6（负债偿还预测）'!W21</f>
        <v>0</v>
      </c>
      <c r="W9" s="751">
        <f>'主表6（负债偿还预测）'!X16-'主表6（负债偿还预测）'!X21</f>
        <v>0</v>
      </c>
      <c r="X9" s="751">
        <f>'主表6（负债偿还预测）'!Y16-'主表6（负债偿还预测）'!Y21</f>
        <v>0</v>
      </c>
      <c r="Y9" s="751">
        <f>'主表6（负债偿还预测）'!Z16-'主表6（负债偿还预测）'!Z21</f>
        <v>0</v>
      </c>
      <c r="Z9" s="751">
        <f>'主表6（负债偿还预测）'!AA16-'主表6（负债偿还预测）'!AA21</f>
        <v>0</v>
      </c>
      <c r="AA9" s="751">
        <f>'主表6（负债偿还预测）'!AB16-'主表6（负债偿还预测）'!AB21</f>
        <v>0</v>
      </c>
      <c r="AB9" s="751">
        <f>'主表6（负债偿还预测）'!AC16-'主表6（负债偿还预测）'!AC21</f>
        <v>0</v>
      </c>
      <c r="AC9" s="751">
        <f>'主表6（负债偿还预测）'!AD16-'主表6（负债偿还预测）'!AD21</f>
        <v>0</v>
      </c>
      <c r="AD9" s="751">
        <f>'主表6（负债偿还预测）'!AE16-'主表6（负债偿还预测）'!AE21</f>
        <v>0</v>
      </c>
      <c r="AE9" s="751">
        <f>'主表6（负债偿还预测）'!AF16-'主表6（负债偿还预测）'!AF21</f>
        <v>0</v>
      </c>
      <c r="AF9" s="751">
        <f>'主表6（负债偿还预测）'!AG16-'主表6（负债偿还预测）'!AG21</f>
        <v>0</v>
      </c>
      <c r="AG9" s="751">
        <f>'主表6（负债偿还预测）'!AH16-'主表6（负债偿还预测）'!AH21</f>
        <v>0</v>
      </c>
      <c r="AH9" s="751">
        <f>'主表6（负债偿还预测）'!AI16-'主表6（负债偿还预测）'!AI21</f>
        <v>0</v>
      </c>
      <c r="AI9" s="751">
        <f>'主表6（负债偿还预测）'!AJ16-'主表6（负债偿还预测）'!AJ21</f>
        <v>0</v>
      </c>
      <c r="AJ9" s="751">
        <f>'主表6（负债偿还预测）'!AK16-'主表6（负债偿还预测）'!AK21</f>
        <v>0</v>
      </c>
      <c r="AK9" s="751">
        <f>'主表6（负债偿还预测）'!AL16-'主表6（负债偿还预测）'!AL21</f>
        <v>0</v>
      </c>
      <c r="AL9" s="751">
        <f>'主表6（负债偿还预测）'!AM16-'主表6（负债偿还预测）'!AM21</f>
        <v>0</v>
      </c>
      <c r="AM9" s="751">
        <f>'主表6（负债偿还预测）'!AN16-'主表6（负债偿还预测）'!AN21</f>
        <v>0</v>
      </c>
      <c r="AN9" s="751">
        <f>'主表6（负债偿还预测）'!AO16-'主表6（负债偿还预测）'!AO21</f>
        <v>0</v>
      </c>
      <c r="AO9" s="751">
        <f>'主表6（负债偿还预测）'!AP16-'主表6（负债偿还预测）'!AP21</f>
        <v>0</v>
      </c>
      <c r="AP9" s="751">
        <f>'主表6（负债偿还预测）'!AQ16-'主表6（负债偿还预测）'!AQ21</f>
        <v>0</v>
      </c>
    </row>
    <row r="10" spans="1:44" ht="18" customHeight="1" outlineLevel="1" x14ac:dyDescent="0.15">
      <c r="A10" s="243" t="str">
        <f>基础数据!B15</f>
        <v>银行-开发贷</v>
      </c>
      <c r="B10" s="264">
        <f t="shared" si="2"/>
        <v>0</v>
      </c>
      <c r="C10" s="751">
        <f>'主表6（负债偿还预测）'!D17-'主表6（负债偿还预测）'!D22</f>
        <v>0</v>
      </c>
      <c r="D10" s="751">
        <f>'主表6（负债偿还预测）'!E17-'主表6（负债偿还预测）'!E22</f>
        <v>0</v>
      </c>
      <c r="E10" s="751">
        <f>'主表6（负债偿还预测）'!F17-'主表6（负债偿还预测）'!F22</f>
        <v>0</v>
      </c>
      <c r="F10" s="751">
        <f>'主表6（负债偿还预测）'!G17-'主表6（负债偿还预测）'!G22</f>
        <v>0</v>
      </c>
      <c r="G10" s="751">
        <f>'主表6（负债偿还预测）'!H17-'主表6（负债偿还预测）'!H22</f>
        <v>0</v>
      </c>
      <c r="H10" s="751">
        <f>'主表6（负债偿还预测）'!I17-'主表6（负债偿还预测）'!I22</f>
        <v>0</v>
      </c>
      <c r="I10" s="751">
        <f>'主表6（负债偿还预测）'!J17-'主表6（负债偿还预测）'!J22</f>
        <v>0</v>
      </c>
      <c r="J10" s="751">
        <f>'主表6（负债偿还预测）'!K17-'主表6（负债偿还预测）'!K22</f>
        <v>0</v>
      </c>
      <c r="K10" s="751">
        <f>'主表6（负债偿还预测）'!L17-'主表6（负债偿还预测）'!L22</f>
        <v>0</v>
      </c>
      <c r="L10" s="751">
        <f>'主表6（负债偿还预测）'!M17-'主表6（负债偿还预测）'!M22</f>
        <v>0</v>
      </c>
      <c r="M10" s="751">
        <f>'主表6（负债偿还预测）'!N17-'主表6（负债偿还预测）'!N22</f>
        <v>0</v>
      </c>
      <c r="N10" s="751">
        <f>'主表6（负债偿还预测）'!O17-'主表6（负债偿还预测）'!O22</f>
        <v>0</v>
      </c>
      <c r="O10" s="751">
        <f>'主表6（负债偿还预测）'!P17-'主表6（负债偿还预测）'!P22</f>
        <v>0</v>
      </c>
      <c r="P10" s="751">
        <f>'主表6（负债偿还预测）'!Q17-'主表6（负债偿还预测）'!Q22</f>
        <v>0</v>
      </c>
      <c r="Q10" s="751">
        <f>'主表6（负债偿还预测）'!R17-'主表6（负债偿还预测）'!R22</f>
        <v>0</v>
      </c>
      <c r="R10" s="751">
        <f>'主表6（负债偿还预测）'!S17-'主表6（负债偿还预测）'!S22</f>
        <v>0</v>
      </c>
      <c r="S10" s="751">
        <f>'主表6（负债偿还预测）'!T17-'主表6（负债偿还预测）'!T22</f>
        <v>0</v>
      </c>
      <c r="T10" s="751">
        <f>'主表6（负债偿还预测）'!U17-'主表6（负债偿还预测）'!U22</f>
        <v>0</v>
      </c>
      <c r="U10" s="751">
        <f>'主表6（负债偿还预测）'!V17-'主表6（负债偿还预测）'!V22</f>
        <v>0</v>
      </c>
      <c r="V10" s="751">
        <f>'主表6（负债偿还预测）'!W17-'主表6（负债偿还预测）'!W22</f>
        <v>0</v>
      </c>
      <c r="W10" s="751">
        <f>'主表6（负债偿还预测）'!X17-'主表6（负债偿还预测）'!X22</f>
        <v>0</v>
      </c>
      <c r="X10" s="751">
        <f>'主表6（负债偿还预测）'!Y17-'主表6（负债偿还预测）'!Y22</f>
        <v>0</v>
      </c>
      <c r="Y10" s="751">
        <f>'主表6（负债偿还预测）'!Z17-'主表6（负债偿还预测）'!Z22</f>
        <v>0</v>
      </c>
      <c r="Z10" s="751">
        <f>'主表6（负债偿还预测）'!AA17-'主表6（负债偿还预测）'!AA22</f>
        <v>0</v>
      </c>
      <c r="AA10" s="751">
        <f>'主表6（负债偿还预测）'!AB17-'主表6（负债偿还预测）'!AB22</f>
        <v>0</v>
      </c>
      <c r="AB10" s="751">
        <f>'主表6（负债偿还预测）'!AC17-'主表6（负债偿还预测）'!AC22</f>
        <v>0</v>
      </c>
      <c r="AC10" s="751">
        <f>'主表6（负债偿还预测）'!AD17-'主表6（负债偿还预测）'!AD22</f>
        <v>0</v>
      </c>
      <c r="AD10" s="751">
        <f>'主表6（负债偿还预测）'!AE17-'主表6（负债偿还预测）'!AE22</f>
        <v>0</v>
      </c>
      <c r="AE10" s="751">
        <f>'主表6（负债偿还预测）'!AF17-'主表6（负债偿还预测）'!AF22</f>
        <v>0</v>
      </c>
      <c r="AF10" s="751">
        <f>'主表6（负债偿还预测）'!AG17-'主表6（负债偿还预测）'!AG22</f>
        <v>0</v>
      </c>
      <c r="AG10" s="751">
        <f>'主表6（负债偿还预测）'!AH17-'主表6（负债偿还预测）'!AH22</f>
        <v>0</v>
      </c>
      <c r="AH10" s="751">
        <f>'主表6（负债偿还预测）'!AI17-'主表6（负债偿还预测）'!AI22</f>
        <v>0</v>
      </c>
      <c r="AI10" s="751">
        <f>'主表6（负债偿还预测）'!AJ17-'主表6（负债偿还预测）'!AJ22</f>
        <v>0</v>
      </c>
      <c r="AJ10" s="751">
        <f>'主表6（负债偿还预测）'!AK17-'主表6（负债偿还预测）'!AK22</f>
        <v>0</v>
      </c>
      <c r="AK10" s="751">
        <f>'主表6（负债偿还预测）'!AL17-'主表6（负债偿还预测）'!AL22</f>
        <v>0</v>
      </c>
      <c r="AL10" s="751">
        <f>'主表6（负债偿还预测）'!AM17-'主表6（负债偿还预测）'!AM22</f>
        <v>0</v>
      </c>
      <c r="AM10" s="751">
        <f>'主表6（负债偿还预测）'!AN17-'主表6（负债偿还预测）'!AN22</f>
        <v>0</v>
      </c>
      <c r="AN10" s="751">
        <f>'主表6（负债偿还预测）'!AO17-'主表6（负债偿还预测）'!AO22</f>
        <v>0</v>
      </c>
      <c r="AO10" s="751">
        <f>'主表6（负债偿还预测）'!AP17-'主表6（负债偿还预测）'!AP22</f>
        <v>0</v>
      </c>
      <c r="AP10" s="751">
        <f>'主表6（负债偿还预测）'!AQ17-'主表6（负债偿还预测）'!AQ22</f>
        <v>0</v>
      </c>
      <c r="AQ10" s="133"/>
      <c r="AR10" s="139"/>
    </row>
    <row r="11" spans="1:44" ht="18" customHeight="1" outlineLevel="1" x14ac:dyDescent="0.15">
      <c r="A11" s="243" t="s">
        <v>469</v>
      </c>
      <c r="B11" s="264">
        <f t="shared" si="2"/>
        <v>0</v>
      </c>
      <c r="C11" s="751">
        <f>'主表6（负债偿还预测）'!D18-'主表6（负债偿还预测）'!D23</f>
        <v>0</v>
      </c>
      <c r="D11" s="751">
        <f>'主表6（负债偿还预测）'!E18-'主表6（负债偿还预测）'!E23</f>
        <v>0</v>
      </c>
      <c r="E11" s="751">
        <f>'主表6（负债偿还预测）'!F18-'主表6（负债偿还预测）'!F23</f>
        <v>0</v>
      </c>
      <c r="F11" s="751">
        <f>'主表6（负债偿还预测）'!G18-'主表6（负债偿还预测）'!G23</f>
        <v>0</v>
      </c>
      <c r="G11" s="751">
        <f>'主表6（负债偿还预测）'!H18-'主表6（负债偿还预测）'!H23</f>
        <v>0</v>
      </c>
      <c r="H11" s="751">
        <f>'主表6（负债偿还预测）'!I18-'主表6（负债偿还预测）'!I23</f>
        <v>0</v>
      </c>
      <c r="I11" s="751">
        <f>'主表6（负债偿还预测）'!J18-'主表6（负债偿还预测）'!J23</f>
        <v>0</v>
      </c>
      <c r="J11" s="751">
        <f>'主表6（负债偿还预测）'!K18-'主表6（负债偿还预测）'!K23</f>
        <v>0</v>
      </c>
      <c r="K11" s="751">
        <f>'主表6（负债偿还预测）'!L18-'主表6（负债偿还预测）'!L23</f>
        <v>0</v>
      </c>
      <c r="L11" s="751">
        <f>'主表6（负债偿还预测）'!M18-'主表6（负债偿还预测）'!M23</f>
        <v>0</v>
      </c>
      <c r="M11" s="751">
        <f>'主表6（负债偿还预测）'!N18-'主表6（负债偿还预测）'!N23</f>
        <v>0</v>
      </c>
      <c r="N11" s="751">
        <f>'主表6（负债偿还预测）'!O18-'主表6（负债偿还预测）'!O23</f>
        <v>0</v>
      </c>
      <c r="O11" s="751">
        <f>'主表6（负债偿还预测）'!P18-'主表6（负债偿还预测）'!P23</f>
        <v>0</v>
      </c>
      <c r="P11" s="751">
        <f>'主表6（负债偿还预测）'!Q18-'主表6（负债偿还预测）'!Q23</f>
        <v>0</v>
      </c>
      <c r="Q11" s="751">
        <f>'主表6（负债偿还预测）'!R18-'主表6（负债偿还预测）'!R23</f>
        <v>0</v>
      </c>
      <c r="R11" s="751">
        <f>'主表6（负债偿还预测）'!S18-'主表6（负债偿还预测）'!S23</f>
        <v>0</v>
      </c>
      <c r="S11" s="751">
        <f>'主表6（负债偿还预测）'!T18-'主表6（负债偿还预测）'!T23</f>
        <v>0</v>
      </c>
      <c r="T11" s="751">
        <f>'主表6（负债偿还预测）'!U18-'主表6（负债偿还预测）'!U23</f>
        <v>0</v>
      </c>
      <c r="U11" s="751">
        <f>'主表6（负债偿还预测）'!V18-'主表6（负债偿还预测）'!V23</f>
        <v>0</v>
      </c>
      <c r="V11" s="751">
        <f>'主表6（负债偿还预测）'!W18-'主表6（负债偿还预测）'!W23</f>
        <v>0</v>
      </c>
      <c r="W11" s="751">
        <f>'主表6（负债偿还预测）'!X18-'主表6（负债偿还预测）'!X23</f>
        <v>0</v>
      </c>
      <c r="X11" s="751">
        <f>'主表6（负债偿还预测）'!Y18-'主表6（负债偿还预测）'!Y23</f>
        <v>0</v>
      </c>
      <c r="Y11" s="751">
        <f>'主表6（负债偿还预测）'!Z18-'主表6（负债偿还预测）'!Z23</f>
        <v>0</v>
      </c>
      <c r="Z11" s="751">
        <f>'主表6（负债偿还预测）'!AA18-'主表6（负债偿还预测）'!AA23</f>
        <v>0</v>
      </c>
      <c r="AA11" s="751">
        <f>'主表6（负债偿还预测）'!AB18-'主表6（负债偿还预测）'!AB23</f>
        <v>0</v>
      </c>
      <c r="AB11" s="751">
        <f>'主表6（负债偿还预测）'!AC18-'主表6（负债偿还预测）'!AC23</f>
        <v>0</v>
      </c>
      <c r="AC11" s="751">
        <f>'主表6（负债偿还预测）'!AD18-'主表6（负债偿还预测）'!AD23</f>
        <v>0</v>
      </c>
      <c r="AD11" s="751">
        <f>'主表6（负债偿还预测）'!AE18-'主表6（负债偿还预测）'!AE23</f>
        <v>0</v>
      </c>
      <c r="AE11" s="751">
        <f>'主表6（负债偿还预测）'!AF18-'主表6（负债偿还预测）'!AF23</f>
        <v>0</v>
      </c>
      <c r="AF11" s="751">
        <f>'主表6（负债偿还预测）'!AG18-'主表6（负债偿还预测）'!AG23</f>
        <v>0</v>
      </c>
      <c r="AG11" s="751">
        <f>'主表6（负债偿还预测）'!AH18-'主表6（负债偿还预测）'!AH23</f>
        <v>0</v>
      </c>
      <c r="AH11" s="751">
        <f>'主表6（负债偿还预测）'!AI18-'主表6（负债偿还预测）'!AI23</f>
        <v>0</v>
      </c>
      <c r="AI11" s="751">
        <f>'主表6（负债偿还预测）'!AJ18-'主表6（负债偿还预测）'!AJ23</f>
        <v>0</v>
      </c>
      <c r="AJ11" s="751">
        <f>'主表6（负债偿还预测）'!AK18-'主表6（负债偿还预测）'!AK23</f>
        <v>0</v>
      </c>
      <c r="AK11" s="751">
        <f>'主表6（负债偿还预测）'!AL18-'主表6（负债偿还预测）'!AL23</f>
        <v>0</v>
      </c>
      <c r="AL11" s="751">
        <f>'主表6（负债偿还预测）'!AM18-'主表6（负债偿还预测）'!AM23</f>
        <v>0</v>
      </c>
      <c r="AM11" s="751">
        <f>'主表6（负债偿还预测）'!AN18-'主表6（负债偿还预测）'!AN23</f>
        <v>0</v>
      </c>
      <c r="AN11" s="751">
        <f>'主表6（负债偿还预测）'!AO18-'主表6（负债偿还预测）'!AO23</f>
        <v>0</v>
      </c>
      <c r="AO11" s="751">
        <f>'主表6（负债偿还预测）'!AP18-'主表6（负债偿还预测）'!AP23</f>
        <v>0</v>
      </c>
      <c r="AP11" s="751">
        <f>'主表6（负债偿还预测）'!AQ18-'主表6（负债偿还预测）'!AQ23</f>
        <v>0</v>
      </c>
      <c r="AQ11" s="133"/>
      <c r="AR11" s="139"/>
    </row>
    <row r="12" spans="1:44" ht="18" customHeight="1" outlineLevel="1" x14ac:dyDescent="0.15">
      <c r="A12" s="243" t="s">
        <v>322</v>
      </c>
      <c r="B12" s="264">
        <f t="shared" si="2"/>
        <v>215676</v>
      </c>
      <c r="C12" s="750">
        <f>IF((C14-SUM(C8:C11)-C6-C7)&lt;'底表1（销售计划）'!D127,(C14-SUM(C8:C11)),'底表1（销售计划）'!D127)</f>
        <v>0</v>
      </c>
      <c r="D12" s="750">
        <f>IF((D14-SUM(D8:D11)-D6-D7)&lt;'底表1（销售计划）'!E127,(D14-SUM(D8:D11)),'底表1（销售计划）'!E127)</f>
        <v>0</v>
      </c>
      <c r="E12" s="750">
        <f>IF((E14-SUM(E8:E11)-E6-E7)&lt;'底表1（销售计划）'!F127,(E14-SUM(E8:E11)),'底表1（销售计划）'!F127)</f>
        <v>0</v>
      </c>
      <c r="F12" s="750">
        <f>IF((F14-SUM(F8:F11)-F6-F7)&lt;'底表1（销售计划）'!G127,(F14-SUM(F8:F11)),'底表1（销售计划）'!G127)</f>
        <v>41318</v>
      </c>
      <c r="G12" s="750">
        <f>IF((G14-SUM(G8:G11)-G6-G7)&lt;'底表1（销售计划）'!H127,(G14-SUM(G8:G11)),'底表1（销售计划）'!H127)</f>
        <v>43977</v>
      </c>
      <c r="H12" s="750">
        <f>IF((H14-SUM(H8:H11)-H6-H7)&lt;'底表1（销售计划）'!I127,(H14-SUM(H8:H11)),'底表1（销售计划）'!I127)</f>
        <v>56011</v>
      </c>
      <c r="I12" s="750">
        <f>IF((I14-SUM(I8:I11)-I6-I7)&lt;'底表1（销售计划）'!J127,(I14-SUM(I8:I11)),'底表1（销售计划）'!J127)</f>
        <v>30650</v>
      </c>
      <c r="J12" s="750">
        <f>IF((J14-SUM(J8:J11)-J6-J7)&lt;'底表1（销售计划）'!K127,(J14-SUM(J8:J11)),'底表1（销售计划）'!K127)</f>
        <v>9394</v>
      </c>
      <c r="K12" s="750">
        <f>IF((K14-SUM(K8:K11)-K6-K7)&lt;'底表1（销售计划）'!L127,(K14-SUM(K8:K11)),'底表1（销售计划）'!L127)</f>
        <v>7578</v>
      </c>
      <c r="L12" s="750">
        <f>IF((L14-SUM(L8:L11)-L6-L7)&lt;'底表1（销售计划）'!M127,(L14-SUM(L8:L11)),'底表1（销售计划）'!M127)</f>
        <v>7302</v>
      </c>
      <c r="M12" s="750">
        <f>IF((M14-SUM(M8:M11)-M6-M7)&lt;'底表1（销售计划）'!N127,(M14-SUM(M8:M11)),'底表1（销售计划）'!N127)</f>
        <v>5413</v>
      </c>
      <c r="N12" s="750">
        <f>IF((N14-SUM(N8:N11)-N6-N7)&lt;'底表1（销售计划）'!O127,(N14-SUM(N8:N11)),'底表1（销售计划）'!O127)</f>
        <v>5381</v>
      </c>
      <c r="O12" s="750">
        <f>IF((O14-SUM(O8:O11)-O6-O7)&lt;'底表1（销售计划）'!P127,(O14-SUM(O8:O11)),'底表1（销售计划）'!P127)</f>
        <v>4367</v>
      </c>
      <c r="P12" s="750">
        <f>IF((P14-SUM(P8:P11)-P6-P7)&lt;'底表1（销售计划）'!Q127,(P14-SUM(P8:P11)),'底表1（销售计划）'!Q127)</f>
        <v>4285</v>
      </c>
      <c r="Q12" s="750">
        <f>IF((Q14-SUM(Q8:Q11)-Q6-Q7)&lt;'底表1（销售计划）'!R127,(Q14-SUM(Q8:Q11)),'底表1（销售计划）'!R127)</f>
        <v>0</v>
      </c>
      <c r="R12" s="750">
        <f>IF((R14-SUM(R8:R11)-R6-R7)&lt;'底表1（销售计划）'!S127,(R14-SUM(R8:R11)),'底表1（销售计划）'!S127)</f>
        <v>0</v>
      </c>
      <c r="S12" s="750">
        <f>IF((S14-SUM(S8:S11)-S6-S7)&lt;'底表1（销售计划）'!T127,(S14-SUM(S8:S11)),'底表1（销售计划）'!T127)</f>
        <v>0</v>
      </c>
      <c r="T12" s="750">
        <f>IF((T14-SUM(T8:T11)-T6-T7)&lt;'底表1（销售计划）'!U127,(T14-SUM(T8:T11)),'底表1（销售计划）'!U127)</f>
        <v>0</v>
      </c>
      <c r="U12" s="750">
        <f>IF((U14-SUM(U8:U11)-U6-U7)&lt;'底表1（销售计划）'!V127,(U14-SUM(U8:U11)),'底表1（销售计划）'!V127)</f>
        <v>0</v>
      </c>
      <c r="V12" s="750">
        <f>IF((V14-SUM(V8:V11)-V6-V7)&lt;'底表1（销售计划）'!W127,(V14-SUM(V8:V11)),'底表1（销售计划）'!W127)</f>
        <v>0</v>
      </c>
      <c r="W12" s="750">
        <f>IF((W14-SUM(W8:W11)-W6-W7)&lt;'底表1（销售计划）'!X127,(W14-SUM(W8:W11)),'底表1（销售计划）'!X127)</f>
        <v>0</v>
      </c>
      <c r="X12" s="750">
        <f>IF((X14-SUM(X8:X11)-X6-X7)&lt;'底表1（销售计划）'!Y127,(X14-SUM(X8:X11)),'底表1（销售计划）'!Y127)</f>
        <v>0</v>
      </c>
      <c r="Y12" s="750">
        <f>IF((Y14-SUM(Y8:Y11)-Y6-Y7)&lt;'底表1（销售计划）'!Z127,(Y14-SUM(Y8:Y11)),'底表1（销售计划）'!Z127)</f>
        <v>0</v>
      </c>
      <c r="Z12" s="750">
        <f>IF((Z14-SUM(Z8:Z11)-Z6-Z7)&lt;'底表1（销售计划）'!AA127,(Z14-SUM(Z8:Z11)),'底表1（销售计划）'!AA127)</f>
        <v>0</v>
      </c>
      <c r="AA12" s="750">
        <f>IF((AA14-SUM(AA8:AA11)-AA6-AA7)&lt;'底表1（销售计划）'!AB127,(AA14-SUM(AA8:AA11)),'底表1（销售计划）'!AB127)</f>
        <v>0</v>
      </c>
      <c r="AB12" s="750">
        <f>IF((AB14-SUM(AB8:AB11)-AB6-AB7)&lt;'底表1（销售计划）'!AC127,(AB14-SUM(AB8:AB11)),'底表1（销售计划）'!AC127)</f>
        <v>0</v>
      </c>
      <c r="AC12" s="750">
        <f>IF((AC14-SUM(AC8:AC11)-AC6-AC7)&lt;'底表1（销售计划）'!AD127,(AC14-SUM(AC8:AC11)),'底表1（销售计划）'!AD127)</f>
        <v>0</v>
      </c>
      <c r="AD12" s="750">
        <f>IF((AD14-SUM(AD8:AD11)-AD6-AD7)&lt;'底表1（销售计划）'!AE127,(AD14-SUM(AD8:AD11)),'底表1（销售计划）'!AE127)</f>
        <v>0</v>
      </c>
      <c r="AE12" s="750">
        <f>IF((AE14-SUM(AE8:AE11)-AE6-AE7)&lt;'底表1（销售计划）'!AF127,(AE14-SUM(AE8:AE11)),'底表1（销售计划）'!AF127)</f>
        <v>0</v>
      </c>
      <c r="AF12" s="750">
        <f>IF((AF14-SUM(AF8:AF11)-AF6-AF7)&lt;'底表1（销售计划）'!AG127,(AF14-SUM(AF8:AF11)),'底表1（销售计划）'!AG127)</f>
        <v>0</v>
      </c>
      <c r="AG12" s="750">
        <f>IF((AG14-SUM(AG8:AG11)-AG6-AG7)&lt;'底表1（销售计划）'!AH127,(AG14-SUM(AG8:AG11)),'底表1（销售计划）'!AH127)</f>
        <v>0</v>
      </c>
      <c r="AH12" s="750">
        <f>IF((AH14-SUM(AH8:AH11)-AH6-AH7)&lt;'底表1（销售计划）'!AI127,(AH14-SUM(AH8:AH11)),'底表1（销售计划）'!AI127)</f>
        <v>0</v>
      </c>
      <c r="AI12" s="750">
        <f>IF((AI14-SUM(AI8:AI11)-AI6-AI7)&lt;'底表1（销售计划）'!AJ127,(AI14-SUM(AI8:AI11)),'底表1（销售计划）'!AJ127)</f>
        <v>0</v>
      </c>
      <c r="AJ12" s="750">
        <f>IF((AJ14-SUM(AJ8:AJ11)-AJ6-AJ7)&lt;'底表1（销售计划）'!AK127,(AJ14-SUM(AJ8:AJ11)),'底表1（销售计划）'!AK127)</f>
        <v>0</v>
      </c>
      <c r="AK12" s="750">
        <f>IF((AK14-SUM(AK8:AK11)-AK6-AK7)&lt;'底表1（销售计划）'!AL127,(AK14-SUM(AK8:AK11)),'底表1（销售计划）'!AL127)</f>
        <v>0</v>
      </c>
      <c r="AL12" s="750">
        <f>IF((AL14-SUM(AL8:AL11)-AL6-AL7)&lt;'底表1（销售计划）'!AM127,(AL14-SUM(AL8:AL11)),'底表1（销售计划）'!AM127)</f>
        <v>0</v>
      </c>
      <c r="AM12" s="750">
        <f>IF((AM14-SUM(AM8:AM11)-AM6-AM7)&lt;'底表1（销售计划）'!AN127,(AM14-SUM(AM8:AM11)),'底表1（销售计划）'!AN127)</f>
        <v>0</v>
      </c>
      <c r="AN12" s="750">
        <f>IF((AN14-SUM(AN8:AN11)-AN6-AN7)&lt;'底表1（销售计划）'!AO127,(AN14-SUM(AN8:AN11)),'底表1（销售计划）'!AO127)</f>
        <v>0</v>
      </c>
      <c r="AO12" s="750">
        <f>IF((AO14-SUM(AO8:AO11)-AO6-AO7)&lt;'底表1（销售计划）'!AP127,(AO14-SUM(AO8:AO11)),'底表1（销售计划）'!AP127)</f>
        <v>0</v>
      </c>
      <c r="AP12" s="750">
        <f>IF((AP14-SUM(AP8:AP11)-AP6-AP7)&lt;'底表1（销售计划）'!AQ127,(AP14-SUM(AP8:AP11)),'底表1（销售计划）'!AQ127)</f>
        <v>0</v>
      </c>
      <c r="AQ12" s="133"/>
      <c r="AR12" s="139"/>
    </row>
    <row r="13" spans="1:44" ht="18" customHeight="1" outlineLevel="1" x14ac:dyDescent="0.15">
      <c r="A13" s="243" t="s">
        <v>456</v>
      </c>
      <c r="B13" s="264">
        <f t="shared" si="2"/>
        <v>0</v>
      </c>
      <c r="C13" s="750"/>
      <c r="D13" s="750"/>
      <c r="E13" s="750"/>
      <c r="F13" s="750"/>
      <c r="G13" s="750"/>
      <c r="H13" s="750"/>
      <c r="I13" s="750"/>
      <c r="J13" s="750"/>
      <c r="K13" s="750"/>
      <c r="L13" s="262"/>
      <c r="M13" s="262"/>
      <c r="N13" s="262"/>
      <c r="O13" s="262"/>
      <c r="P13" s="262"/>
      <c r="Q13" s="262"/>
      <c r="R13" s="262"/>
      <c r="S13" s="262"/>
      <c r="T13" s="262"/>
      <c r="U13" s="262"/>
      <c r="V13" s="262"/>
      <c r="W13" s="262"/>
      <c r="X13" s="262"/>
      <c r="Y13" s="262"/>
      <c r="Z13" s="262"/>
      <c r="AA13" s="262"/>
      <c r="AB13" s="262"/>
      <c r="AC13" s="262"/>
      <c r="AD13" s="262"/>
      <c r="AE13" s="262"/>
      <c r="AF13" s="262"/>
      <c r="AG13" s="262"/>
      <c r="AH13" s="262"/>
      <c r="AI13" s="262"/>
      <c r="AJ13" s="262"/>
      <c r="AK13" s="262"/>
      <c r="AL13" s="262"/>
      <c r="AM13" s="262"/>
      <c r="AN13" s="262"/>
      <c r="AO13" s="262"/>
      <c r="AP13" s="262"/>
      <c r="AQ13" s="133"/>
      <c r="AR13" s="139"/>
    </row>
    <row r="14" spans="1:44" s="137" customFormat="1" ht="18" customHeight="1" x14ac:dyDescent="0.15">
      <c r="A14" s="235" t="s">
        <v>432</v>
      </c>
      <c r="B14" s="239">
        <f t="shared" si="2"/>
        <v>302593</v>
      </c>
      <c r="C14" s="238">
        <f t="shared" ref="C14:AP14" si="3">ROUND(C15+C22+C27+C31+C32+C33+C34+C35+C36,0)</f>
        <v>0</v>
      </c>
      <c r="D14" s="238">
        <f t="shared" si="3"/>
        <v>180664</v>
      </c>
      <c r="E14" s="238">
        <f t="shared" si="3"/>
        <v>27913</v>
      </c>
      <c r="F14" s="238">
        <f t="shared" si="3"/>
        <v>17318</v>
      </c>
      <c r="G14" s="238">
        <f>ROUND(G15+G22+G27+G31+G32+G33+G34+G35+G36,0)</f>
        <v>11977</v>
      </c>
      <c r="H14" s="238">
        <f>ROUND(H15+H22+H27+H31+H32+H33+H34+H35+H36,0)</f>
        <v>11011</v>
      </c>
      <c r="I14" s="238">
        <f>ROUND(I15+I22+I27+I31+I32+I33+I34+I35+I36,0)</f>
        <v>9990</v>
      </c>
      <c r="J14" s="238">
        <f>ROUND(J15+J22+J27+J31+J32+J33+J34+J35+J36,0)</f>
        <v>9394</v>
      </c>
      <c r="K14" s="238">
        <f t="shared" si="3"/>
        <v>7578</v>
      </c>
      <c r="L14" s="238">
        <f t="shared" si="3"/>
        <v>7302</v>
      </c>
      <c r="M14" s="238">
        <f t="shared" si="3"/>
        <v>5413</v>
      </c>
      <c r="N14" s="238">
        <f t="shared" si="3"/>
        <v>5381</v>
      </c>
      <c r="O14" s="238">
        <f t="shared" si="3"/>
        <v>4367</v>
      </c>
      <c r="P14" s="238">
        <f t="shared" si="3"/>
        <v>4285</v>
      </c>
      <c r="Q14" s="238">
        <f t="shared" si="3"/>
        <v>0</v>
      </c>
      <c r="R14" s="238">
        <f t="shared" si="3"/>
        <v>0</v>
      </c>
      <c r="S14" s="238">
        <f t="shared" si="3"/>
        <v>0</v>
      </c>
      <c r="T14" s="238">
        <f t="shared" si="3"/>
        <v>0</v>
      </c>
      <c r="U14" s="238">
        <f t="shared" si="3"/>
        <v>0</v>
      </c>
      <c r="V14" s="238">
        <f t="shared" si="3"/>
        <v>0</v>
      </c>
      <c r="W14" s="238">
        <f>ROUND(W15+W22+W27+W31+W32+W33+W34+W35+W36,0)</f>
        <v>0</v>
      </c>
      <c r="X14" s="238">
        <f>ROUND(X15+X22+X27+X31+X32+X33+X34+X35+X36,0)</f>
        <v>0</v>
      </c>
      <c r="Y14" s="238">
        <f>ROUND(Y15+Y22+Y27+Y31+Y32+Y33+Y34+Y35+Y36,0)</f>
        <v>0</v>
      </c>
      <c r="Z14" s="238">
        <f>ROUND(Z15+Z22+Z27+Z31+Z32+Z33+Z34+Z35+Z36,0)</f>
        <v>0</v>
      </c>
      <c r="AA14" s="238">
        <f t="shared" ref="AA14:AL14" si="4">ROUND(AA15+AA22+AA27+AA31+AA32+AA33+AA34+AA35+AA36,0)</f>
        <v>0</v>
      </c>
      <c r="AB14" s="238">
        <f t="shared" si="4"/>
        <v>0</v>
      </c>
      <c r="AC14" s="238">
        <f t="shared" si="4"/>
        <v>0</v>
      </c>
      <c r="AD14" s="238">
        <f t="shared" si="4"/>
        <v>0</v>
      </c>
      <c r="AE14" s="238">
        <f t="shared" si="4"/>
        <v>0</v>
      </c>
      <c r="AF14" s="238">
        <f t="shared" si="4"/>
        <v>0</v>
      </c>
      <c r="AG14" s="238">
        <f t="shared" si="4"/>
        <v>0</v>
      </c>
      <c r="AH14" s="238">
        <f t="shared" si="4"/>
        <v>0</v>
      </c>
      <c r="AI14" s="238">
        <f t="shared" si="4"/>
        <v>0</v>
      </c>
      <c r="AJ14" s="238">
        <f t="shared" si="4"/>
        <v>0</v>
      </c>
      <c r="AK14" s="238">
        <f t="shared" si="4"/>
        <v>0</v>
      </c>
      <c r="AL14" s="238">
        <f t="shared" si="4"/>
        <v>0</v>
      </c>
      <c r="AM14" s="238">
        <f t="shared" si="3"/>
        <v>0</v>
      </c>
      <c r="AN14" s="238">
        <f t="shared" si="3"/>
        <v>0</v>
      </c>
      <c r="AO14" s="238">
        <f t="shared" si="3"/>
        <v>0</v>
      </c>
      <c r="AP14" s="238">
        <f t="shared" si="3"/>
        <v>0</v>
      </c>
      <c r="AQ14" s="136"/>
    </row>
    <row r="15" spans="1:44" s="246" customFormat="1" ht="18" customHeight="1" outlineLevel="1" x14ac:dyDescent="0.15">
      <c r="A15" s="210" t="str">
        <f>A69</f>
        <v>（一）土地费用</v>
      </c>
      <c r="B15" s="264">
        <f t="shared" si="2"/>
        <v>187119</v>
      </c>
      <c r="C15" s="264">
        <f>ROUND(SUM(C16:C21),0)</f>
        <v>0</v>
      </c>
      <c r="D15" s="264">
        <f t="shared" ref="D15:AP15" si="5">ROUND(SUM(D16:D21),0)</f>
        <v>173800</v>
      </c>
      <c r="E15" s="264">
        <f t="shared" si="5"/>
        <v>13027</v>
      </c>
      <c r="F15" s="264">
        <f t="shared" si="5"/>
        <v>292</v>
      </c>
      <c r="G15" s="264">
        <f t="shared" si="5"/>
        <v>0</v>
      </c>
      <c r="H15" s="264">
        <f t="shared" si="5"/>
        <v>0</v>
      </c>
      <c r="I15" s="264">
        <f t="shared" si="5"/>
        <v>0</v>
      </c>
      <c r="J15" s="264">
        <f t="shared" si="5"/>
        <v>0</v>
      </c>
      <c r="K15" s="264">
        <f t="shared" si="5"/>
        <v>0</v>
      </c>
      <c r="L15" s="264">
        <f t="shared" si="5"/>
        <v>0</v>
      </c>
      <c r="M15" s="264">
        <f t="shared" si="5"/>
        <v>0</v>
      </c>
      <c r="N15" s="264">
        <f t="shared" si="5"/>
        <v>0</v>
      </c>
      <c r="O15" s="264">
        <f t="shared" si="5"/>
        <v>0</v>
      </c>
      <c r="P15" s="264">
        <f t="shared" si="5"/>
        <v>0</v>
      </c>
      <c r="Q15" s="264">
        <f t="shared" si="5"/>
        <v>0</v>
      </c>
      <c r="R15" s="264">
        <f t="shared" si="5"/>
        <v>0</v>
      </c>
      <c r="S15" s="264">
        <f t="shared" si="5"/>
        <v>0</v>
      </c>
      <c r="T15" s="264">
        <f t="shared" si="5"/>
        <v>0</v>
      </c>
      <c r="U15" s="264">
        <f t="shared" si="5"/>
        <v>0</v>
      </c>
      <c r="V15" s="264">
        <f t="shared" si="5"/>
        <v>0</v>
      </c>
      <c r="W15" s="264">
        <f t="shared" si="5"/>
        <v>0</v>
      </c>
      <c r="X15" s="264">
        <f t="shared" si="5"/>
        <v>0</v>
      </c>
      <c r="Y15" s="264">
        <f t="shared" si="5"/>
        <v>0</v>
      </c>
      <c r="Z15" s="264">
        <f t="shared" si="5"/>
        <v>0</v>
      </c>
      <c r="AA15" s="264">
        <f t="shared" si="5"/>
        <v>0</v>
      </c>
      <c r="AB15" s="264">
        <f t="shared" si="5"/>
        <v>0</v>
      </c>
      <c r="AC15" s="264">
        <f t="shared" si="5"/>
        <v>0</v>
      </c>
      <c r="AD15" s="264">
        <f t="shared" si="5"/>
        <v>0</v>
      </c>
      <c r="AE15" s="264">
        <f t="shared" si="5"/>
        <v>0</v>
      </c>
      <c r="AF15" s="264">
        <f t="shared" si="5"/>
        <v>0</v>
      </c>
      <c r="AG15" s="264">
        <f t="shared" si="5"/>
        <v>0</v>
      </c>
      <c r="AH15" s="264">
        <f t="shared" si="5"/>
        <v>0</v>
      </c>
      <c r="AI15" s="264">
        <f t="shared" si="5"/>
        <v>0</v>
      </c>
      <c r="AJ15" s="264">
        <f t="shared" si="5"/>
        <v>0</v>
      </c>
      <c r="AK15" s="264">
        <f t="shared" si="5"/>
        <v>0</v>
      </c>
      <c r="AL15" s="264">
        <f t="shared" si="5"/>
        <v>0</v>
      </c>
      <c r="AM15" s="264">
        <f t="shared" si="5"/>
        <v>0</v>
      </c>
      <c r="AN15" s="264">
        <f t="shared" si="5"/>
        <v>0</v>
      </c>
      <c r="AO15" s="264">
        <f t="shared" si="5"/>
        <v>0</v>
      </c>
      <c r="AP15" s="264">
        <f t="shared" si="5"/>
        <v>0</v>
      </c>
      <c r="AQ15" s="265"/>
    </row>
    <row r="16" spans="1:44" ht="18" customHeight="1" outlineLevel="1" x14ac:dyDescent="0.15">
      <c r="A16" s="243" t="str">
        <f>A70</f>
        <v>政府土地收益</v>
      </c>
      <c r="B16" s="264">
        <f t="shared" si="2"/>
        <v>173800</v>
      </c>
      <c r="C16" s="262"/>
      <c r="D16" s="262">
        <f>B70</f>
        <v>173800</v>
      </c>
      <c r="E16" s="262"/>
      <c r="F16" s="262"/>
      <c r="G16" s="262"/>
      <c r="H16" s="262"/>
      <c r="I16" s="262"/>
      <c r="J16" s="262"/>
      <c r="K16" s="262"/>
      <c r="L16" s="262"/>
      <c r="M16" s="262"/>
      <c r="N16" s="262"/>
      <c r="O16" s="262"/>
      <c r="P16" s="262"/>
      <c r="Q16" s="262"/>
      <c r="R16" s="262"/>
      <c r="S16" s="262"/>
      <c r="T16" s="262"/>
      <c r="U16" s="262"/>
      <c r="V16" s="262"/>
      <c r="W16" s="262"/>
      <c r="X16" s="262"/>
      <c r="Y16" s="262"/>
      <c r="Z16" s="262"/>
      <c r="AA16" s="262"/>
      <c r="AB16" s="262"/>
      <c r="AC16" s="262"/>
      <c r="AD16" s="262"/>
      <c r="AE16" s="262"/>
      <c r="AF16" s="262"/>
      <c r="AG16" s="262"/>
      <c r="AH16" s="262"/>
      <c r="AI16" s="262"/>
      <c r="AJ16" s="262"/>
      <c r="AK16" s="262"/>
      <c r="AL16" s="262"/>
      <c r="AM16" s="262"/>
      <c r="AN16" s="262"/>
      <c r="AO16" s="262"/>
      <c r="AP16" s="262"/>
      <c r="AQ16" s="133"/>
    </row>
    <row r="17" spans="1:43" ht="18" customHeight="1" outlineLevel="1" x14ac:dyDescent="0.15">
      <c r="A17" s="243" t="str">
        <f>A71</f>
        <v>土地开发补偿费</v>
      </c>
      <c r="B17" s="264">
        <f t="shared" si="2"/>
        <v>0</v>
      </c>
      <c r="C17" s="262"/>
      <c r="D17" s="262"/>
      <c r="E17" s="262"/>
      <c r="F17" s="262"/>
      <c r="G17" s="262"/>
      <c r="H17" s="262"/>
      <c r="I17" s="262"/>
      <c r="J17" s="262"/>
      <c r="K17" s="262"/>
      <c r="L17" s="262"/>
      <c r="M17" s="262"/>
      <c r="N17" s="262"/>
      <c r="O17" s="262"/>
      <c r="P17" s="262"/>
      <c r="Q17" s="262"/>
      <c r="R17" s="262"/>
      <c r="S17" s="262"/>
      <c r="T17" s="262"/>
      <c r="U17" s="262"/>
      <c r="V17" s="262"/>
      <c r="W17" s="262"/>
      <c r="X17" s="262"/>
      <c r="Y17" s="262"/>
      <c r="Z17" s="262"/>
      <c r="AA17" s="262"/>
      <c r="AB17" s="262"/>
      <c r="AC17" s="262"/>
      <c r="AD17" s="262"/>
      <c r="AE17" s="262"/>
      <c r="AF17" s="262"/>
      <c r="AG17" s="262"/>
      <c r="AH17" s="262"/>
      <c r="AI17" s="262"/>
      <c r="AJ17" s="262"/>
      <c r="AK17" s="262"/>
      <c r="AL17" s="262"/>
      <c r="AM17" s="262"/>
      <c r="AN17" s="262"/>
      <c r="AO17" s="262"/>
      <c r="AP17" s="262"/>
      <c r="AQ17" s="133"/>
    </row>
    <row r="18" spans="1:43" ht="18" customHeight="1" outlineLevel="1" x14ac:dyDescent="0.15">
      <c r="A18" s="243" t="str">
        <f>A72</f>
        <v>购地税费</v>
      </c>
      <c r="B18" s="264">
        <f t="shared" si="2"/>
        <v>5301</v>
      </c>
      <c r="C18" s="262"/>
      <c r="D18" s="262"/>
      <c r="E18" s="262">
        <f>B72</f>
        <v>5301</v>
      </c>
      <c r="F18" s="263"/>
      <c r="G18" s="262"/>
      <c r="H18" s="262"/>
      <c r="I18" s="262"/>
      <c r="J18" s="262"/>
      <c r="K18" s="262"/>
      <c r="L18" s="262"/>
      <c r="M18" s="262"/>
      <c r="N18" s="262"/>
      <c r="O18" s="262"/>
      <c r="P18" s="262"/>
      <c r="Q18" s="262"/>
      <c r="R18" s="262"/>
      <c r="S18" s="262"/>
      <c r="T18" s="262"/>
      <c r="U18" s="262"/>
      <c r="V18" s="262"/>
      <c r="W18" s="262"/>
      <c r="X18" s="262"/>
      <c r="Y18" s="262"/>
      <c r="Z18" s="262"/>
      <c r="AA18" s="262"/>
      <c r="AB18" s="262"/>
      <c r="AC18" s="262"/>
      <c r="AD18" s="262"/>
      <c r="AE18" s="262"/>
      <c r="AF18" s="262"/>
      <c r="AG18" s="262"/>
      <c r="AH18" s="262"/>
      <c r="AI18" s="262"/>
      <c r="AJ18" s="262"/>
      <c r="AK18" s="262"/>
      <c r="AL18" s="262"/>
      <c r="AM18" s="262"/>
      <c r="AN18" s="262"/>
      <c r="AO18" s="262"/>
      <c r="AP18" s="262"/>
      <c r="AQ18" s="133"/>
    </row>
    <row r="19" spans="1:43" ht="18" customHeight="1" outlineLevel="1" x14ac:dyDescent="0.15">
      <c r="A19" s="243" t="str">
        <f>A73</f>
        <v>补交政府土地收益及契税</v>
      </c>
      <c r="B19" s="264">
        <f t="shared" si="2"/>
        <v>6247</v>
      </c>
      <c r="C19" s="262"/>
      <c r="D19" s="262"/>
      <c r="E19" s="262">
        <f>B73</f>
        <v>6247</v>
      </c>
      <c r="F19" s="262"/>
      <c r="G19" s="262"/>
      <c r="H19" s="262"/>
      <c r="I19" s="262"/>
      <c r="J19" s="262"/>
      <c r="K19" s="262"/>
      <c r="L19" s="262"/>
      <c r="M19" s="262"/>
      <c r="N19" s="262"/>
      <c r="O19" s="262"/>
      <c r="P19" s="262"/>
      <c r="Q19" s="262"/>
      <c r="R19" s="262"/>
      <c r="S19" s="262"/>
      <c r="T19" s="262"/>
      <c r="U19" s="262"/>
      <c r="V19" s="262"/>
      <c r="W19" s="262"/>
      <c r="X19" s="262"/>
      <c r="Y19" s="262"/>
      <c r="Z19" s="262"/>
      <c r="AA19" s="262"/>
      <c r="AB19" s="262"/>
      <c r="AC19" s="262"/>
      <c r="AD19" s="262"/>
      <c r="AE19" s="262"/>
      <c r="AF19" s="262"/>
      <c r="AG19" s="262"/>
      <c r="AH19" s="262"/>
      <c r="AI19" s="262"/>
      <c r="AJ19" s="262"/>
      <c r="AK19" s="262"/>
      <c r="AL19" s="262"/>
      <c r="AM19" s="262"/>
      <c r="AN19" s="262"/>
      <c r="AO19" s="262"/>
      <c r="AP19" s="262"/>
      <c r="AQ19" s="133"/>
    </row>
    <row r="20" spans="1:43" ht="18" customHeight="1" outlineLevel="1" x14ac:dyDescent="0.15">
      <c r="A20" s="243" t="str">
        <f>A77</f>
        <v>城市基础设施建设费</v>
      </c>
      <c r="B20" s="264">
        <f t="shared" si="2"/>
        <v>1187</v>
      </c>
      <c r="C20" s="262"/>
      <c r="D20" s="262"/>
      <c r="E20" s="262">
        <f>B77</f>
        <v>1187</v>
      </c>
      <c r="F20" s="263"/>
      <c r="G20" s="262"/>
      <c r="H20" s="262"/>
      <c r="I20" s="262"/>
      <c r="J20" s="262"/>
      <c r="K20" s="262"/>
      <c r="L20" s="262"/>
      <c r="M20" s="262"/>
      <c r="N20" s="262"/>
      <c r="O20" s="262"/>
      <c r="P20" s="262"/>
      <c r="Q20" s="262"/>
      <c r="R20" s="262"/>
      <c r="S20" s="262"/>
      <c r="T20" s="262"/>
      <c r="U20" s="262"/>
      <c r="V20" s="262"/>
      <c r="W20" s="262"/>
      <c r="X20" s="262"/>
      <c r="Y20" s="262"/>
      <c r="Z20" s="262"/>
      <c r="AA20" s="262"/>
      <c r="AB20" s="262"/>
      <c r="AC20" s="262"/>
      <c r="AD20" s="262"/>
      <c r="AE20" s="262"/>
      <c r="AF20" s="262"/>
      <c r="AG20" s="262"/>
      <c r="AH20" s="262"/>
      <c r="AI20" s="262"/>
      <c r="AJ20" s="262"/>
      <c r="AK20" s="262"/>
      <c r="AL20" s="262"/>
      <c r="AM20" s="262"/>
      <c r="AN20" s="262"/>
      <c r="AO20" s="262"/>
      <c r="AP20" s="262"/>
      <c r="AQ20" s="133"/>
    </row>
    <row r="21" spans="1:43" ht="18" customHeight="1" outlineLevel="1" x14ac:dyDescent="0.15">
      <c r="A21" s="243" t="str">
        <f t="shared" ref="A21:A28" si="6">A80</f>
        <v>红线外市政</v>
      </c>
      <c r="B21" s="264">
        <f t="shared" si="2"/>
        <v>584</v>
      </c>
      <c r="C21" s="262"/>
      <c r="D21" s="262"/>
      <c r="E21" s="262">
        <f>ROUND(B80/2,0)</f>
        <v>292</v>
      </c>
      <c r="F21" s="262">
        <f>ROUND(B80/2,0)</f>
        <v>292</v>
      </c>
      <c r="G21" s="262"/>
      <c r="H21" s="262"/>
      <c r="I21" s="262"/>
      <c r="J21" s="262"/>
      <c r="K21" s="262"/>
      <c r="L21" s="262"/>
      <c r="M21" s="262"/>
      <c r="N21" s="262"/>
      <c r="O21" s="262"/>
      <c r="P21" s="262"/>
      <c r="Q21" s="262"/>
      <c r="R21" s="262"/>
      <c r="S21" s="262"/>
      <c r="T21" s="262"/>
      <c r="U21" s="262"/>
      <c r="V21" s="262"/>
      <c r="W21" s="262"/>
      <c r="X21" s="262"/>
      <c r="Y21" s="262"/>
      <c r="Z21" s="262"/>
      <c r="AA21" s="262"/>
      <c r="AB21" s="262"/>
      <c r="AC21" s="262"/>
      <c r="AD21" s="262"/>
      <c r="AE21" s="262"/>
      <c r="AF21" s="262"/>
      <c r="AG21" s="262"/>
      <c r="AH21" s="262"/>
      <c r="AI21" s="262"/>
      <c r="AJ21" s="262"/>
      <c r="AK21" s="262"/>
      <c r="AL21" s="262"/>
      <c r="AM21" s="262"/>
      <c r="AN21" s="262"/>
      <c r="AO21" s="262"/>
      <c r="AP21" s="262"/>
      <c r="AQ21" s="133"/>
    </row>
    <row r="22" spans="1:43" s="246" customFormat="1" ht="18" customHeight="1" outlineLevel="1" x14ac:dyDescent="0.15">
      <c r="A22" s="210" t="str">
        <f t="shared" si="6"/>
        <v>（二）前期工程费用</v>
      </c>
      <c r="B22" s="264">
        <f t="shared" si="2"/>
        <v>4826</v>
      </c>
      <c r="C22" s="264">
        <f>ROUND(SUM(C23:C26),0)</f>
        <v>0</v>
      </c>
      <c r="D22" s="264">
        <f t="shared" ref="D22:AP22" si="7">ROUND(SUM(D23:D26),0)</f>
        <v>0</v>
      </c>
      <c r="E22" s="264">
        <f t="shared" si="7"/>
        <v>2414</v>
      </c>
      <c r="F22" s="264">
        <f t="shared" si="7"/>
        <v>2412</v>
      </c>
      <c r="G22" s="264">
        <f t="shared" si="7"/>
        <v>0</v>
      </c>
      <c r="H22" s="264">
        <f t="shared" si="7"/>
        <v>0</v>
      </c>
      <c r="I22" s="264">
        <f t="shared" si="7"/>
        <v>0</v>
      </c>
      <c r="J22" s="264">
        <f t="shared" si="7"/>
        <v>0</v>
      </c>
      <c r="K22" s="264">
        <f t="shared" si="7"/>
        <v>0</v>
      </c>
      <c r="L22" s="264">
        <f t="shared" si="7"/>
        <v>0</v>
      </c>
      <c r="M22" s="264">
        <f t="shared" si="7"/>
        <v>0</v>
      </c>
      <c r="N22" s="264">
        <f t="shared" si="7"/>
        <v>0</v>
      </c>
      <c r="O22" s="264">
        <f t="shared" si="7"/>
        <v>0</v>
      </c>
      <c r="P22" s="264">
        <f t="shared" si="7"/>
        <v>0</v>
      </c>
      <c r="Q22" s="264">
        <f t="shared" si="7"/>
        <v>0</v>
      </c>
      <c r="R22" s="264">
        <f t="shared" si="7"/>
        <v>0</v>
      </c>
      <c r="S22" s="264">
        <f t="shared" si="7"/>
        <v>0</v>
      </c>
      <c r="T22" s="264">
        <f t="shared" si="7"/>
        <v>0</v>
      </c>
      <c r="U22" s="264">
        <f t="shared" si="7"/>
        <v>0</v>
      </c>
      <c r="V22" s="264">
        <f t="shared" si="7"/>
        <v>0</v>
      </c>
      <c r="W22" s="264">
        <f t="shared" si="7"/>
        <v>0</v>
      </c>
      <c r="X22" s="264">
        <f t="shared" si="7"/>
        <v>0</v>
      </c>
      <c r="Y22" s="264">
        <f t="shared" si="7"/>
        <v>0</v>
      </c>
      <c r="Z22" s="264">
        <f t="shared" si="7"/>
        <v>0</v>
      </c>
      <c r="AA22" s="264">
        <f t="shared" si="7"/>
        <v>0</v>
      </c>
      <c r="AB22" s="264">
        <f t="shared" si="7"/>
        <v>0</v>
      </c>
      <c r="AC22" s="264">
        <f t="shared" si="7"/>
        <v>0</v>
      </c>
      <c r="AD22" s="264">
        <f t="shared" si="7"/>
        <v>0</v>
      </c>
      <c r="AE22" s="264">
        <f t="shared" si="7"/>
        <v>0</v>
      </c>
      <c r="AF22" s="264">
        <f t="shared" si="7"/>
        <v>0</v>
      </c>
      <c r="AG22" s="264">
        <f t="shared" si="7"/>
        <v>0</v>
      </c>
      <c r="AH22" s="264">
        <f t="shared" si="7"/>
        <v>0</v>
      </c>
      <c r="AI22" s="264">
        <f t="shared" si="7"/>
        <v>0</v>
      </c>
      <c r="AJ22" s="264">
        <f t="shared" si="7"/>
        <v>0</v>
      </c>
      <c r="AK22" s="264">
        <f t="shared" si="7"/>
        <v>0</v>
      </c>
      <c r="AL22" s="264">
        <f t="shared" si="7"/>
        <v>0</v>
      </c>
      <c r="AM22" s="264">
        <f t="shared" si="7"/>
        <v>0</v>
      </c>
      <c r="AN22" s="264">
        <f t="shared" si="7"/>
        <v>0</v>
      </c>
      <c r="AO22" s="264">
        <f t="shared" si="7"/>
        <v>0</v>
      </c>
      <c r="AP22" s="264">
        <f t="shared" si="7"/>
        <v>0</v>
      </c>
      <c r="AQ22" s="265"/>
    </row>
    <row r="23" spans="1:43" ht="18" customHeight="1" outlineLevel="1" x14ac:dyDescent="0.15">
      <c r="A23" s="243" t="str">
        <f t="shared" si="6"/>
        <v>规划勘察设计费用</v>
      </c>
      <c r="B23" s="264">
        <f t="shared" si="2"/>
        <v>2625</v>
      </c>
      <c r="C23" s="262"/>
      <c r="D23" s="262"/>
      <c r="E23" s="262">
        <f>ROUND(B82*50%,0)</f>
        <v>1313</v>
      </c>
      <c r="F23" s="262">
        <f>B82-E23</f>
        <v>1312</v>
      </c>
      <c r="G23" s="262"/>
      <c r="H23" s="262"/>
      <c r="I23" s="262"/>
      <c r="J23" s="262"/>
      <c r="K23" s="262"/>
      <c r="L23" s="262"/>
      <c r="M23" s="262"/>
      <c r="N23" s="262"/>
      <c r="O23" s="262"/>
      <c r="P23" s="262"/>
      <c r="Q23" s="262"/>
      <c r="R23" s="262"/>
      <c r="S23" s="262"/>
      <c r="T23" s="262"/>
      <c r="U23" s="262"/>
      <c r="V23" s="262"/>
      <c r="W23" s="262"/>
      <c r="X23" s="262"/>
      <c r="Y23" s="262"/>
      <c r="Z23" s="262"/>
      <c r="AA23" s="262"/>
      <c r="AB23" s="262"/>
      <c r="AC23" s="262"/>
      <c r="AD23" s="262"/>
      <c r="AE23" s="262"/>
      <c r="AF23" s="262"/>
      <c r="AG23" s="262"/>
      <c r="AH23" s="262"/>
      <c r="AI23" s="262"/>
      <c r="AJ23" s="262"/>
      <c r="AK23" s="262"/>
      <c r="AL23" s="262"/>
      <c r="AM23" s="262"/>
      <c r="AN23" s="262"/>
      <c r="AO23" s="262"/>
      <c r="AP23" s="262"/>
      <c r="AQ23" s="133"/>
    </row>
    <row r="24" spans="1:43" ht="18" customHeight="1" outlineLevel="1" x14ac:dyDescent="0.15">
      <c r="A24" s="243" t="str">
        <f t="shared" si="6"/>
        <v>报批报建费</v>
      </c>
      <c r="B24" s="264">
        <f t="shared" si="2"/>
        <v>1617</v>
      </c>
      <c r="C24" s="262"/>
      <c r="D24" s="262"/>
      <c r="E24" s="262">
        <f>ROUND(B83*50%,0)</f>
        <v>809</v>
      </c>
      <c r="F24" s="262">
        <f>B83-E24</f>
        <v>808</v>
      </c>
      <c r="G24" s="262"/>
      <c r="H24" s="262"/>
      <c r="I24" s="262"/>
      <c r="J24" s="262"/>
      <c r="K24" s="262"/>
      <c r="L24" s="262"/>
      <c r="M24" s="262"/>
      <c r="N24" s="262"/>
      <c r="O24" s="262"/>
      <c r="P24" s="262"/>
      <c r="Q24" s="262"/>
      <c r="R24" s="262"/>
      <c r="S24" s="262"/>
      <c r="T24" s="262"/>
      <c r="U24" s="262"/>
      <c r="V24" s="262"/>
      <c r="W24" s="262"/>
      <c r="X24" s="262"/>
      <c r="Y24" s="262"/>
      <c r="Z24" s="262"/>
      <c r="AA24" s="262"/>
      <c r="AB24" s="262"/>
      <c r="AC24" s="262"/>
      <c r="AD24" s="262"/>
      <c r="AE24" s="262"/>
      <c r="AF24" s="262"/>
      <c r="AG24" s="262"/>
      <c r="AH24" s="262"/>
      <c r="AI24" s="262"/>
      <c r="AJ24" s="262"/>
      <c r="AK24" s="262"/>
      <c r="AL24" s="262"/>
      <c r="AM24" s="262"/>
      <c r="AN24" s="262"/>
      <c r="AO24" s="262"/>
      <c r="AP24" s="262"/>
      <c r="AQ24" s="133"/>
    </row>
    <row r="25" spans="1:43" ht="18" customHeight="1" outlineLevel="1" x14ac:dyDescent="0.15">
      <c r="A25" s="243" t="str">
        <f t="shared" si="6"/>
        <v>三通一平费用</v>
      </c>
      <c r="B25" s="264">
        <f t="shared" si="2"/>
        <v>584</v>
      </c>
      <c r="C25" s="262"/>
      <c r="D25" s="262"/>
      <c r="E25" s="262">
        <f>ROUND(B84*50%,0)</f>
        <v>292</v>
      </c>
      <c r="F25" s="262">
        <f>B84-E25</f>
        <v>292</v>
      </c>
      <c r="G25" s="262"/>
      <c r="H25" s="262"/>
      <c r="I25" s="262"/>
      <c r="J25" s="262"/>
      <c r="K25" s="262"/>
      <c r="L25" s="262"/>
      <c r="M25" s="262"/>
      <c r="N25" s="262"/>
      <c r="O25" s="262"/>
      <c r="P25" s="262"/>
      <c r="Q25" s="262"/>
      <c r="R25" s="262"/>
      <c r="S25" s="262"/>
      <c r="T25" s="262"/>
      <c r="U25" s="262"/>
      <c r="V25" s="262"/>
      <c r="W25" s="262"/>
      <c r="X25" s="262"/>
      <c r="Y25" s="262"/>
      <c r="Z25" s="262"/>
      <c r="AA25" s="262"/>
      <c r="AB25" s="262"/>
      <c r="AC25" s="262"/>
      <c r="AD25" s="262"/>
      <c r="AE25" s="262"/>
      <c r="AF25" s="262"/>
      <c r="AG25" s="262"/>
      <c r="AH25" s="262"/>
      <c r="AI25" s="262"/>
      <c r="AJ25" s="262"/>
      <c r="AK25" s="262"/>
      <c r="AL25" s="262"/>
      <c r="AM25" s="262"/>
      <c r="AN25" s="262"/>
      <c r="AO25" s="262"/>
      <c r="AP25" s="262"/>
      <c r="AQ25" s="133"/>
    </row>
    <row r="26" spans="1:43" ht="18" customHeight="1" outlineLevel="1" x14ac:dyDescent="0.15">
      <c r="A26" s="243" t="str">
        <f t="shared" si="6"/>
        <v>临时设施费</v>
      </c>
      <c r="B26" s="264">
        <f t="shared" si="2"/>
        <v>0</v>
      </c>
      <c r="C26" s="262"/>
      <c r="D26" s="262"/>
      <c r="E26" s="262"/>
      <c r="F26" s="262"/>
      <c r="G26" s="262"/>
      <c r="H26" s="262"/>
      <c r="I26" s="262"/>
      <c r="J26" s="262"/>
      <c r="K26" s="262"/>
      <c r="L26" s="262"/>
      <c r="M26" s="262"/>
      <c r="N26" s="262"/>
      <c r="O26" s="262"/>
      <c r="P26" s="262"/>
      <c r="Q26" s="262"/>
      <c r="R26" s="262"/>
      <c r="S26" s="262"/>
      <c r="T26" s="262"/>
      <c r="U26" s="262"/>
      <c r="V26" s="262"/>
      <c r="W26" s="262"/>
      <c r="X26" s="262"/>
      <c r="Y26" s="262"/>
      <c r="Z26" s="262"/>
      <c r="AA26" s="262"/>
      <c r="AB26" s="262"/>
      <c r="AC26" s="262"/>
      <c r="AD26" s="262"/>
      <c r="AE26" s="262"/>
      <c r="AF26" s="262"/>
      <c r="AG26" s="262"/>
      <c r="AH26" s="262"/>
      <c r="AI26" s="262"/>
      <c r="AJ26" s="262"/>
      <c r="AK26" s="262"/>
      <c r="AL26" s="262"/>
      <c r="AM26" s="262"/>
      <c r="AN26" s="262"/>
      <c r="AO26" s="262"/>
      <c r="AP26" s="262"/>
      <c r="AQ26" s="133"/>
    </row>
    <row r="27" spans="1:43" s="246" customFormat="1" ht="18" customHeight="1" outlineLevel="1" x14ac:dyDescent="0.15">
      <c r="A27" s="254" t="str">
        <f t="shared" si="6"/>
        <v>（三）房屋开发费</v>
      </c>
      <c r="B27" s="264">
        <f t="shared" si="2"/>
        <v>80843</v>
      </c>
      <c r="C27" s="264">
        <f t="shared" ref="C27:AO27" si="8">SUM(C28:C30)</f>
        <v>0</v>
      </c>
      <c r="D27" s="264">
        <f t="shared" si="8"/>
        <v>0</v>
      </c>
      <c r="E27" s="264">
        <f t="shared" si="8"/>
        <v>8084</v>
      </c>
      <c r="F27" s="264">
        <f t="shared" si="8"/>
        <v>9701</v>
      </c>
      <c r="G27" s="264">
        <f t="shared" si="8"/>
        <v>8084</v>
      </c>
      <c r="H27" s="264">
        <f t="shared" si="8"/>
        <v>8084</v>
      </c>
      <c r="I27" s="264">
        <f t="shared" si="8"/>
        <v>8084</v>
      </c>
      <c r="J27" s="264">
        <f t="shared" si="8"/>
        <v>8084</v>
      </c>
      <c r="K27" s="264">
        <f t="shared" si="8"/>
        <v>6468</v>
      </c>
      <c r="L27" s="264">
        <f t="shared" si="8"/>
        <v>6468</v>
      </c>
      <c r="M27" s="264">
        <f t="shared" si="8"/>
        <v>4850</v>
      </c>
      <c r="N27" s="264">
        <f t="shared" si="8"/>
        <v>4850</v>
      </c>
      <c r="O27" s="264">
        <f t="shared" si="8"/>
        <v>4042</v>
      </c>
      <c r="P27" s="264">
        <f t="shared" si="8"/>
        <v>4044</v>
      </c>
      <c r="Q27" s="264">
        <f t="shared" si="8"/>
        <v>0</v>
      </c>
      <c r="R27" s="264">
        <f>SUM(R28:R30)</f>
        <v>0</v>
      </c>
      <c r="S27" s="264">
        <f t="shared" si="8"/>
        <v>0</v>
      </c>
      <c r="T27" s="264">
        <f t="shared" si="8"/>
        <v>0</v>
      </c>
      <c r="U27" s="264">
        <f t="shared" si="8"/>
        <v>0</v>
      </c>
      <c r="V27" s="264">
        <f t="shared" si="8"/>
        <v>0</v>
      </c>
      <c r="W27" s="264">
        <f t="shared" ref="W27:AL27" si="9">SUM(W28:W30)</f>
        <v>0</v>
      </c>
      <c r="X27" s="264">
        <f t="shared" si="9"/>
        <v>0</v>
      </c>
      <c r="Y27" s="264">
        <f t="shared" si="9"/>
        <v>0</v>
      </c>
      <c r="Z27" s="264">
        <f t="shared" si="9"/>
        <v>0</v>
      </c>
      <c r="AA27" s="264">
        <f t="shared" si="9"/>
        <v>0</v>
      </c>
      <c r="AB27" s="264">
        <f t="shared" si="9"/>
        <v>0</v>
      </c>
      <c r="AC27" s="264">
        <f t="shared" si="9"/>
        <v>0</v>
      </c>
      <c r="AD27" s="264">
        <f t="shared" si="9"/>
        <v>0</v>
      </c>
      <c r="AE27" s="264">
        <f t="shared" si="9"/>
        <v>0</v>
      </c>
      <c r="AF27" s="264">
        <f t="shared" si="9"/>
        <v>0</v>
      </c>
      <c r="AG27" s="264">
        <f t="shared" si="9"/>
        <v>0</v>
      </c>
      <c r="AH27" s="264">
        <f t="shared" si="9"/>
        <v>0</v>
      </c>
      <c r="AI27" s="264">
        <f t="shared" si="9"/>
        <v>0</v>
      </c>
      <c r="AJ27" s="264">
        <f t="shared" si="9"/>
        <v>0</v>
      </c>
      <c r="AK27" s="264">
        <f t="shared" si="9"/>
        <v>0</v>
      </c>
      <c r="AL27" s="264">
        <f t="shared" si="9"/>
        <v>0</v>
      </c>
      <c r="AM27" s="264">
        <f t="shared" si="8"/>
        <v>0</v>
      </c>
      <c r="AN27" s="264">
        <f t="shared" si="8"/>
        <v>0</v>
      </c>
      <c r="AO27" s="264">
        <f t="shared" si="8"/>
        <v>0</v>
      </c>
      <c r="AP27" s="264">
        <f>SUM(AP28:AP30)</f>
        <v>0</v>
      </c>
      <c r="AQ27" s="265"/>
    </row>
    <row r="28" spans="1:43" s="246" customFormat="1" ht="18" customHeight="1" outlineLevel="1" x14ac:dyDescent="0.15">
      <c r="A28" s="243" t="str">
        <f t="shared" si="6"/>
        <v>建安工程费用</v>
      </c>
      <c r="B28" s="264">
        <f t="shared" si="2"/>
        <v>75008</v>
      </c>
      <c r="C28" s="264">
        <f>ROUND($B$87*C44,0)</f>
        <v>0</v>
      </c>
      <c r="D28" s="264">
        <f t="shared" ref="D28:AP28" si="10">ROUND($B$87*D44,0)</f>
        <v>0</v>
      </c>
      <c r="E28" s="264">
        <f t="shared" si="10"/>
        <v>7501</v>
      </c>
      <c r="F28" s="264">
        <f t="shared" si="10"/>
        <v>9001</v>
      </c>
      <c r="G28" s="264">
        <f t="shared" si="10"/>
        <v>7501</v>
      </c>
      <c r="H28" s="264">
        <f t="shared" si="10"/>
        <v>7501</v>
      </c>
      <c r="I28" s="264">
        <f t="shared" si="10"/>
        <v>7501</v>
      </c>
      <c r="J28" s="264">
        <f t="shared" si="10"/>
        <v>7501</v>
      </c>
      <c r="K28" s="264">
        <f t="shared" si="10"/>
        <v>6001</v>
      </c>
      <c r="L28" s="264">
        <f t="shared" si="10"/>
        <v>6001</v>
      </c>
      <c r="M28" s="264">
        <f t="shared" si="10"/>
        <v>4500</v>
      </c>
      <c r="N28" s="264">
        <f t="shared" si="10"/>
        <v>4500</v>
      </c>
      <c r="O28" s="264">
        <f t="shared" si="10"/>
        <v>3750</v>
      </c>
      <c r="P28" s="264">
        <f t="shared" si="10"/>
        <v>3750</v>
      </c>
      <c r="Q28" s="264">
        <f t="shared" si="10"/>
        <v>0</v>
      </c>
      <c r="R28" s="264">
        <f>ROUND($B$87*R44,0)</f>
        <v>0</v>
      </c>
      <c r="S28" s="264">
        <f t="shared" si="10"/>
        <v>0</v>
      </c>
      <c r="T28" s="264">
        <f t="shared" si="10"/>
        <v>0</v>
      </c>
      <c r="U28" s="264">
        <f t="shared" si="10"/>
        <v>0</v>
      </c>
      <c r="V28" s="264">
        <f t="shared" si="10"/>
        <v>0</v>
      </c>
      <c r="W28" s="264">
        <f t="shared" si="10"/>
        <v>0</v>
      </c>
      <c r="X28" s="264">
        <f t="shared" si="10"/>
        <v>0</v>
      </c>
      <c r="Y28" s="264">
        <f t="shared" si="10"/>
        <v>0</v>
      </c>
      <c r="Z28" s="264">
        <f t="shared" si="10"/>
        <v>0</v>
      </c>
      <c r="AA28" s="264">
        <f t="shared" si="10"/>
        <v>0</v>
      </c>
      <c r="AB28" s="264">
        <f t="shared" si="10"/>
        <v>0</v>
      </c>
      <c r="AC28" s="264">
        <f t="shared" si="10"/>
        <v>0</v>
      </c>
      <c r="AD28" s="264">
        <f t="shared" si="10"/>
        <v>0</v>
      </c>
      <c r="AE28" s="264">
        <f t="shared" si="10"/>
        <v>0</v>
      </c>
      <c r="AF28" s="264">
        <f t="shared" si="10"/>
        <v>0</v>
      </c>
      <c r="AG28" s="264">
        <f t="shared" si="10"/>
        <v>0</v>
      </c>
      <c r="AH28" s="264">
        <f t="shared" si="10"/>
        <v>0</v>
      </c>
      <c r="AI28" s="264">
        <f t="shared" si="10"/>
        <v>0</v>
      </c>
      <c r="AJ28" s="264">
        <f t="shared" si="10"/>
        <v>0</v>
      </c>
      <c r="AK28" s="264">
        <f t="shared" si="10"/>
        <v>0</v>
      </c>
      <c r="AL28" s="264">
        <f t="shared" si="10"/>
        <v>0</v>
      </c>
      <c r="AM28" s="264">
        <f t="shared" si="10"/>
        <v>0</v>
      </c>
      <c r="AN28" s="264">
        <f t="shared" si="10"/>
        <v>0</v>
      </c>
      <c r="AO28" s="264">
        <f t="shared" si="10"/>
        <v>0</v>
      </c>
      <c r="AP28" s="264">
        <f t="shared" si="10"/>
        <v>0</v>
      </c>
      <c r="AQ28" s="265"/>
    </row>
    <row r="29" spans="1:43" s="246" customFormat="1" ht="18" customHeight="1" outlineLevel="1" x14ac:dyDescent="0.15">
      <c r="A29" s="243" t="str">
        <f>A106</f>
        <v xml:space="preserve">      附属工程费用</v>
      </c>
      <c r="B29" s="264">
        <f t="shared" si="2"/>
        <v>2334</v>
      </c>
      <c r="C29" s="264">
        <f>ROUND($B$106*C63,0)</f>
        <v>0</v>
      </c>
      <c r="D29" s="264">
        <f t="shared" ref="D29:AP29" si="11">ROUND($B$106*D63,0)</f>
        <v>0</v>
      </c>
      <c r="E29" s="264">
        <f t="shared" si="11"/>
        <v>233</v>
      </c>
      <c r="F29" s="264">
        <f t="shared" si="11"/>
        <v>280</v>
      </c>
      <c r="G29" s="264">
        <f t="shared" si="11"/>
        <v>233</v>
      </c>
      <c r="H29" s="264">
        <f t="shared" si="11"/>
        <v>233</v>
      </c>
      <c r="I29" s="264">
        <f t="shared" si="11"/>
        <v>233</v>
      </c>
      <c r="J29" s="264">
        <f t="shared" si="11"/>
        <v>233</v>
      </c>
      <c r="K29" s="264">
        <f t="shared" si="11"/>
        <v>187</v>
      </c>
      <c r="L29" s="264">
        <f t="shared" si="11"/>
        <v>187</v>
      </c>
      <c r="M29" s="264">
        <f t="shared" si="11"/>
        <v>140</v>
      </c>
      <c r="N29" s="264">
        <f t="shared" si="11"/>
        <v>140</v>
      </c>
      <c r="O29" s="264">
        <f t="shared" si="11"/>
        <v>117</v>
      </c>
      <c r="P29" s="756">
        <f>B106-SUM(C29:O29)</f>
        <v>118</v>
      </c>
      <c r="Q29" s="264">
        <f t="shared" si="11"/>
        <v>0</v>
      </c>
      <c r="R29" s="264">
        <f>ROUND($B$106*R63,0)</f>
        <v>0</v>
      </c>
      <c r="S29" s="264">
        <f t="shared" si="11"/>
        <v>0</v>
      </c>
      <c r="T29" s="264">
        <f t="shared" si="11"/>
        <v>0</v>
      </c>
      <c r="U29" s="264">
        <f t="shared" si="11"/>
        <v>0</v>
      </c>
      <c r="V29" s="264">
        <f t="shared" si="11"/>
        <v>0</v>
      </c>
      <c r="W29" s="264">
        <f t="shared" si="11"/>
        <v>0</v>
      </c>
      <c r="X29" s="264">
        <f t="shared" si="11"/>
        <v>0</v>
      </c>
      <c r="Y29" s="264">
        <f t="shared" si="11"/>
        <v>0</v>
      </c>
      <c r="Z29" s="264">
        <f t="shared" si="11"/>
        <v>0</v>
      </c>
      <c r="AA29" s="264">
        <f t="shared" si="11"/>
        <v>0</v>
      </c>
      <c r="AB29" s="264">
        <f t="shared" si="11"/>
        <v>0</v>
      </c>
      <c r="AC29" s="264">
        <f t="shared" si="11"/>
        <v>0</v>
      </c>
      <c r="AD29" s="264">
        <f t="shared" si="11"/>
        <v>0</v>
      </c>
      <c r="AE29" s="264">
        <f t="shared" si="11"/>
        <v>0</v>
      </c>
      <c r="AF29" s="264">
        <f t="shared" si="11"/>
        <v>0</v>
      </c>
      <c r="AG29" s="264">
        <f t="shared" si="11"/>
        <v>0</v>
      </c>
      <c r="AH29" s="264">
        <f t="shared" si="11"/>
        <v>0</v>
      </c>
      <c r="AI29" s="264">
        <f t="shared" si="11"/>
        <v>0</v>
      </c>
      <c r="AJ29" s="264">
        <f t="shared" si="11"/>
        <v>0</v>
      </c>
      <c r="AK29" s="264">
        <f t="shared" si="11"/>
        <v>0</v>
      </c>
      <c r="AL29" s="264">
        <f t="shared" si="11"/>
        <v>0</v>
      </c>
      <c r="AM29" s="264">
        <f t="shared" si="11"/>
        <v>0</v>
      </c>
      <c r="AN29" s="264">
        <f t="shared" si="11"/>
        <v>0</v>
      </c>
      <c r="AO29" s="264">
        <f t="shared" si="11"/>
        <v>0</v>
      </c>
      <c r="AP29" s="264">
        <f t="shared" si="11"/>
        <v>0</v>
      </c>
      <c r="AQ29" s="265"/>
    </row>
    <row r="30" spans="1:43" s="246" customFormat="1" ht="18" customHeight="1" outlineLevel="1" x14ac:dyDescent="0.15">
      <c r="A30" s="243" t="str">
        <f>A107</f>
        <v xml:space="preserve">             室外工程费用</v>
      </c>
      <c r="B30" s="264">
        <f t="shared" si="2"/>
        <v>3501</v>
      </c>
      <c r="C30" s="264">
        <f>ROUND($B$107*C64,0)</f>
        <v>0</v>
      </c>
      <c r="D30" s="264">
        <f t="shared" ref="D30:AP30" si="12">ROUND($B$107*D64,0)</f>
        <v>0</v>
      </c>
      <c r="E30" s="264">
        <f t="shared" si="12"/>
        <v>350</v>
      </c>
      <c r="F30" s="264">
        <f t="shared" si="12"/>
        <v>420</v>
      </c>
      <c r="G30" s="264">
        <f t="shared" si="12"/>
        <v>350</v>
      </c>
      <c r="H30" s="264">
        <f t="shared" si="12"/>
        <v>350</v>
      </c>
      <c r="I30" s="264">
        <f t="shared" si="12"/>
        <v>350</v>
      </c>
      <c r="J30" s="264">
        <f t="shared" si="12"/>
        <v>350</v>
      </c>
      <c r="K30" s="264">
        <f t="shared" si="12"/>
        <v>280</v>
      </c>
      <c r="L30" s="264">
        <f t="shared" si="12"/>
        <v>280</v>
      </c>
      <c r="M30" s="264">
        <f t="shared" si="12"/>
        <v>210</v>
      </c>
      <c r="N30" s="264">
        <f t="shared" si="12"/>
        <v>210</v>
      </c>
      <c r="O30" s="264">
        <f t="shared" si="12"/>
        <v>175</v>
      </c>
      <c r="P30" s="756">
        <f>B107-SUM(C30:O30)</f>
        <v>176</v>
      </c>
      <c r="Q30" s="264">
        <f t="shared" si="12"/>
        <v>0</v>
      </c>
      <c r="R30" s="264">
        <f>ROUND($B$107*R64,0)</f>
        <v>0</v>
      </c>
      <c r="S30" s="264">
        <f t="shared" si="12"/>
        <v>0</v>
      </c>
      <c r="T30" s="264">
        <f t="shared" si="12"/>
        <v>0</v>
      </c>
      <c r="U30" s="264">
        <f t="shared" si="12"/>
        <v>0</v>
      </c>
      <c r="V30" s="264">
        <f t="shared" si="12"/>
        <v>0</v>
      </c>
      <c r="W30" s="264">
        <f t="shared" si="12"/>
        <v>0</v>
      </c>
      <c r="X30" s="264">
        <f t="shared" si="12"/>
        <v>0</v>
      </c>
      <c r="Y30" s="264">
        <f t="shared" si="12"/>
        <v>0</v>
      </c>
      <c r="Z30" s="264">
        <f t="shared" si="12"/>
        <v>0</v>
      </c>
      <c r="AA30" s="264">
        <f t="shared" si="12"/>
        <v>0</v>
      </c>
      <c r="AB30" s="264">
        <f t="shared" si="12"/>
        <v>0</v>
      </c>
      <c r="AC30" s="264">
        <f t="shared" si="12"/>
        <v>0</v>
      </c>
      <c r="AD30" s="264">
        <f t="shared" si="12"/>
        <v>0</v>
      </c>
      <c r="AE30" s="264">
        <f t="shared" si="12"/>
        <v>0</v>
      </c>
      <c r="AF30" s="264">
        <f t="shared" si="12"/>
        <v>0</v>
      </c>
      <c r="AG30" s="264">
        <f t="shared" si="12"/>
        <v>0</v>
      </c>
      <c r="AH30" s="264">
        <f t="shared" si="12"/>
        <v>0</v>
      </c>
      <c r="AI30" s="264">
        <f t="shared" si="12"/>
        <v>0</v>
      </c>
      <c r="AJ30" s="264">
        <f t="shared" si="12"/>
        <v>0</v>
      </c>
      <c r="AK30" s="264">
        <f t="shared" si="12"/>
        <v>0</v>
      </c>
      <c r="AL30" s="264">
        <f t="shared" si="12"/>
        <v>0</v>
      </c>
      <c r="AM30" s="264">
        <f t="shared" si="12"/>
        <v>0</v>
      </c>
      <c r="AN30" s="264">
        <f t="shared" si="12"/>
        <v>0</v>
      </c>
      <c r="AO30" s="264">
        <f t="shared" si="12"/>
        <v>0</v>
      </c>
      <c r="AP30" s="264">
        <f t="shared" si="12"/>
        <v>0</v>
      </c>
      <c r="AQ30" s="265"/>
    </row>
    <row r="31" spans="1:43" s="246" customFormat="1" ht="18" customHeight="1" outlineLevel="1" x14ac:dyDescent="0.15">
      <c r="A31" s="210" t="str">
        <f t="shared" ref="A31:A36" si="13">A108</f>
        <v>（四）开发间接费用</v>
      </c>
      <c r="B31" s="264">
        <f t="shared" si="2"/>
        <v>1617</v>
      </c>
      <c r="C31" s="264">
        <f>ROUND($B$108*C65,0)</f>
        <v>0</v>
      </c>
      <c r="D31" s="264">
        <f t="shared" ref="D31:AP31" si="14">ROUND($B$108*D65,0)</f>
        <v>0</v>
      </c>
      <c r="E31" s="264">
        <f t="shared" si="14"/>
        <v>162</v>
      </c>
      <c r="F31" s="264">
        <f t="shared" si="14"/>
        <v>194</v>
      </c>
      <c r="G31" s="264">
        <f t="shared" si="14"/>
        <v>162</v>
      </c>
      <c r="H31" s="264">
        <f t="shared" si="14"/>
        <v>162</v>
      </c>
      <c r="I31" s="264">
        <f t="shared" si="14"/>
        <v>162</v>
      </c>
      <c r="J31" s="264">
        <f t="shared" si="14"/>
        <v>162</v>
      </c>
      <c r="K31" s="264">
        <f t="shared" si="14"/>
        <v>129</v>
      </c>
      <c r="L31" s="264">
        <f t="shared" si="14"/>
        <v>129</v>
      </c>
      <c r="M31" s="264">
        <f t="shared" si="14"/>
        <v>97</v>
      </c>
      <c r="N31" s="264">
        <f t="shared" si="14"/>
        <v>97</v>
      </c>
      <c r="O31" s="264">
        <f t="shared" si="14"/>
        <v>81</v>
      </c>
      <c r="P31" s="756">
        <f>B108-SUM(C31:O31)</f>
        <v>80</v>
      </c>
      <c r="Q31" s="264">
        <f t="shared" si="14"/>
        <v>0</v>
      </c>
      <c r="R31" s="264">
        <f>ROUND($B$108*R65,0)</f>
        <v>0</v>
      </c>
      <c r="S31" s="264">
        <f t="shared" si="14"/>
        <v>0</v>
      </c>
      <c r="T31" s="264">
        <f t="shared" si="14"/>
        <v>0</v>
      </c>
      <c r="U31" s="264">
        <f t="shared" si="14"/>
        <v>0</v>
      </c>
      <c r="V31" s="264">
        <f t="shared" si="14"/>
        <v>0</v>
      </c>
      <c r="W31" s="264">
        <f t="shared" si="14"/>
        <v>0</v>
      </c>
      <c r="X31" s="264">
        <f t="shared" si="14"/>
        <v>0</v>
      </c>
      <c r="Y31" s="264">
        <f t="shared" si="14"/>
        <v>0</v>
      </c>
      <c r="Z31" s="264">
        <f t="shared" si="14"/>
        <v>0</v>
      </c>
      <c r="AA31" s="264">
        <f t="shared" si="14"/>
        <v>0</v>
      </c>
      <c r="AB31" s="264">
        <f t="shared" si="14"/>
        <v>0</v>
      </c>
      <c r="AC31" s="264">
        <f t="shared" si="14"/>
        <v>0</v>
      </c>
      <c r="AD31" s="264">
        <f t="shared" si="14"/>
        <v>0</v>
      </c>
      <c r="AE31" s="264">
        <f t="shared" si="14"/>
        <v>0</v>
      </c>
      <c r="AF31" s="264">
        <f t="shared" si="14"/>
        <v>0</v>
      </c>
      <c r="AG31" s="264">
        <f t="shared" si="14"/>
        <v>0</v>
      </c>
      <c r="AH31" s="264">
        <f t="shared" si="14"/>
        <v>0</v>
      </c>
      <c r="AI31" s="264">
        <f t="shared" si="14"/>
        <v>0</v>
      </c>
      <c r="AJ31" s="264">
        <f t="shared" si="14"/>
        <v>0</v>
      </c>
      <c r="AK31" s="264">
        <f t="shared" si="14"/>
        <v>0</v>
      </c>
      <c r="AL31" s="264">
        <f t="shared" si="14"/>
        <v>0</v>
      </c>
      <c r="AM31" s="264">
        <f t="shared" si="14"/>
        <v>0</v>
      </c>
      <c r="AN31" s="264">
        <f t="shared" si="14"/>
        <v>0</v>
      </c>
      <c r="AO31" s="264">
        <f t="shared" si="14"/>
        <v>0</v>
      </c>
      <c r="AP31" s="264">
        <f t="shared" si="14"/>
        <v>0</v>
      </c>
      <c r="AQ31" s="265"/>
    </row>
    <row r="32" spans="1:43" s="246" customFormat="1" ht="18" customHeight="1" outlineLevel="1" x14ac:dyDescent="0.15">
      <c r="A32" s="210" t="str">
        <f t="shared" si="13"/>
        <v>（五）销售费用</v>
      </c>
      <c r="B32" s="264">
        <f t="shared" si="2"/>
        <v>7082</v>
      </c>
      <c r="C32" s="264">
        <f>ROUND(('底表1（销售计划）'!D111)*$C$109,0)</f>
        <v>0</v>
      </c>
      <c r="D32" s="264">
        <f>ROUND(('底表1（销售计划）'!E111)*$C$109,0)</f>
        <v>0</v>
      </c>
      <c r="E32" s="264">
        <f>ROUND(('底表1（销售计划）'!F111)*$C$109,0)</f>
        <v>0</v>
      </c>
      <c r="F32" s="264">
        <f>ROUND(('底表1（销售计划）'!G111)*$C$109,0)</f>
        <v>1003</v>
      </c>
      <c r="G32" s="264">
        <f>ROUND(('底表1（销售计划）'!H111)*$C$109,0)</f>
        <v>994</v>
      </c>
      <c r="H32" s="264">
        <f>ROUND(('底表1（销售计划）'!I111)*$C$109,0)</f>
        <v>1183</v>
      </c>
      <c r="I32" s="264">
        <f>ROUND(('底表1（销售计划）'!J111)*$C$109,0)</f>
        <v>1147</v>
      </c>
      <c r="J32" s="264">
        <f>ROUND(('底表1（销售计划）'!K111)*$C$109,0)</f>
        <v>861</v>
      </c>
      <c r="K32" s="264">
        <f>ROUND(('底表1（销售计划）'!L111)*$C$109,0)</f>
        <v>751</v>
      </c>
      <c r="L32" s="264">
        <f>ROUND(('底表1（销售计划）'!M111)*$C$109,0)</f>
        <v>475</v>
      </c>
      <c r="M32" s="264">
        <f>ROUND(('底表1（销售计划）'!N111)*$C$109,0)</f>
        <v>294</v>
      </c>
      <c r="N32" s="264">
        <f>ROUND(('底表1（销售计划）'!O111)*$C$109,0)</f>
        <v>262</v>
      </c>
      <c r="O32" s="264">
        <f>ROUND(('底表1（销售计划）'!P111)*$C$109,0)</f>
        <v>101</v>
      </c>
      <c r="P32" s="756">
        <f>B109-SUM(C32:O32)</f>
        <v>11</v>
      </c>
      <c r="Q32" s="264">
        <f>ROUND(('底表1（销售计划）'!R111)*$C$109,0)</f>
        <v>0</v>
      </c>
      <c r="R32" s="264">
        <f>ROUND(('底表1（销售计划）'!S111)*$C$109,0)</f>
        <v>0</v>
      </c>
      <c r="S32" s="264">
        <f>ROUND(('底表1（销售计划）'!T111)*$C$109,0)</f>
        <v>0</v>
      </c>
      <c r="T32" s="264">
        <f>ROUND(('底表1（销售计划）'!U111)*$C$109,0)</f>
        <v>0</v>
      </c>
      <c r="U32" s="264">
        <f>ROUND(('底表1（销售计划）'!V111)*$C$109,0)</f>
        <v>0</v>
      </c>
      <c r="V32" s="264">
        <f>ROUND(('底表1（销售计划）'!W111)*$C$109,0)</f>
        <v>0</v>
      </c>
      <c r="W32" s="264">
        <f>ROUND(('底表1（销售计划）'!X111)*$C$109,0)</f>
        <v>0</v>
      </c>
      <c r="X32" s="264">
        <f>ROUND(('底表1（销售计划）'!Y111)*$C$109,0)</f>
        <v>0</v>
      </c>
      <c r="Y32" s="264">
        <f>ROUND(('底表1（销售计划）'!Z111)*$C$109,0)</f>
        <v>0</v>
      </c>
      <c r="Z32" s="264">
        <f>ROUND(('底表1（销售计划）'!AA111)*$C$109,0)</f>
        <v>0</v>
      </c>
      <c r="AA32" s="264">
        <f>ROUND(('底表1（销售计划）'!AB111)*$C$109,0)</f>
        <v>0</v>
      </c>
      <c r="AB32" s="264">
        <f>ROUND(('底表1（销售计划）'!AC111)*$C$109,0)</f>
        <v>0</v>
      </c>
      <c r="AC32" s="264">
        <f>ROUND(('底表1（销售计划）'!AD111)*$C$109,0)</f>
        <v>0</v>
      </c>
      <c r="AD32" s="264">
        <f>ROUND(('底表1（销售计划）'!AE111)*$C$109,0)</f>
        <v>0</v>
      </c>
      <c r="AE32" s="264">
        <f>ROUND(('底表1（销售计划）'!AF111)*$C$109,0)</f>
        <v>0</v>
      </c>
      <c r="AF32" s="264">
        <f>ROUND(('底表1（销售计划）'!AG111)*$C$109,0)</f>
        <v>0</v>
      </c>
      <c r="AG32" s="264">
        <f>ROUND(('底表1（销售计划）'!AH111)*$C$109,0)</f>
        <v>0</v>
      </c>
      <c r="AH32" s="264">
        <f>ROUND(('底表1（销售计划）'!AI111)*$C$109,0)</f>
        <v>0</v>
      </c>
      <c r="AI32" s="264">
        <f>ROUND(('底表1（销售计划）'!AJ111)*$C$109,0)</f>
        <v>0</v>
      </c>
      <c r="AJ32" s="264">
        <f>ROUND(('底表1（销售计划）'!AK111)*$C$109,0)</f>
        <v>0</v>
      </c>
      <c r="AK32" s="264">
        <f>ROUND(('底表1（销售计划）'!AL111)*$C$109,0)</f>
        <v>0</v>
      </c>
      <c r="AL32" s="264">
        <f>ROUND(('底表1（销售计划）'!AM111)*$C$109,0)</f>
        <v>0</v>
      </c>
      <c r="AM32" s="264">
        <f>ROUND(('底表1（销售计划）'!AN111)*$C$109,0)</f>
        <v>0</v>
      </c>
      <c r="AN32" s="264">
        <f>ROUND(('底表1（销售计划）'!AO111)*$C$109,0)</f>
        <v>0</v>
      </c>
      <c r="AO32" s="264">
        <f>ROUND(('底表1（销售计划）'!AP111)*$C$109,0)</f>
        <v>0</v>
      </c>
      <c r="AP32" s="264">
        <f>ROUND(('底表1（销售计划）'!AQ111)*$C$109,0)</f>
        <v>0</v>
      </c>
      <c r="AQ32" s="265"/>
    </row>
    <row r="33" spans="1:44" s="246" customFormat="1" ht="18" customHeight="1" outlineLevel="1" x14ac:dyDescent="0.15">
      <c r="A33" s="210" t="str">
        <f t="shared" si="13"/>
        <v>（六）管理费用</v>
      </c>
      <c r="B33" s="264">
        <f t="shared" si="2"/>
        <v>5488</v>
      </c>
      <c r="C33" s="264">
        <f>ROUND((C15+C22+C27+C31)*$C$110,0)</f>
        <v>0</v>
      </c>
      <c r="D33" s="264">
        <f t="shared" ref="D33:AP33" si="15">ROUND((D15+D22+D27+D31)*$C$110,0)</f>
        <v>3476</v>
      </c>
      <c r="E33" s="264">
        <f t="shared" si="15"/>
        <v>474</v>
      </c>
      <c r="F33" s="264">
        <f t="shared" si="15"/>
        <v>252</v>
      </c>
      <c r="G33" s="264">
        <f t="shared" si="15"/>
        <v>165</v>
      </c>
      <c r="H33" s="264">
        <f t="shared" si="15"/>
        <v>165</v>
      </c>
      <c r="I33" s="264">
        <f t="shared" si="15"/>
        <v>165</v>
      </c>
      <c r="J33" s="264">
        <f t="shared" si="15"/>
        <v>165</v>
      </c>
      <c r="K33" s="264">
        <f t="shared" si="15"/>
        <v>132</v>
      </c>
      <c r="L33" s="264">
        <f t="shared" si="15"/>
        <v>132</v>
      </c>
      <c r="M33" s="264">
        <f t="shared" si="15"/>
        <v>99</v>
      </c>
      <c r="N33" s="264">
        <f t="shared" si="15"/>
        <v>99</v>
      </c>
      <c r="O33" s="264">
        <f t="shared" si="15"/>
        <v>82</v>
      </c>
      <c r="P33" s="756">
        <f>B110-SUM(C33:O33)</f>
        <v>82</v>
      </c>
      <c r="Q33" s="264">
        <f t="shared" si="15"/>
        <v>0</v>
      </c>
      <c r="R33" s="264">
        <f>ROUND((R15+R22+R27+R31)*$C$110,0)</f>
        <v>0</v>
      </c>
      <c r="S33" s="264">
        <f t="shared" si="15"/>
        <v>0</v>
      </c>
      <c r="T33" s="264">
        <f t="shared" si="15"/>
        <v>0</v>
      </c>
      <c r="U33" s="264">
        <f t="shared" si="15"/>
        <v>0</v>
      </c>
      <c r="V33" s="264">
        <f t="shared" si="15"/>
        <v>0</v>
      </c>
      <c r="W33" s="264">
        <f t="shared" si="15"/>
        <v>0</v>
      </c>
      <c r="X33" s="264">
        <f t="shared" si="15"/>
        <v>0</v>
      </c>
      <c r="Y33" s="264">
        <f t="shared" si="15"/>
        <v>0</v>
      </c>
      <c r="Z33" s="264">
        <f t="shared" si="15"/>
        <v>0</v>
      </c>
      <c r="AA33" s="264">
        <f t="shared" si="15"/>
        <v>0</v>
      </c>
      <c r="AB33" s="264">
        <f t="shared" si="15"/>
        <v>0</v>
      </c>
      <c r="AC33" s="264">
        <f t="shared" si="15"/>
        <v>0</v>
      </c>
      <c r="AD33" s="264">
        <f t="shared" si="15"/>
        <v>0</v>
      </c>
      <c r="AE33" s="264">
        <f t="shared" si="15"/>
        <v>0</v>
      </c>
      <c r="AF33" s="264">
        <f t="shared" si="15"/>
        <v>0</v>
      </c>
      <c r="AG33" s="264">
        <f t="shared" si="15"/>
        <v>0</v>
      </c>
      <c r="AH33" s="264">
        <f t="shared" si="15"/>
        <v>0</v>
      </c>
      <c r="AI33" s="264">
        <f t="shared" si="15"/>
        <v>0</v>
      </c>
      <c r="AJ33" s="264">
        <f t="shared" si="15"/>
        <v>0</v>
      </c>
      <c r="AK33" s="264">
        <f t="shared" si="15"/>
        <v>0</v>
      </c>
      <c r="AL33" s="264">
        <f t="shared" si="15"/>
        <v>0</v>
      </c>
      <c r="AM33" s="264">
        <f t="shared" si="15"/>
        <v>0</v>
      </c>
      <c r="AN33" s="264">
        <f t="shared" si="15"/>
        <v>0</v>
      </c>
      <c r="AO33" s="264">
        <f t="shared" si="15"/>
        <v>0</v>
      </c>
      <c r="AP33" s="264">
        <f t="shared" si="15"/>
        <v>0</v>
      </c>
      <c r="AQ33" s="265"/>
    </row>
    <row r="34" spans="1:44" s="246" customFormat="1" ht="18" customHeight="1" outlineLevel="1" x14ac:dyDescent="0.15">
      <c r="A34" s="210" t="str">
        <f t="shared" si="13"/>
        <v>（七）财务费用</v>
      </c>
      <c r="B34" s="264">
        <f t="shared" si="2"/>
        <v>12470</v>
      </c>
      <c r="C34" s="264">
        <f>'主表6（负债偿还预测）'!D24</f>
        <v>0</v>
      </c>
      <c r="D34" s="264">
        <f>'主表6（负债偿还预测）'!E24</f>
        <v>1650</v>
      </c>
      <c r="E34" s="264">
        <f>'主表6（负债偿还预测）'!F24</f>
        <v>3475</v>
      </c>
      <c r="F34" s="264">
        <f>'主表6（负债偿还预测）'!G24</f>
        <v>3290</v>
      </c>
      <c r="G34" s="264">
        <f>'主表6（负债偿还预测）'!H24</f>
        <v>2450</v>
      </c>
      <c r="H34" s="264">
        <f>'主表6（负债偿还预测）'!I24</f>
        <v>1295</v>
      </c>
      <c r="I34" s="264">
        <f>'主表6（负债偿还预测）'!J24</f>
        <v>310</v>
      </c>
      <c r="J34" s="264">
        <f>'主表6（负债偿还预测）'!K24</f>
        <v>0</v>
      </c>
      <c r="K34" s="264">
        <f>'主表6（负债偿还预测）'!L24</f>
        <v>0</v>
      </c>
      <c r="L34" s="264">
        <f>'主表6（负债偿还预测）'!M24</f>
        <v>0</v>
      </c>
      <c r="M34" s="264">
        <f>'主表6（负债偿还预测）'!N24</f>
        <v>0</v>
      </c>
      <c r="N34" s="264">
        <f>'主表6（负债偿还预测）'!O24</f>
        <v>0</v>
      </c>
      <c r="O34" s="264">
        <f>'主表6（负债偿还预测）'!P24</f>
        <v>0</v>
      </c>
      <c r="P34" s="264">
        <f>'主表6（负债偿还预测）'!Q24</f>
        <v>0</v>
      </c>
      <c r="Q34" s="264">
        <f>'主表6（负债偿还预测）'!R24</f>
        <v>0</v>
      </c>
      <c r="R34" s="264">
        <f>'主表6（负债偿还预测）'!S24</f>
        <v>0</v>
      </c>
      <c r="S34" s="264">
        <f>'主表6（负债偿还预测）'!T24</f>
        <v>0</v>
      </c>
      <c r="T34" s="264">
        <f>'主表6（负债偿还预测）'!U24</f>
        <v>0</v>
      </c>
      <c r="U34" s="264">
        <f>'主表6（负债偿还预测）'!V24</f>
        <v>0</v>
      </c>
      <c r="V34" s="264">
        <f>'主表6（负债偿还预测）'!W24</f>
        <v>0</v>
      </c>
      <c r="W34" s="264">
        <f>'主表6（负债偿还预测）'!X24</f>
        <v>0</v>
      </c>
      <c r="X34" s="264">
        <f>'主表6（负债偿还预测）'!Y24</f>
        <v>0</v>
      </c>
      <c r="Y34" s="264">
        <f>'主表6（负债偿还预测）'!Z24</f>
        <v>0</v>
      </c>
      <c r="Z34" s="264">
        <f>'主表6（负债偿还预测）'!AA24</f>
        <v>0</v>
      </c>
      <c r="AA34" s="264">
        <f>'主表6（负债偿还预测）'!AB24</f>
        <v>0</v>
      </c>
      <c r="AB34" s="264">
        <f>'主表6（负债偿还预测）'!AC24</f>
        <v>0</v>
      </c>
      <c r="AC34" s="264">
        <f>'主表6（负债偿还预测）'!AD24</f>
        <v>0</v>
      </c>
      <c r="AD34" s="264">
        <f>'主表6（负债偿还预测）'!AE24</f>
        <v>0</v>
      </c>
      <c r="AE34" s="264">
        <f>'主表6（负债偿还预测）'!AF24</f>
        <v>0</v>
      </c>
      <c r="AF34" s="264">
        <f>'主表6（负债偿还预测）'!AG24</f>
        <v>0</v>
      </c>
      <c r="AG34" s="264">
        <f>'主表6（负债偿还预测）'!AH24</f>
        <v>0</v>
      </c>
      <c r="AH34" s="264">
        <f>'主表6（负债偿还预测）'!AI24</f>
        <v>0</v>
      </c>
      <c r="AI34" s="264">
        <f>'主表6（负债偿还预测）'!AJ24</f>
        <v>0</v>
      </c>
      <c r="AJ34" s="264">
        <f>'主表6（负债偿还预测）'!AK24</f>
        <v>0</v>
      </c>
      <c r="AK34" s="264">
        <f>'主表6（负债偿还预测）'!AL24</f>
        <v>0</v>
      </c>
      <c r="AL34" s="264">
        <f>'主表6（负债偿还预测）'!AM24</f>
        <v>0</v>
      </c>
      <c r="AM34" s="264">
        <f>'主表6（负债偿还预测）'!AN24</f>
        <v>0</v>
      </c>
      <c r="AN34" s="264">
        <f>'主表6（负债偿还预测）'!AO24</f>
        <v>0</v>
      </c>
      <c r="AO34" s="264">
        <f>'主表6（负债偿还预测）'!AP24</f>
        <v>0</v>
      </c>
      <c r="AP34" s="264">
        <f>'主表6（负债偿还预测）'!AQ24</f>
        <v>0</v>
      </c>
      <c r="AQ34" s="265"/>
    </row>
    <row r="35" spans="1:44" s="246" customFormat="1" ht="18" customHeight="1" outlineLevel="1" x14ac:dyDescent="0.15">
      <c r="A35" s="210" t="str">
        <f t="shared" si="13"/>
        <v>（八）不可预见费用</v>
      </c>
      <c r="B35" s="264">
        <f t="shared" si="2"/>
        <v>2744</v>
      </c>
      <c r="C35" s="264">
        <f>ROUND((C15+C22+C27+C31)*$C$112,0)</f>
        <v>0</v>
      </c>
      <c r="D35" s="264">
        <f>ROUND((D15+D22+D27+D31)*$C$112,0)</f>
        <v>1738</v>
      </c>
      <c r="E35" s="264">
        <f t="shared" ref="E35:AP35" si="16">ROUND((E15+E22+E27+E31)*$C$112,0)</f>
        <v>237</v>
      </c>
      <c r="F35" s="264">
        <f>ROUND((F15+F22+F27+F31)*$C$112,0)</f>
        <v>126</v>
      </c>
      <c r="G35" s="264">
        <f t="shared" si="16"/>
        <v>82</v>
      </c>
      <c r="H35" s="264">
        <f t="shared" si="16"/>
        <v>82</v>
      </c>
      <c r="I35" s="264">
        <f t="shared" si="16"/>
        <v>82</v>
      </c>
      <c r="J35" s="264">
        <f t="shared" si="16"/>
        <v>82</v>
      </c>
      <c r="K35" s="264">
        <f t="shared" si="16"/>
        <v>66</v>
      </c>
      <c r="L35" s="264">
        <f t="shared" si="16"/>
        <v>66</v>
      </c>
      <c r="M35" s="264">
        <f t="shared" si="16"/>
        <v>49</v>
      </c>
      <c r="N35" s="264">
        <f t="shared" si="16"/>
        <v>49</v>
      </c>
      <c r="O35" s="264">
        <f t="shared" si="16"/>
        <v>41</v>
      </c>
      <c r="P35" s="756">
        <f>B112-SUM(C35:O35)</f>
        <v>44</v>
      </c>
      <c r="Q35" s="264">
        <f t="shared" si="16"/>
        <v>0</v>
      </c>
      <c r="R35" s="264">
        <f>ROUND((R15+R22+R27+R31)*$C$112,0)</f>
        <v>0</v>
      </c>
      <c r="S35" s="264">
        <f t="shared" si="16"/>
        <v>0</v>
      </c>
      <c r="T35" s="264">
        <f t="shared" si="16"/>
        <v>0</v>
      </c>
      <c r="U35" s="264">
        <f t="shared" si="16"/>
        <v>0</v>
      </c>
      <c r="V35" s="264">
        <f t="shared" si="16"/>
        <v>0</v>
      </c>
      <c r="W35" s="264">
        <f t="shared" si="16"/>
        <v>0</v>
      </c>
      <c r="X35" s="264">
        <f t="shared" si="16"/>
        <v>0</v>
      </c>
      <c r="Y35" s="264">
        <f t="shared" si="16"/>
        <v>0</v>
      </c>
      <c r="Z35" s="264">
        <f t="shared" si="16"/>
        <v>0</v>
      </c>
      <c r="AA35" s="264">
        <f t="shared" si="16"/>
        <v>0</v>
      </c>
      <c r="AB35" s="264">
        <f t="shared" si="16"/>
        <v>0</v>
      </c>
      <c r="AC35" s="264">
        <f t="shared" si="16"/>
        <v>0</v>
      </c>
      <c r="AD35" s="264">
        <f t="shared" si="16"/>
        <v>0</v>
      </c>
      <c r="AE35" s="264">
        <f t="shared" si="16"/>
        <v>0</v>
      </c>
      <c r="AF35" s="264">
        <f t="shared" si="16"/>
        <v>0</v>
      </c>
      <c r="AG35" s="264">
        <f t="shared" si="16"/>
        <v>0</v>
      </c>
      <c r="AH35" s="264">
        <f t="shared" si="16"/>
        <v>0</v>
      </c>
      <c r="AI35" s="264">
        <f t="shared" si="16"/>
        <v>0</v>
      </c>
      <c r="AJ35" s="264">
        <f t="shared" si="16"/>
        <v>0</v>
      </c>
      <c r="AK35" s="264">
        <f t="shared" si="16"/>
        <v>0</v>
      </c>
      <c r="AL35" s="264">
        <f t="shared" si="16"/>
        <v>0</v>
      </c>
      <c r="AM35" s="264">
        <f t="shared" si="16"/>
        <v>0</v>
      </c>
      <c r="AN35" s="264">
        <f t="shared" si="16"/>
        <v>0</v>
      </c>
      <c r="AO35" s="264">
        <f t="shared" si="16"/>
        <v>0</v>
      </c>
      <c r="AP35" s="264">
        <f t="shared" si="16"/>
        <v>0</v>
      </c>
      <c r="AQ35" s="265"/>
    </row>
    <row r="36" spans="1:44" s="246" customFormat="1" ht="18" customHeight="1" outlineLevel="1" x14ac:dyDescent="0.15">
      <c r="A36" s="210" t="str">
        <f t="shared" si="13"/>
        <v>（九）相关税费</v>
      </c>
      <c r="B36" s="264">
        <f t="shared" si="2"/>
        <v>404</v>
      </c>
      <c r="C36" s="264">
        <f>ROUND(C65*$B$113,0)</f>
        <v>0</v>
      </c>
      <c r="D36" s="264">
        <f t="shared" ref="D36:AP36" si="17">ROUND(D65*$B$113,0)</f>
        <v>0</v>
      </c>
      <c r="E36" s="264">
        <f t="shared" si="17"/>
        <v>40</v>
      </c>
      <c r="F36" s="264">
        <f t="shared" si="17"/>
        <v>48</v>
      </c>
      <c r="G36" s="264">
        <f t="shared" si="17"/>
        <v>40</v>
      </c>
      <c r="H36" s="264">
        <f t="shared" si="17"/>
        <v>40</v>
      </c>
      <c r="I36" s="264">
        <f t="shared" si="17"/>
        <v>40</v>
      </c>
      <c r="J36" s="264">
        <f t="shared" si="17"/>
        <v>40</v>
      </c>
      <c r="K36" s="264">
        <f t="shared" si="17"/>
        <v>32</v>
      </c>
      <c r="L36" s="264">
        <f t="shared" si="17"/>
        <v>32</v>
      </c>
      <c r="M36" s="264">
        <f t="shared" si="17"/>
        <v>24</v>
      </c>
      <c r="N36" s="264">
        <f t="shared" si="17"/>
        <v>24</v>
      </c>
      <c r="O36" s="264">
        <f t="shared" si="17"/>
        <v>20</v>
      </c>
      <c r="P36" s="756">
        <f>B113-SUM(C36:O36)</f>
        <v>24</v>
      </c>
      <c r="Q36" s="264">
        <f t="shared" si="17"/>
        <v>0</v>
      </c>
      <c r="R36" s="264">
        <f t="shared" si="17"/>
        <v>0</v>
      </c>
      <c r="S36" s="264">
        <f t="shared" si="17"/>
        <v>0</v>
      </c>
      <c r="T36" s="264">
        <f t="shared" si="17"/>
        <v>0</v>
      </c>
      <c r="U36" s="264">
        <f t="shared" si="17"/>
        <v>0</v>
      </c>
      <c r="V36" s="264">
        <f t="shared" si="17"/>
        <v>0</v>
      </c>
      <c r="W36" s="264">
        <f t="shared" si="17"/>
        <v>0</v>
      </c>
      <c r="X36" s="264">
        <f t="shared" si="17"/>
        <v>0</v>
      </c>
      <c r="Y36" s="264">
        <f t="shared" si="17"/>
        <v>0</v>
      </c>
      <c r="Z36" s="264">
        <f t="shared" si="17"/>
        <v>0</v>
      </c>
      <c r="AA36" s="264">
        <f t="shared" si="17"/>
        <v>0</v>
      </c>
      <c r="AB36" s="264">
        <f t="shared" si="17"/>
        <v>0</v>
      </c>
      <c r="AC36" s="264">
        <f t="shared" si="17"/>
        <v>0</v>
      </c>
      <c r="AD36" s="264">
        <f t="shared" si="17"/>
        <v>0</v>
      </c>
      <c r="AE36" s="264">
        <f t="shared" si="17"/>
        <v>0</v>
      </c>
      <c r="AF36" s="264">
        <f t="shared" si="17"/>
        <v>0</v>
      </c>
      <c r="AG36" s="264">
        <f t="shared" si="17"/>
        <v>0</v>
      </c>
      <c r="AH36" s="264">
        <f t="shared" si="17"/>
        <v>0</v>
      </c>
      <c r="AI36" s="264">
        <f t="shared" si="17"/>
        <v>0</v>
      </c>
      <c r="AJ36" s="264">
        <f t="shared" si="17"/>
        <v>0</v>
      </c>
      <c r="AK36" s="264">
        <f t="shared" si="17"/>
        <v>0</v>
      </c>
      <c r="AL36" s="264">
        <f t="shared" si="17"/>
        <v>0</v>
      </c>
      <c r="AM36" s="264">
        <f t="shared" si="17"/>
        <v>0</v>
      </c>
      <c r="AN36" s="264">
        <f t="shared" si="17"/>
        <v>0</v>
      </c>
      <c r="AO36" s="264">
        <f t="shared" si="17"/>
        <v>0</v>
      </c>
      <c r="AP36" s="264">
        <f t="shared" si="17"/>
        <v>0</v>
      </c>
      <c r="AQ36" s="265"/>
    </row>
    <row r="37" spans="1:44" ht="18" customHeight="1" x14ac:dyDescent="0.15">
      <c r="A37" s="235" t="s">
        <v>325</v>
      </c>
      <c r="B37" s="239">
        <f t="shared" si="2"/>
        <v>277553</v>
      </c>
      <c r="C37" s="239">
        <f>ROUND(C15+C22+C27+C31+C35+C36,0)</f>
        <v>0</v>
      </c>
      <c r="D37" s="239">
        <f>ROUND(D15+D22+D27+D31+D35+D36,0)</f>
        <v>175538</v>
      </c>
      <c r="E37" s="239">
        <f t="shared" ref="E37:Q37" si="18">ROUND(E15+E22+E27+E31+E35+E36,0)</f>
        <v>23964</v>
      </c>
      <c r="F37" s="239">
        <f t="shared" si="18"/>
        <v>12773</v>
      </c>
      <c r="G37" s="239">
        <f t="shared" si="18"/>
        <v>8368</v>
      </c>
      <c r="H37" s="239">
        <f t="shared" si="18"/>
        <v>8368</v>
      </c>
      <c r="I37" s="239">
        <f>ROUND(I15+I22+I27+I31+I35+I36,0)</f>
        <v>8368</v>
      </c>
      <c r="J37" s="239">
        <f t="shared" si="18"/>
        <v>8368</v>
      </c>
      <c r="K37" s="239">
        <f t="shared" si="18"/>
        <v>6695</v>
      </c>
      <c r="L37" s="239">
        <f t="shared" si="18"/>
        <v>6695</v>
      </c>
      <c r="M37" s="239">
        <f t="shared" si="18"/>
        <v>5020</v>
      </c>
      <c r="N37" s="239">
        <f t="shared" si="18"/>
        <v>5020</v>
      </c>
      <c r="O37" s="239">
        <f t="shared" si="18"/>
        <v>4184</v>
      </c>
      <c r="P37" s="239">
        <f t="shared" si="18"/>
        <v>4192</v>
      </c>
      <c r="Q37" s="239">
        <f t="shared" si="18"/>
        <v>0</v>
      </c>
      <c r="R37" s="239">
        <f t="shared" ref="R37:Y37" si="19">ROUND(R15+R22+R27+R31+R35+R36,0)</f>
        <v>0</v>
      </c>
      <c r="S37" s="239">
        <f t="shared" si="19"/>
        <v>0</v>
      </c>
      <c r="T37" s="239">
        <f t="shared" si="19"/>
        <v>0</v>
      </c>
      <c r="U37" s="239">
        <f t="shared" si="19"/>
        <v>0</v>
      </c>
      <c r="V37" s="239">
        <f t="shared" si="19"/>
        <v>0</v>
      </c>
      <c r="W37" s="239">
        <f t="shared" si="19"/>
        <v>0</v>
      </c>
      <c r="X37" s="239">
        <f t="shared" si="19"/>
        <v>0</v>
      </c>
      <c r="Y37" s="239">
        <f t="shared" si="19"/>
        <v>0</v>
      </c>
      <c r="Z37" s="239">
        <f t="shared" ref="Z37:AL37" si="20">ROUND(Z15+Z22+Z27+Z31+Z35+Z36,0)</f>
        <v>0</v>
      </c>
      <c r="AA37" s="239">
        <f t="shared" si="20"/>
        <v>0</v>
      </c>
      <c r="AB37" s="239">
        <f t="shared" si="20"/>
        <v>0</v>
      </c>
      <c r="AC37" s="239">
        <f t="shared" si="20"/>
        <v>0</v>
      </c>
      <c r="AD37" s="239">
        <f t="shared" si="20"/>
        <v>0</v>
      </c>
      <c r="AE37" s="239">
        <f t="shared" si="20"/>
        <v>0</v>
      </c>
      <c r="AF37" s="239">
        <f t="shared" si="20"/>
        <v>0</v>
      </c>
      <c r="AG37" s="239">
        <f t="shared" si="20"/>
        <v>0</v>
      </c>
      <c r="AH37" s="239">
        <f t="shared" si="20"/>
        <v>0</v>
      </c>
      <c r="AI37" s="239">
        <f t="shared" si="20"/>
        <v>0</v>
      </c>
      <c r="AJ37" s="239">
        <f t="shared" si="20"/>
        <v>0</v>
      </c>
      <c r="AK37" s="239">
        <f t="shared" si="20"/>
        <v>0</v>
      </c>
      <c r="AL37" s="239">
        <f t="shared" si="20"/>
        <v>0</v>
      </c>
      <c r="AM37" s="239">
        <f>ROUND(AM15+AM22+AM27+AM31+AM35+AM36,0)</f>
        <v>0</v>
      </c>
      <c r="AN37" s="239">
        <f>ROUND(AN15+AN22+AN27+AN31+AN35+AN36,0)</f>
        <v>0</v>
      </c>
      <c r="AO37" s="239">
        <f>ROUND(AO15+AO22+AO27+AO31+AO35+AO36,0)</f>
        <v>0</v>
      </c>
      <c r="AP37" s="239">
        <f>ROUND(AP15+AP22+AP27+AP31+AP35+AP36,0)</f>
        <v>0</v>
      </c>
      <c r="AR37" s="572"/>
    </row>
    <row r="38" spans="1:44" ht="18" customHeight="1" x14ac:dyDescent="0.15">
      <c r="A38" s="235" t="s">
        <v>326</v>
      </c>
      <c r="B38" s="239">
        <f t="shared" si="2"/>
        <v>25040</v>
      </c>
      <c r="C38" s="239">
        <f>ROUND(C32+C33+C34,0)</f>
        <v>0</v>
      </c>
      <c r="D38" s="239">
        <f>ROUND(D32+D33+D34,0)</f>
        <v>5126</v>
      </c>
      <c r="E38" s="239">
        <f>ROUND(E32+E33+E34,0)</f>
        <v>3949</v>
      </c>
      <c r="F38" s="239">
        <f t="shared" ref="F38:Q38" si="21">ROUND(F32+F33+F34,0)</f>
        <v>4545</v>
      </c>
      <c r="G38" s="239">
        <f t="shared" si="21"/>
        <v>3609</v>
      </c>
      <c r="H38" s="239">
        <f>ROUND(H32+H33+H34,0)</f>
        <v>2643</v>
      </c>
      <c r="I38" s="239">
        <f>ROUND(I32+I33+I34,0)</f>
        <v>1622</v>
      </c>
      <c r="J38" s="239">
        <f t="shared" si="21"/>
        <v>1026</v>
      </c>
      <c r="K38" s="239">
        <f t="shared" si="21"/>
        <v>883</v>
      </c>
      <c r="L38" s="239">
        <f t="shared" si="21"/>
        <v>607</v>
      </c>
      <c r="M38" s="239">
        <f t="shared" si="21"/>
        <v>393</v>
      </c>
      <c r="N38" s="239">
        <f t="shared" si="21"/>
        <v>361</v>
      </c>
      <c r="O38" s="239">
        <f t="shared" si="21"/>
        <v>183</v>
      </c>
      <c r="P38" s="239">
        <f t="shared" si="21"/>
        <v>93</v>
      </c>
      <c r="Q38" s="239">
        <f t="shared" si="21"/>
        <v>0</v>
      </c>
      <c r="R38" s="239">
        <f t="shared" ref="R38:Y38" si="22">ROUND(R32+R33+R34,0)</f>
        <v>0</v>
      </c>
      <c r="S38" s="239">
        <f t="shared" si="22"/>
        <v>0</v>
      </c>
      <c r="T38" s="239">
        <f t="shared" si="22"/>
        <v>0</v>
      </c>
      <c r="U38" s="239">
        <f t="shared" si="22"/>
        <v>0</v>
      </c>
      <c r="V38" s="239">
        <f t="shared" si="22"/>
        <v>0</v>
      </c>
      <c r="W38" s="239">
        <f t="shared" si="22"/>
        <v>0</v>
      </c>
      <c r="X38" s="239">
        <f t="shared" si="22"/>
        <v>0</v>
      </c>
      <c r="Y38" s="239">
        <f t="shared" si="22"/>
        <v>0</v>
      </c>
      <c r="Z38" s="239">
        <f t="shared" ref="Z38:AL38" si="23">ROUND(Z32+Z33+Z34,0)</f>
        <v>0</v>
      </c>
      <c r="AA38" s="239">
        <f t="shared" si="23"/>
        <v>0</v>
      </c>
      <c r="AB38" s="239">
        <f t="shared" si="23"/>
        <v>0</v>
      </c>
      <c r="AC38" s="239">
        <f t="shared" si="23"/>
        <v>0</v>
      </c>
      <c r="AD38" s="239">
        <f t="shared" si="23"/>
        <v>0</v>
      </c>
      <c r="AE38" s="239">
        <f t="shared" si="23"/>
        <v>0</v>
      </c>
      <c r="AF38" s="239">
        <f t="shared" si="23"/>
        <v>0</v>
      </c>
      <c r="AG38" s="239">
        <f t="shared" si="23"/>
        <v>0</v>
      </c>
      <c r="AH38" s="239">
        <f t="shared" si="23"/>
        <v>0</v>
      </c>
      <c r="AI38" s="239">
        <f t="shared" si="23"/>
        <v>0</v>
      </c>
      <c r="AJ38" s="239">
        <f t="shared" si="23"/>
        <v>0</v>
      </c>
      <c r="AK38" s="239">
        <f t="shared" si="23"/>
        <v>0</v>
      </c>
      <c r="AL38" s="239">
        <f t="shared" si="23"/>
        <v>0</v>
      </c>
      <c r="AM38" s="239">
        <f>ROUND(AM32+AM33+AM34,0)</f>
        <v>0</v>
      </c>
      <c r="AN38" s="239">
        <f>ROUND(AN32+AN33+AN34,0)</f>
        <v>0</v>
      </c>
      <c r="AO38" s="239">
        <f>ROUND(AO32+AO33+AO34,0)</f>
        <v>0</v>
      </c>
      <c r="AP38" s="239">
        <f>ROUND(AP32+AP33+AP34,0)</f>
        <v>0</v>
      </c>
    </row>
    <row r="39" spans="1:44" ht="18" customHeight="1" x14ac:dyDescent="0.15">
      <c r="A39" s="235" t="s">
        <v>327</v>
      </c>
      <c r="B39" s="239">
        <f t="shared" si="2"/>
        <v>290123</v>
      </c>
      <c r="C39" s="239">
        <f>C14-C34</f>
        <v>0</v>
      </c>
      <c r="D39" s="239">
        <f>D14-D34</f>
        <v>179014</v>
      </c>
      <c r="E39" s="239">
        <f>E14-E34</f>
        <v>24438</v>
      </c>
      <c r="F39" s="239">
        <f t="shared" ref="F39:Q39" si="24">F14-F34</f>
        <v>14028</v>
      </c>
      <c r="G39" s="239">
        <f t="shared" si="24"/>
        <v>9527</v>
      </c>
      <c r="H39" s="239">
        <f>H14-H34</f>
        <v>9716</v>
      </c>
      <c r="I39" s="239">
        <f>I14-I34</f>
        <v>9680</v>
      </c>
      <c r="J39" s="239">
        <f t="shared" si="24"/>
        <v>9394</v>
      </c>
      <c r="K39" s="239">
        <f t="shared" si="24"/>
        <v>7578</v>
      </c>
      <c r="L39" s="239">
        <f t="shared" si="24"/>
        <v>7302</v>
      </c>
      <c r="M39" s="239">
        <f t="shared" si="24"/>
        <v>5413</v>
      </c>
      <c r="N39" s="239">
        <f t="shared" si="24"/>
        <v>5381</v>
      </c>
      <c r="O39" s="239">
        <f t="shared" si="24"/>
        <v>4367</v>
      </c>
      <c r="P39" s="239">
        <f t="shared" si="24"/>
        <v>4285</v>
      </c>
      <c r="Q39" s="239">
        <f t="shared" si="24"/>
        <v>0</v>
      </c>
      <c r="R39" s="239">
        <f t="shared" ref="R39:Y39" si="25">R14-R34</f>
        <v>0</v>
      </c>
      <c r="S39" s="239">
        <f t="shared" si="25"/>
        <v>0</v>
      </c>
      <c r="T39" s="239">
        <f t="shared" si="25"/>
        <v>0</v>
      </c>
      <c r="U39" s="239">
        <f t="shared" si="25"/>
        <v>0</v>
      </c>
      <c r="V39" s="239">
        <f t="shared" si="25"/>
        <v>0</v>
      </c>
      <c r="W39" s="239">
        <f t="shared" si="25"/>
        <v>0</v>
      </c>
      <c r="X39" s="239">
        <f t="shared" si="25"/>
        <v>0</v>
      </c>
      <c r="Y39" s="239">
        <f t="shared" si="25"/>
        <v>0</v>
      </c>
      <c r="Z39" s="239">
        <f t="shared" ref="Z39:AL39" si="26">Z14-Z34</f>
        <v>0</v>
      </c>
      <c r="AA39" s="239">
        <f t="shared" si="26"/>
        <v>0</v>
      </c>
      <c r="AB39" s="239">
        <f t="shared" si="26"/>
        <v>0</v>
      </c>
      <c r="AC39" s="239">
        <f t="shared" si="26"/>
        <v>0</v>
      </c>
      <c r="AD39" s="239">
        <f t="shared" si="26"/>
        <v>0</v>
      </c>
      <c r="AE39" s="239">
        <f t="shared" si="26"/>
        <v>0</v>
      </c>
      <c r="AF39" s="239">
        <f t="shared" si="26"/>
        <v>0</v>
      </c>
      <c r="AG39" s="239">
        <f t="shared" si="26"/>
        <v>0</v>
      </c>
      <c r="AH39" s="239">
        <f t="shared" si="26"/>
        <v>0</v>
      </c>
      <c r="AI39" s="239">
        <f t="shared" si="26"/>
        <v>0</v>
      </c>
      <c r="AJ39" s="239">
        <f t="shared" si="26"/>
        <v>0</v>
      </c>
      <c r="AK39" s="239">
        <f t="shared" si="26"/>
        <v>0</v>
      </c>
      <c r="AL39" s="239">
        <f t="shared" si="26"/>
        <v>0</v>
      </c>
      <c r="AM39" s="239">
        <f>AM14-AM34</f>
        <v>0</v>
      </c>
      <c r="AN39" s="239">
        <f>AN14-AN34</f>
        <v>0</v>
      </c>
      <c r="AO39" s="239">
        <f>AO14-AO34</f>
        <v>0</v>
      </c>
      <c r="AP39" s="239">
        <f>AP14-AP34</f>
        <v>0</v>
      </c>
    </row>
    <row r="40" spans="1:44" ht="18" customHeight="1" x14ac:dyDescent="0.15">
      <c r="A40" s="246"/>
      <c r="B40" s="260"/>
      <c r="C40" s="252"/>
      <c r="D40" s="252"/>
      <c r="E40" s="252"/>
      <c r="F40" s="252"/>
      <c r="G40" s="252"/>
      <c r="H40" s="252"/>
      <c r="I40" s="252"/>
      <c r="J40" s="252"/>
      <c r="K40" s="252"/>
      <c r="L40" s="252"/>
      <c r="M40" s="252"/>
      <c r="N40" s="252"/>
      <c r="O40" s="252"/>
      <c r="P40" s="252"/>
      <c r="Q40" s="252"/>
      <c r="R40" s="252"/>
      <c r="S40" s="252"/>
      <c r="T40" s="252"/>
      <c r="U40" s="252"/>
      <c r="V40" s="252"/>
      <c r="W40" s="252"/>
      <c r="X40" s="252"/>
      <c r="Y40" s="252"/>
      <c r="Z40" s="252"/>
      <c r="AA40" s="252"/>
      <c r="AB40" s="252"/>
      <c r="AC40" s="252"/>
      <c r="AD40" s="252"/>
      <c r="AE40" s="252"/>
      <c r="AF40" s="252"/>
      <c r="AG40" s="252"/>
      <c r="AH40" s="252"/>
      <c r="AI40" s="252"/>
      <c r="AJ40" s="252"/>
      <c r="AK40" s="252"/>
      <c r="AL40" s="252"/>
      <c r="AM40" s="252"/>
      <c r="AN40" s="252"/>
      <c r="AO40" s="252"/>
      <c r="AP40" s="252"/>
    </row>
    <row r="41" spans="1:44" ht="18" customHeight="1" collapsed="1" x14ac:dyDescent="0.15">
      <c r="A41" s="261" t="s">
        <v>433</v>
      </c>
      <c r="B41" s="682"/>
    </row>
    <row r="42" spans="1:44" ht="18" hidden="1" customHeight="1" outlineLevel="1" x14ac:dyDescent="0.15">
      <c r="A42" s="688"/>
      <c r="B42" s="252">
        <f>SUM(C42:AP42)</f>
        <v>0.998</v>
      </c>
      <c r="C42" s="253">
        <f>ROUND((C14-SUM(C32:C34))/($B$14-SUM($B$32:$B$34)),4)</f>
        <v>0</v>
      </c>
      <c r="D42" s="253">
        <f t="shared" ref="D42:AP42" si="27">ROUND((D14-SUM(D32:D34))/($B$14-SUM($B$32:$B$34)),4)</f>
        <v>0.63200000000000001</v>
      </c>
      <c r="E42" s="253">
        <f t="shared" si="27"/>
        <v>8.5999999999999993E-2</v>
      </c>
      <c r="F42" s="253">
        <f t="shared" si="27"/>
        <v>4.5999999999999999E-2</v>
      </c>
      <c r="G42" s="253">
        <f t="shared" si="27"/>
        <v>0.03</v>
      </c>
      <c r="H42" s="253">
        <f t="shared" si="27"/>
        <v>0.03</v>
      </c>
      <c r="I42" s="253">
        <f t="shared" si="27"/>
        <v>0.03</v>
      </c>
      <c r="J42" s="253">
        <f t="shared" si="27"/>
        <v>0.03</v>
      </c>
      <c r="K42" s="253">
        <f t="shared" si="27"/>
        <v>2.4E-2</v>
      </c>
      <c r="L42" s="253">
        <f t="shared" si="27"/>
        <v>2.4E-2</v>
      </c>
      <c r="M42" s="253">
        <f t="shared" si="27"/>
        <v>1.7999999999999999E-2</v>
      </c>
      <c r="N42" s="253">
        <f t="shared" si="27"/>
        <v>1.7999999999999999E-2</v>
      </c>
      <c r="O42" s="253">
        <f t="shared" si="27"/>
        <v>1.4999999999999999E-2</v>
      </c>
      <c r="P42" s="253">
        <f t="shared" si="27"/>
        <v>1.4999999999999999E-2</v>
      </c>
      <c r="Q42" s="253">
        <f t="shared" si="27"/>
        <v>0</v>
      </c>
      <c r="R42" s="253">
        <f t="shared" si="27"/>
        <v>0</v>
      </c>
      <c r="S42" s="253">
        <f t="shared" si="27"/>
        <v>0</v>
      </c>
      <c r="T42" s="253">
        <f t="shared" si="27"/>
        <v>0</v>
      </c>
      <c r="U42" s="253">
        <f t="shared" si="27"/>
        <v>0</v>
      </c>
      <c r="V42" s="253">
        <f t="shared" si="27"/>
        <v>0</v>
      </c>
      <c r="W42" s="253">
        <f t="shared" si="27"/>
        <v>0</v>
      </c>
      <c r="X42" s="253">
        <f t="shared" si="27"/>
        <v>0</v>
      </c>
      <c r="Y42" s="253">
        <f t="shared" si="27"/>
        <v>0</v>
      </c>
      <c r="Z42" s="253">
        <f t="shared" si="27"/>
        <v>0</v>
      </c>
      <c r="AA42" s="253">
        <f t="shared" si="27"/>
        <v>0</v>
      </c>
      <c r="AB42" s="253">
        <f t="shared" si="27"/>
        <v>0</v>
      </c>
      <c r="AC42" s="253">
        <f t="shared" si="27"/>
        <v>0</v>
      </c>
      <c r="AD42" s="253">
        <f t="shared" si="27"/>
        <v>0</v>
      </c>
      <c r="AE42" s="253">
        <f t="shared" si="27"/>
        <v>0</v>
      </c>
      <c r="AF42" s="253">
        <f t="shared" si="27"/>
        <v>0</v>
      </c>
      <c r="AG42" s="253">
        <f t="shared" si="27"/>
        <v>0</v>
      </c>
      <c r="AH42" s="253">
        <f t="shared" si="27"/>
        <v>0</v>
      </c>
      <c r="AI42" s="253">
        <f t="shared" si="27"/>
        <v>0</v>
      </c>
      <c r="AJ42" s="253">
        <f t="shared" si="27"/>
        <v>0</v>
      </c>
      <c r="AK42" s="253">
        <f t="shared" si="27"/>
        <v>0</v>
      </c>
      <c r="AL42" s="253">
        <f t="shared" si="27"/>
        <v>0</v>
      </c>
      <c r="AM42" s="253">
        <f t="shared" si="27"/>
        <v>0</v>
      </c>
      <c r="AN42" s="253">
        <f t="shared" si="27"/>
        <v>0</v>
      </c>
      <c r="AO42" s="253">
        <f t="shared" si="27"/>
        <v>0</v>
      </c>
      <c r="AP42" s="253">
        <f t="shared" si="27"/>
        <v>0</v>
      </c>
    </row>
    <row r="43" spans="1:44" ht="18" hidden="1" customHeight="1" outlineLevel="1" x14ac:dyDescent="0.15">
      <c r="A43" s="246" t="s">
        <v>434</v>
      </c>
      <c r="B43" s="252">
        <f>SUM(C43:AP43)</f>
        <v>0.99990000000000001</v>
      </c>
      <c r="C43" s="252">
        <f>ROUND(C14/$B$14,4)</f>
        <v>0</v>
      </c>
      <c r="D43" s="252">
        <f t="shared" ref="D43:AP43" si="28">ROUND(D14/$B$14,4)</f>
        <v>0.59709999999999996</v>
      </c>
      <c r="E43" s="252">
        <f t="shared" si="28"/>
        <v>9.2200000000000004E-2</v>
      </c>
      <c r="F43" s="252">
        <f>ROUND(F14/$B$14,4)</f>
        <v>5.7200000000000001E-2</v>
      </c>
      <c r="G43" s="252">
        <f t="shared" si="28"/>
        <v>3.9600000000000003E-2</v>
      </c>
      <c r="H43" s="252">
        <f t="shared" si="28"/>
        <v>3.6400000000000002E-2</v>
      </c>
      <c r="I43" s="252">
        <f t="shared" si="28"/>
        <v>3.3000000000000002E-2</v>
      </c>
      <c r="J43" s="252">
        <f t="shared" si="28"/>
        <v>3.1E-2</v>
      </c>
      <c r="K43" s="252">
        <f t="shared" si="28"/>
        <v>2.5000000000000001E-2</v>
      </c>
      <c r="L43" s="252">
        <f t="shared" si="28"/>
        <v>2.41E-2</v>
      </c>
      <c r="M43" s="252">
        <f t="shared" si="28"/>
        <v>1.7899999999999999E-2</v>
      </c>
      <c r="N43" s="252">
        <f t="shared" si="28"/>
        <v>1.78E-2</v>
      </c>
      <c r="O43" s="252">
        <f t="shared" si="28"/>
        <v>1.44E-2</v>
      </c>
      <c r="P43" s="252">
        <f t="shared" si="28"/>
        <v>1.4200000000000001E-2</v>
      </c>
      <c r="Q43" s="252">
        <f t="shared" si="28"/>
        <v>0</v>
      </c>
      <c r="R43" s="252">
        <f t="shared" si="28"/>
        <v>0</v>
      </c>
      <c r="S43" s="252">
        <f t="shared" si="28"/>
        <v>0</v>
      </c>
      <c r="T43" s="252">
        <f t="shared" si="28"/>
        <v>0</v>
      </c>
      <c r="U43" s="252">
        <f t="shared" si="28"/>
        <v>0</v>
      </c>
      <c r="V43" s="252">
        <f t="shared" si="28"/>
        <v>0</v>
      </c>
      <c r="W43" s="252">
        <f t="shared" si="28"/>
        <v>0</v>
      </c>
      <c r="X43" s="252">
        <f t="shared" si="28"/>
        <v>0</v>
      </c>
      <c r="Y43" s="252">
        <f t="shared" si="28"/>
        <v>0</v>
      </c>
      <c r="Z43" s="252">
        <f t="shared" si="28"/>
        <v>0</v>
      </c>
      <c r="AA43" s="252">
        <f t="shared" si="28"/>
        <v>0</v>
      </c>
      <c r="AB43" s="252">
        <f t="shared" si="28"/>
        <v>0</v>
      </c>
      <c r="AC43" s="252">
        <f t="shared" si="28"/>
        <v>0</v>
      </c>
      <c r="AD43" s="252">
        <f t="shared" si="28"/>
        <v>0</v>
      </c>
      <c r="AE43" s="252">
        <f t="shared" si="28"/>
        <v>0</v>
      </c>
      <c r="AF43" s="252">
        <f t="shared" si="28"/>
        <v>0</v>
      </c>
      <c r="AG43" s="252">
        <f t="shared" si="28"/>
        <v>0</v>
      </c>
      <c r="AH43" s="252">
        <f t="shared" si="28"/>
        <v>0</v>
      </c>
      <c r="AI43" s="252">
        <f t="shared" si="28"/>
        <v>0</v>
      </c>
      <c r="AJ43" s="252">
        <f t="shared" si="28"/>
        <v>0</v>
      </c>
      <c r="AK43" s="252">
        <f t="shared" si="28"/>
        <v>0</v>
      </c>
      <c r="AL43" s="252">
        <f t="shared" si="28"/>
        <v>0</v>
      </c>
      <c r="AM43" s="252">
        <f t="shared" si="28"/>
        <v>0</v>
      </c>
      <c r="AN43" s="252">
        <f t="shared" si="28"/>
        <v>0</v>
      </c>
      <c r="AO43" s="252">
        <f t="shared" si="28"/>
        <v>0</v>
      </c>
      <c r="AP43" s="252">
        <f t="shared" si="28"/>
        <v>0</v>
      </c>
    </row>
    <row r="44" spans="1:44" ht="18" customHeight="1" outlineLevel="1" collapsed="1" x14ac:dyDescent="0.15">
      <c r="A44" s="683" t="str">
        <f>A28</f>
        <v>建安工程费用</v>
      </c>
      <c r="B44" s="252">
        <f t="shared" ref="B44:B65" si="29">SUM(C44:AP44)</f>
        <v>1</v>
      </c>
      <c r="C44" s="721">
        <f>ROUND(SUMPRODUCT($B$88:$B$105*C45:C62)/$B$87,4)</f>
        <v>0</v>
      </c>
      <c r="D44" s="721">
        <f t="shared" ref="D44:AP44" si="30">ROUND(SUMPRODUCT($B$88:$B$105*D45:D62)/$B$87,4)</f>
        <v>0</v>
      </c>
      <c r="E44" s="721">
        <f t="shared" si="30"/>
        <v>0.1</v>
      </c>
      <c r="F44" s="721">
        <f t="shared" si="30"/>
        <v>0.12</v>
      </c>
      <c r="G44" s="721">
        <f t="shared" si="30"/>
        <v>0.1</v>
      </c>
      <c r="H44" s="721">
        <f t="shared" si="30"/>
        <v>0.1</v>
      </c>
      <c r="I44" s="721">
        <f t="shared" si="30"/>
        <v>0.1</v>
      </c>
      <c r="J44" s="721">
        <f t="shared" si="30"/>
        <v>0.1</v>
      </c>
      <c r="K44" s="721">
        <f t="shared" si="30"/>
        <v>0.08</v>
      </c>
      <c r="L44" s="721">
        <f t="shared" si="30"/>
        <v>0.08</v>
      </c>
      <c r="M44" s="721">
        <f t="shared" si="30"/>
        <v>0.06</v>
      </c>
      <c r="N44" s="721">
        <f t="shared" si="30"/>
        <v>0.06</v>
      </c>
      <c r="O44" s="721">
        <f t="shared" si="30"/>
        <v>0.05</v>
      </c>
      <c r="P44" s="721">
        <f t="shared" si="30"/>
        <v>0.05</v>
      </c>
      <c r="Q44" s="721">
        <f t="shared" si="30"/>
        <v>0</v>
      </c>
      <c r="R44" s="721">
        <f t="shared" si="30"/>
        <v>0</v>
      </c>
      <c r="S44" s="721">
        <f t="shared" si="30"/>
        <v>0</v>
      </c>
      <c r="T44" s="721">
        <f t="shared" si="30"/>
        <v>0</v>
      </c>
      <c r="U44" s="721">
        <f t="shared" si="30"/>
        <v>0</v>
      </c>
      <c r="V44" s="721">
        <f t="shared" si="30"/>
        <v>0</v>
      </c>
      <c r="W44" s="721">
        <f t="shared" si="30"/>
        <v>0</v>
      </c>
      <c r="X44" s="721">
        <f t="shared" si="30"/>
        <v>0</v>
      </c>
      <c r="Y44" s="721">
        <f t="shared" si="30"/>
        <v>0</v>
      </c>
      <c r="Z44" s="721">
        <f t="shared" si="30"/>
        <v>0</v>
      </c>
      <c r="AA44" s="721">
        <f t="shared" si="30"/>
        <v>0</v>
      </c>
      <c r="AB44" s="721">
        <f t="shared" si="30"/>
        <v>0</v>
      </c>
      <c r="AC44" s="721">
        <f t="shared" si="30"/>
        <v>0</v>
      </c>
      <c r="AD44" s="721">
        <f t="shared" si="30"/>
        <v>0</v>
      </c>
      <c r="AE44" s="721">
        <f t="shared" si="30"/>
        <v>0</v>
      </c>
      <c r="AF44" s="721">
        <f t="shared" si="30"/>
        <v>0</v>
      </c>
      <c r="AG44" s="721">
        <f t="shared" si="30"/>
        <v>0</v>
      </c>
      <c r="AH44" s="721">
        <f t="shared" si="30"/>
        <v>0</v>
      </c>
      <c r="AI44" s="721">
        <f t="shared" si="30"/>
        <v>0</v>
      </c>
      <c r="AJ44" s="721">
        <f t="shared" si="30"/>
        <v>0</v>
      </c>
      <c r="AK44" s="721">
        <f t="shared" si="30"/>
        <v>0</v>
      </c>
      <c r="AL44" s="721">
        <f t="shared" si="30"/>
        <v>0</v>
      </c>
      <c r="AM44" s="721">
        <f t="shared" si="30"/>
        <v>0</v>
      </c>
      <c r="AN44" s="721">
        <f t="shared" si="30"/>
        <v>0</v>
      </c>
      <c r="AO44" s="721">
        <f t="shared" si="30"/>
        <v>0</v>
      </c>
      <c r="AP44" s="721">
        <f t="shared" si="30"/>
        <v>0</v>
      </c>
    </row>
    <row r="45" spans="1:44" ht="18" hidden="1" customHeight="1" outlineLevel="2" x14ac:dyDescent="0.15">
      <c r="A45" s="683" t="str">
        <f>规划指标!F4</f>
        <v>小高层</v>
      </c>
      <c r="B45" s="252">
        <f t="shared" si="29"/>
        <v>1</v>
      </c>
      <c r="C45" s="721">
        <v>0</v>
      </c>
      <c r="D45" s="721">
        <v>0</v>
      </c>
      <c r="E45" s="721">
        <v>0.1</v>
      </c>
      <c r="F45" s="721">
        <v>0.12</v>
      </c>
      <c r="G45" s="721">
        <v>0.1</v>
      </c>
      <c r="H45" s="721">
        <v>0.1</v>
      </c>
      <c r="I45" s="721">
        <v>0.1</v>
      </c>
      <c r="J45" s="721">
        <v>0.1</v>
      </c>
      <c r="K45" s="721">
        <v>0.08</v>
      </c>
      <c r="L45" s="721">
        <v>0.08</v>
      </c>
      <c r="M45" s="721">
        <v>0.06</v>
      </c>
      <c r="N45" s="721">
        <v>0.06</v>
      </c>
      <c r="O45" s="721">
        <v>0.05</v>
      </c>
      <c r="P45" s="721">
        <v>0.05</v>
      </c>
      <c r="Q45" s="721">
        <v>0</v>
      </c>
      <c r="R45" s="721">
        <v>0</v>
      </c>
      <c r="S45" s="721">
        <v>0</v>
      </c>
      <c r="T45" s="721">
        <v>0</v>
      </c>
      <c r="U45" s="721">
        <v>0</v>
      </c>
      <c r="V45" s="721">
        <v>0</v>
      </c>
      <c r="W45" s="721">
        <v>0</v>
      </c>
      <c r="X45" s="721">
        <v>0</v>
      </c>
      <c r="Y45" s="721">
        <v>0</v>
      </c>
      <c r="Z45" s="721">
        <v>0</v>
      </c>
      <c r="AA45" s="721">
        <v>0</v>
      </c>
      <c r="AB45" s="721">
        <v>0</v>
      </c>
      <c r="AC45" s="721">
        <v>0</v>
      </c>
      <c r="AD45" s="721">
        <v>0</v>
      </c>
      <c r="AE45" s="721">
        <v>0</v>
      </c>
      <c r="AF45" s="721">
        <v>0</v>
      </c>
      <c r="AG45" s="721">
        <v>0</v>
      </c>
      <c r="AH45" s="721">
        <v>0</v>
      </c>
      <c r="AI45" s="721">
        <v>0</v>
      </c>
      <c r="AJ45" s="721">
        <v>0</v>
      </c>
      <c r="AK45" s="721">
        <v>0</v>
      </c>
      <c r="AL45" s="721">
        <v>0</v>
      </c>
      <c r="AM45" s="721">
        <v>0</v>
      </c>
      <c r="AN45" s="721">
        <v>0</v>
      </c>
      <c r="AO45" s="721">
        <v>0</v>
      </c>
      <c r="AP45" s="721">
        <v>0</v>
      </c>
    </row>
    <row r="46" spans="1:44" ht="18" hidden="1" customHeight="1" outlineLevel="2" x14ac:dyDescent="0.15">
      <c r="A46" s="683" t="str">
        <f>规划指标!F5</f>
        <v>洋房</v>
      </c>
      <c r="B46" s="252">
        <f t="shared" si="29"/>
        <v>1</v>
      </c>
      <c r="C46" s="721">
        <v>0</v>
      </c>
      <c r="D46" s="721">
        <v>0</v>
      </c>
      <c r="E46" s="721">
        <v>0.1</v>
      </c>
      <c r="F46" s="721">
        <v>0.12</v>
      </c>
      <c r="G46" s="721">
        <v>0.1</v>
      </c>
      <c r="H46" s="721">
        <v>0.1</v>
      </c>
      <c r="I46" s="721">
        <v>0.1</v>
      </c>
      <c r="J46" s="721">
        <v>0.1</v>
      </c>
      <c r="K46" s="721">
        <v>0.08</v>
      </c>
      <c r="L46" s="721">
        <v>0.08</v>
      </c>
      <c r="M46" s="721">
        <v>0.06</v>
      </c>
      <c r="N46" s="721">
        <v>0.06</v>
      </c>
      <c r="O46" s="721">
        <v>0.05</v>
      </c>
      <c r="P46" s="721">
        <v>0.05</v>
      </c>
      <c r="Q46" s="721">
        <v>0</v>
      </c>
      <c r="R46" s="721">
        <v>0</v>
      </c>
      <c r="S46" s="721">
        <v>0</v>
      </c>
      <c r="T46" s="721">
        <v>0</v>
      </c>
      <c r="U46" s="721">
        <v>0</v>
      </c>
      <c r="V46" s="721">
        <v>0</v>
      </c>
      <c r="W46" s="721">
        <v>0</v>
      </c>
      <c r="X46" s="721">
        <v>0</v>
      </c>
      <c r="Y46" s="721">
        <v>0</v>
      </c>
      <c r="Z46" s="721">
        <v>0</v>
      </c>
      <c r="AA46" s="721">
        <v>0</v>
      </c>
      <c r="AB46" s="721">
        <v>0</v>
      </c>
      <c r="AC46" s="721">
        <v>0</v>
      </c>
      <c r="AD46" s="721">
        <v>0</v>
      </c>
      <c r="AE46" s="721">
        <v>0</v>
      </c>
      <c r="AF46" s="721">
        <v>0</v>
      </c>
      <c r="AG46" s="721">
        <v>0</v>
      </c>
      <c r="AH46" s="721">
        <v>0</v>
      </c>
      <c r="AI46" s="721">
        <v>0</v>
      </c>
      <c r="AJ46" s="721">
        <v>0</v>
      </c>
      <c r="AK46" s="721">
        <v>0</v>
      </c>
      <c r="AL46" s="721">
        <v>0</v>
      </c>
      <c r="AM46" s="721">
        <v>0</v>
      </c>
      <c r="AN46" s="721">
        <v>0</v>
      </c>
      <c r="AO46" s="721">
        <v>0</v>
      </c>
      <c r="AP46" s="721">
        <v>0</v>
      </c>
    </row>
    <row r="47" spans="1:44" ht="18" hidden="1" customHeight="1" outlineLevel="2" x14ac:dyDescent="0.15">
      <c r="A47" s="683" t="str">
        <f>规划指标!F6</f>
        <v>商业</v>
      </c>
      <c r="B47" s="252">
        <f t="shared" si="29"/>
        <v>1</v>
      </c>
      <c r="C47" s="721">
        <v>0</v>
      </c>
      <c r="D47" s="721">
        <v>0</v>
      </c>
      <c r="E47" s="721">
        <v>0.1</v>
      </c>
      <c r="F47" s="721">
        <v>0.12</v>
      </c>
      <c r="G47" s="721">
        <v>0.1</v>
      </c>
      <c r="H47" s="721">
        <v>0.1</v>
      </c>
      <c r="I47" s="721">
        <v>0.1</v>
      </c>
      <c r="J47" s="721">
        <v>0.1</v>
      </c>
      <c r="K47" s="721">
        <v>0.08</v>
      </c>
      <c r="L47" s="721">
        <v>0.08</v>
      </c>
      <c r="M47" s="721">
        <v>0.06</v>
      </c>
      <c r="N47" s="721">
        <v>0.06</v>
      </c>
      <c r="O47" s="721">
        <v>0.05</v>
      </c>
      <c r="P47" s="721">
        <v>0.05</v>
      </c>
      <c r="Q47" s="721">
        <v>0</v>
      </c>
      <c r="R47" s="721">
        <v>0</v>
      </c>
      <c r="S47" s="721">
        <v>0</v>
      </c>
      <c r="T47" s="721">
        <v>0</v>
      </c>
      <c r="U47" s="721">
        <v>0</v>
      </c>
      <c r="V47" s="721">
        <v>0</v>
      </c>
      <c r="W47" s="721">
        <v>0</v>
      </c>
      <c r="X47" s="721">
        <v>0</v>
      </c>
      <c r="Y47" s="721">
        <v>0</v>
      </c>
      <c r="Z47" s="721">
        <v>0</v>
      </c>
      <c r="AA47" s="721">
        <v>0</v>
      </c>
      <c r="AB47" s="721">
        <v>0</v>
      </c>
      <c r="AC47" s="721">
        <v>0</v>
      </c>
      <c r="AD47" s="721">
        <v>0</v>
      </c>
      <c r="AE47" s="721">
        <v>0</v>
      </c>
      <c r="AF47" s="721">
        <v>0</v>
      </c>
      <c r="AG47" s="721">
        <v>0</v>
      </c>
      <c r="AH47" s="721">
        <v>0</v>
      </c>
      <c r="AI47" s="721">
        <v>0</v>
      </c>
      <c r="AJ47" s="721">
        <v>0</v>
      </c>
      <c r="AK47" s="721">
        <v>0</v>
      </c>
      <c r="AL47" s="721">
        <v>0</v>
      </c>
      <c r="AM47" s="721">
        <v>0</v>
      </c>
      <c r="AN47" s="721">
        <v>0</v>
      </c>
      <c r="AO47" s="721">
        <v>0</v>
      </c>
      <c r="AP47" s="721">
        <v>0</v>
      </c>
    </row>
    <row r="48" spans="1:44" ht="18" hidden="1" customHeight="1" outlineLevel="2" x14ac:dyDescent="0.15">
      <c r="A48" s="683" t="str">
        <f>规划指标!F7</f>
        <v>居服配套</v>
      </c>
      <c r="B48" s="252">
        <f t="shared" si="29"/>
        <v>1</v>
      </c>
      <c r="C48" s="721">
        <v>0</v>
      </c>
      <c r="D48" s="721">
        <v>0</v>
      </c>
      <c r="E48" s="721">
        <v>0.1</v>
      </c>
      <c r="F48" s="721">
        <v>0.12</v>
      </c>
      <c r="G48" s="721">
        <v>0.1</v>
      </c>
      <c r="H48" s="721">
        <v>0.1</v>
      </c>
      <c r="I48" s="721">
        <v>0.1</v>
      </c>
      <c r="J48" s="721">
        <v>0.1</v>
      </c>
      <c r="K48" s="721">
        <v>0.08</v>
      </c>
      <c r="L48" s="721">
        <v>0.08</v>
      </c>
      <c r="M48" s="721">
        <v>0.06</v>
      </c>
      <c r="N48" s="721">
        <v>0.06</v>
      </c>
      <c r="O48" s="721">
        <v>0.05</v>
      </c>
      <c r="P48" s="721">
        <v>0.05</v>
      </c>
      <c r="Q48" s="721">
        <v>0</v>
      </c>
      <c r="R48" s="721">
        <v>0</v>
      </c>
      <c r="S48" s="721">
        <v>0</v>
      </c>
      <c r="T48" s="721">
        <v>0</v>
      </c>
      <c r="U48" s="721">
        <v>0</v>
      </c>
      <c r="V48" s="721">
        <v>0</v>
      </c>
      <c r="W48" s="721">
        <v>0</v>
      </c>
      <c r="X48" s="721">
        <v>0</v>
      </c>
      <c r="Y48" s="721">
        <v>0</v>
      </c>
      <c r="Z48" s="721">
        <v>0</v>
      </c>
      <c r="AA48" s="721">
        <v>0</v>
      </c>
      <c r="AB48" s="721">
        <v>0</v>
      </c>
      <c r="AC48" s="721">
        <v>0</v>
      </c>
      <c r="AD48" s="721">
        <v>0</v>
      </c>
      <c r="AE48" s="721">
        <v>0</v>
      </c>
      <c r="AF48" s="721">
        <v>0</v>
      </c>
      <c r="AG48" s="721">
        <v>0</v>
      </c>
      <c r="AH48" s="721">
        <v>0</v>
      </c>
      <c r="AI48" s="721">
        <v>0</v>
      </c>
      <c r="AJ48" s="721">
        <v>0</v>
      </c>
      <c r="AK48" s="721">
        <v>0</v>
      </c>
      <c r="AL48" s="721">
        <v>0</v>
      </c>
      <c r="AM48" s="721">
        <v>0</v>
      </c>
      <c r="AN48" s="721">
        <v>0</v>
      </c>
      <c r="AO48" s="721">
        <v>0</v>
      </c>
      <c r="AP48" s="721">
        <v>0</v>
      </c>
    </row>
    <row r="49" spans="1:42" ht="18" hidden="1" customHeight="1" outlineLevel="2" x14ac:dyDescent="0.15">
      <c r="A49" s="683">
        <f>规划指标!F8</f>
        <v>0</v>
      </c>
      <c r="B49" s="252">
        <f t="shared" si="29"/>
        <v>1</v>
      </c>
      <c r="C49" s="721">
        <v>0</v>
      </c>
      <c r="D49" s="721">
        <v>0</v>
      </c>
      <c r="E49" s="721">
        <v>0.1</v>
      </c>
      <c r="F49" s="721">
        <v>0.12</v>
      </c>
      <c r="G49" s="721">
        <v>0.1</v>
      </c>
      <c r="H49" s="721">
        <v>0.1</v>
      </c>
      <c r="I49" s="721">
        <v>0.1</v>
      </c>
      <c r="J49" s="721">
        <v>0.1</v>
      </c>
      <c r="K49" s="721">
        <v>0.08</v>
      </c>
      <c r="L49" s="721">
        <v>0.08</v>
      </c>
      <c r="M49" s="721">
        <v>0.06</v>
      </c>
      <c r="N49" s="721">
        <v>0.06</v>
      </c>
      <c r="O49" s="721">
        <v>0.05</v>
      </c>
      <c r="P49" s="721">
        <v>0.05</v>
      </c>
      <c r="Q49" s="721">
        <v>0</v>
      </c>
      <c r="R49" s="721">
        <v>0</v>
      </c>
      <c r="S49" s="721">
        <v>0</v>
      </c>
      <c r="T49" s="721">
        <v>0</v>
      </c>
      <c r="U49" s="721">
        <v>0</v>
      </c>
      <c r="V49" s="721">
        <v>0</v>
      </c>
      <c r="W49" s="721">
        <v>0</v>
      </c>
      <c r="X49" s="721">
        <v>0</v>
      </c>
      <c r="Y49" s="721">
        <v>0</v>
      </c>
      <c r="Z49" s="721">
        <v>0</v>
      </c>
      <c r="AA49" s="721">
        <v>0</v>
      </c>
      <c r="AB49" s="721">
        <v>0</v>
      </c>
      <c r="AC49" s="721">
        <v>0</v>
      </c>
      <c r="AD49" s="721">
        <v>0</v>
      </c>
      <c r="AE49" s="721">
        <v>0</v>
      </c>
      <c r="AF49" s="721">
        <v>0</v>
      </c>
      <c r="AG49" s="721">
        <v>0</v>
      </c>
      <c r="AH49" s="721">
        <v>0</v>
      </c>
      <c r="AI49" s="721">
        <v>0</v>
      </c>
      <c r="AJ49" s="721">
        <v>0</v>
      </c>
      <c r="AK49" s="721">
        <v>0</v>
      </c>
      <c r="AL49" s="721">
        <v>0</v>
      </c>
      <c r="AM49" s="721">
        <v>0</v>
      </c>
      <c r="AN49" s="721">
        <v>0</v>
      </c>
      <c r="AO49" s="721">
        <v>0</v>
      </c>
      <c r="AP49" s="721">
        <v>0</v>
      </c>
    </row>
    <row r="50" spans="1:42" ht="18" hidden="1" customHeight="1" outlineLevel="2" x14ac:dyDescent="0.15">
      <c r="A50" s="683">
        <f>规划指标!F9</f>
        <v>0</v>
      </c>
      <c r="B50" s="252">
        <f t="shared" si="29"/>
        <v>1</v>
      </c>
      <c r="C50" s="721">
        <v>0</v>
      </c>
      <c r="D50" s="721">
        <v>0</v>
      </c>
      <c r="E50" s="721">
        <v>0.1</v>
      </c>
      <c r="F50" s="721">
        <v>0.12</v>
      </c>
      <c r="G50" s="721">
        <v>0.1</v>
      </c>
      <c r="H50" s="721">
        <v>0.1</v>
      </c>
      <c r="I50" s="721">
        <v>0.1</v>
      </c>
      <c r="J50" s="721">
        <v>0.1</v>
      </c>
      <c r="K50" s="721">
        <v>0.08</v>
      </c>
      <c r="L50" s="721">
        <v>0.08</v>
      </c>
      <c r="M50" s="721">
        <v>0.06</v>
      </c>
      <c r="N50" s="721">
        <v>0.06</v>
      </c>
      <c r="O50" s="721">
        <v>0.05</v>
      </c>
      <c r="P50" s="721">
        <v>0.05</v>
      </c>
      <c r="Q50" s="721">
        <v>0</v>
      </c>
      <c r="R50" s="721">
        <v>0</v>
      </c>
      <c r="S50" s="721">
        <v>0</v>
      </c>
      <c r="T50" s="721">
        <v>0</v>
      </c>
      <c r="U50" s="721">
        <v>0</v>
      </c>
      <c r="V50" s="721">
        <v>0</v>
      </c>
      <c r="W50" s="721">
        <v>0</v>
      </c>
      <c r="X50" s="721">
        <v>0</v>
      </c>
      <c r="Y50" s="721">
        <v>0</v>
      </c>
      <c r="Z50" s="721">
        <v>0</v>
      </c>
      <c r="AA50" s="721">
        <v>0</v>
      </c>
      <c r="AB50" s="721">
        <v>0</v>
      </c>
      <c r="AC50" s="721">
        <v>0</v>
      </c>
      <c r="AD50" s="721">
        <v>0</v>
      </c>
      <c r="AE50" s="721">
        <v>0</v>
      </c>
      <c r="AF50" s="721">
        <v>0</v>
      </c>
      <c r="AG50" s="721">
        <v>0</v>
      </c>
      <c r="AH50" s="721">
        <v>0</v>
      </c>
      <c r="AI50" s="721">
        <v>0</v>
      </c>
      <c r="AJ50" s="721">
        <v>0</v>
      </c>
      <c r="AK50" s="721">
        <v>0</v>
      </c>
      <c r="AL50" s="721">
        <v>0</v>
      </c>
      <c r="AM50" s="721">
        <v>0</v>
      </c>
      <c r="AN50" s="721">
        <v>0</v>
      </c>
      <c r="AO50" s="721">
        <v>0</v>
      </c>
      <c r="AP50" s="721">
        <v>0</v>
      </c>
    </row>
    <row r="51" spans="1:42" ht="18" hidden="1" customHeight="1" outlineLevel="2" x14ac:dyDescent="0.15">
      <c r="A51" s="683">
        <f>规划指标!F10</f>
        <v>0</v>
      </c>
      <c r="B51" s="252">
        <f t="shared" si="29"/>
        <v>1</v>
      </c>
      <c r="C51" s="721">
        <v>0</v>
      </c>
      <c r="D51" s="721">
        <v>0</v>
      </c>
      <c r="E51" s="721">
        <v>0.1</v>
      </c>
      <c r="F51" s="721">
        <v>0.12</v>
      </c>
      <c r="G51" s="721">
        <v>0.1</v>
      </c>
      <c r="H51" s="721">
        <v>0.1</v>
      </c>
      <c r="I51" s="721">
        <v>0.1</v>
      </c>
      <c r="J51" s="721">
        <v>0.1</v>
      </c>
      <c r="K51" s="721">
        <v>0.08</v>
      </c>
      <c r="L51" s="721">
        <v>0.08</v>
      </c>
      <c r="M51" s="721">
        <v>0.06</v>
      </c>
      <c r="N51" s="721">
        <v>0.06</v>
      </c>
      <c r="O51" s="721">
        <v>0.05</v>
      </c>
      <c r="P51" s="721">
        <v>0.05</v>
      </c>
      <c r="Q51" s="721">
        <v>0</v>
      </c>
      <c r="R51" s="721">
        <v>0</v>
      </c>
      <c r="S51" s="721">
        <v>0</v>
      </c>
      <c r="T51" s="721">
        <v>0</v>
      </c>
      <c r="U51" s="721">
        <v>0</v>
      </c>
      <c r="V51" s="721">
        <v>0</v>
      </c>
      <c r="W51" s="721">
        <v>0</v>
      </c>
      <c r="X51" s="721">
        <v>0</v>
      </c>
      <c r="Y51" s="721">
        <v>0</v>
      </c>
      <c r="Z51" s="721">
        <v>0</v>
      </c>
      <c r="AA51" s="721">
        <v>0</v>
      </c>
      <c r="AB51" s="721">
        <v>0</v>
      </c>
      <c r="AC51" s="721">
        <v>0</v>
      </c>
      <c r="AD51" s="721">
        <v>0</v>
      </c>
      <c r="AE51" s="721">
        <v>0</v>
      </c>
      <c r="AF51" s="721">
        <v>0</v>
      </c>
      <c r="AG51" s="721">
        <v>0</v>
      </c>
      <c r="AH51" s="721">
        <v>0</v>
      </c>
      <c r="AI51" s="721">
        <v>0</v>
      </c>
      <c r="AJ51" s="721">
        <v>0</v>
      </c>
      <c r="AK51" s="721">
        <v>0</v>
      </c>
      <c r="AL51" s="721">
        <v>0</v>
      </c>
      <c r="AM51" s="721">
        <v>0</v>
      </c>
      <c r="AN51" s="721">
        <v>0</v>
      </c>
      <c r="AO51" s="721">
        <v>0</v>
      </c>
      <c r="AP51" s="721">
        <v>0</v>
      </c>
    </row>
    <row r="52" spans="1:42" ht="18" hidden="1" customHeight="1" outlineLevel="2" x14ac:dyDescent="0.15">
      <c r="A52" s="683">
        <f>规划指标!F11</f>
        <v>0</v>
      </c>
      <c r="B52" s="252">
        <f t="shared" si="29"/>
        <v>1</v>
      </c>
      <c r="C52" s="721">
        <v>0</v>
      </c>
      <c r="D52" s="721">
        <v>0</v>
      </c>
      <c r="E52" s="721">
        <v>0.1</v>
      </c>
      <c r="F52" s="721">
        <v>0.12</v>
      </c>
      <c r="G52" s="721">
        <v>0.1</v>
      </c>
      <c r="H52" s="721">
        <v>0.1</v>
      </c>
      <c r="I52" s="721">
        <v>0.1</v>
      </c>
      <c r="J52" s="721">
        <v>0.1</v>
      </c>
      <c r="K52" s="721">
        <v>0.08</v>
      </c>
      <c r="L52" s="721">
        <v>0.08</v>
      </c>
      <c r="M52" s="721">
        <v>0.06</v>
      </c>
      <c r="N52" s="721">
        <v>0.06</v>
      </c>
      <c r="O52" s="721">
        <v>0.05</v>
      </c>
      <c r="P52" s="721">
        <v>0.05</v>
      </c>
      <c r="Q52" s="721">
        <v>0</v>
      </c>
      <c r="R52" s="721">
        <v>0</v>
      </c>
      <c r="S52" s="721">
        <v>0</v>
      </c>
      <c r="T52" s="721">
        <v>0</v>
      </c>
      <c r="U52" s="721">
        <v>0</v>
      </c>
      <c r="V52" s="721">
        <v>0</v>
      </c>
      <c r="W52" s="721">
        <v>0</v>
      </c>
      <c r="X52" s="721">
        <v>0</v>
      </c>
      <c r="Y52" s="721">
        <v>0</v>
      </c>
      <c r="Z52" s="721">
        <v>0</v>
      </c>
      <c r="AA52" s="721">
        <v>0</v>
      </c>
      <c r="AB52" s="721">
        <v>0</v>
      </c>
      <c r="AC52" s="721">
        <v>0</v>
      </c>
      <c r="AD52" s="721">
        <v>0</v>
      </c>
      <c r="AE52" s="721">
        <v>0</v>
      </c>
      <c r="AF52" s="721">
        <v>0</v>
      </c>
      <c r="AG52" s="721">
        <v>0</v>
      </c>
      <c r="AH52" s="721">
        <v>0</v>
      </c>
      <c r="AI52" s="721">
        <v>0</v>
      </c>
      <c r="AJ52" s="721">
        <v>0</v>
      </c>
      <c r="AK52" s="721">
        <v>0</v>
      </c>
      <c r="AL52" s="721">
        <v>0</v>
      </c>
      <c r="AM52" s="721">
        <v>0</v>
      </c>
      <c r="AN52" s="721">
        <v>0</v>
      </c>
      <c r="AO52" s="721">
        <v>0</v>
      </c>
      <c r="AP52" s="721">
        <v>0</v>
      </c>
    </row>
    <row r="53" spans="1:42" ht="18" hidden="1" customHeight="1" outlineLevel="2" x14ac:dyDescent="0.15">
      <c r="A53" s="683">
        <f>规划指标!F12</f>
        <v>0</v>
      </c>
      <c r="B53" s="252">
        <f t="shared" si="29"/>
        <v>1</v>
      </c>
      <c r="C53" s="721">
        <v>0</v>
      </c>
      <c r="D53" s="721">
        <v>0</v>
      </c>
      <c r="E53" s="721">
        <v>0.1</v>
      </c>
      <c r="F53" s="721">
        <v>0.12</v>
      </c>
      <c r="G53" s="721">
        <v>0.1</v>
      </c>
      <c r="H53" s="721">
        <v>0.1</v>
      </c>
      <c r="I53" s="721">
        <v>0.1</v>
      </c>
      <c r="J53" s="721">
        <v>0.1</v>
      </c>
      <c r="K53" s="721">
        <v>0.08</v>
      </c>
      <c r="L53" s="721">
        <v>0.08</v>
      </c>
      <c r="M53" s="721">
        <v>0.06</v>
      </c>
      <c r="N53" s="721">
        <v>0.06</v>
      </c>
      <c r="O53" s="721">
        <v>0.05</v>
      </c>
      <c r="P53" s="721">
        <v>0.05</v>
      </c>
      <c r="Q53" s="721">
        <v>0</v>
      </c>
      <c r="R53" s="721">
        <v>0</v>
      </c>
      <c r="S53" s="721">
        <v>0</v>
      </c>
      <c r="T53" s="721">
        <v>0</v>
      </c>
      <c r="U53" s="721">
        <v>0</v>
      </c>
      <c r="V53" s="721">
        <v>0</v>
      </c>
      <c r="W53" s="721">
        <v>0</v>
      </c>
      <c r="X53" s="721">
        <v>0</v>
      </c>
      <c r="Y53" s="721">
        <v>0</v>
      </c>
      <c r="Z53" s="721">
        <v>0</v>
      </c>
      <c r="AA53" s="721">
        <v>0</v>
      </c>
      <c r="AB53" s="721">
        <v>0</v>
      </c>
      <c r="AC53" s="721">
        <v>0</v>
      </c>
      <c r="AD53" s="721">
        <v>0</v>
      </c>
      <c r="AE53" s="721">
        <v>0</v>
      </c>
      <c r="AF53" s="721">
        <v>0</v>
      </c>
      <c r="AG53" s="721">
        <v>0</v>
      </c>
      <c r="AH53" s="721">
        <v>0</v>
      </c>
      <c r="AI53" s="721">
        <v>0</v>
      </c>
      <c r="AJ53" s="721">
        <v>0</v>
      </c>
      <c r="AK53" s="721">
        <v>0</v>
      </c>
      <c r="AL53" s="721">
        <v>0</v>
      </c>
      <c r="AM53" s="721">
        <v>0</v>
      </c>
      <c r="AN53" s="721">
        <v>0</v>
      </c>
      <c r="AO53" s="721">
        <v>0</v>
      </c>
      <c r="AP53" s="721">
        <v>0</v>
      </c>
    </row>
    <row r="54" spans="1:42" ht="18" hidden="1" customHeight="1" outlineLevel="2" x14ac:dyDescent="0.15">
      <c r="A54" s="683">
        <f>规划指标!F13</f>
        <v>0</v>
      </c>
      <c r="B54" s="252">
        <f t="shared" si="29"/>
        <v>1</v>
      </c>
      <c r="C54" s="721">
        <v>0</v>
      </c>
      <c r="D54" s="721">
        <v>0</v>
      </c>
      <c r="E54" s="721">
        <v>0.1</v>
      </c>
      <c r="F54" s="721">
        <v>0.12</v>
      </c>
      <c r="G54" s="721">
        <v>0.1</v>
      </c>
      <c r="H54" s="721">
        <v>0.1</v>
      </c>
      <c r="I54" s="721">
        <v>0.1</v>
      </c>
      <c r="J54" s="721">
        <v>0.1</v>
      </c>
      <c r="K54" s="721">
        <v>0.08</v>
      </c>
      <c r="L54" s="721">
        <v>0.08</v>
      </c>
      <c r="M54" s="721">
        <v>0.06</v>
      </c>
      <c r="N54" s="721">
        <v>0.06</v>
      </c>
      <c r="O54" s="721">
        <v>0.05</v>
      </c>
      <c r="P54" s="721">
        <v>0.05</v>
      </c>
      <c r="Q54" s="721">
        <v>0</v>
      </c>
      <c r="R54" s="721">
        <v>0</v>
      </c>
      <c r="S54" s="721">
        <v>0</v>
      </c>
      <c r="T54" s="721">
        <v>0</v>
      </c>
      <c r="U54" s="721">
        <v>0</v>
      </c>
      <c r="V54" s="721">
        <v>0</v>
      </c>
      <c r="W54" s="721">
        <v>0</v>
      </c>
      <c r="X54" s="721">
        <v>0</v>
      </c>
      <c r="Y54" s="721">
        <v>0</v>
      </c>
      <c r="Z54" s="721">
        <v>0</v>
      </c>
      <c r="AA54" s="721">
        <v>0</v>
      </c>
      <c r="AB54" s="721">
        <v>0</v>
      </c>
      <c r="AC54" s="721">
        <v>0</v>
      </c>
      <c r="AD54" s="721">
        <v>0</v>
      </c>
      <c r="AE54" s="721">
        <v>0</v>
      </c>
      <c r="AF54" s="721">
        <v>0</v>
      </c>
      <c r="AG54" s="721">
        <v>0</v>
      </c>
      <c r="AH54" s="721">
        <v>0</v>
      </c>
      <c r="AI54" s="721">
        <v>0</v>
      </c>
      <c r="AJ54" s="721">
        <v>0</v>
      </c>
      <c r="AK54" s="721">
        <v>0</v>
      </c>
      <c r="AL54" s="721">
        <v>0</v>
      </c>
      <c r="AM54" s="721">
        <v>0</v>
      </c>
      <c r="AN54" s="721">
        <v>0</v>
      </c>
      <c r="AO54" s="721">
        <v>0</v>
      </c>
      <c r="AP54" s="721">
        <v>0</v>
      </c>
    </row>
    <row r="55" spans="1:42" ht="18" hidden="1" customHeight="1" outlineLevel="2" x14ac:dyDescent="0.15">
      <c r="A55" s="683">
        <f>规划指标!F14</f>
        <v>0</v>
      </c>
      <c r="B55" s="252">
        <f t="shared" si="29"/>
        <v>1</v>
      </c>
      <c r="C55" s="721">
        <v>0</v>
      </c>
      <c r="D55" s="721">
        <v>0</v>
      </c>
      <c r="E55" s="721">
        <v>0.1</v>
      </c>
      <c r="F55" s="721">
        <v>0.12</v>
      </c>
      <c r="G55" s="721">
        <v>0.1</v>
      </c>
      <c r="H55" s="721">
        <v>0.1</v>
      </c>
      <c r="I55" s="721">
        <v>0.1</v>
      </c>
      <c r="J55" s="721">
        <v>0.1</v>
      </c>
      <c r="K55" s="721">
        <v>0.08</v>
      </c>
      <c r="L55" s="721">
        <v>0.08</v>
      </c>
      <c r="M55" s="721">
        <v>0.06</v>
      </c>
      <c r="N55" s="721">
        <v>0.06</v>
      </c>
      <c r="O55" s="721">
        <v>0.05</v>
      </c>
      <c r="P55" s="721">
        <v>0.05</v>
      </c>
      <c r="Q55" s="721">
        <v>0</v>
      </c>
      <c r="R55" s="721">
        <v>0</v>
      </c>
      <c r="S55" s="721">
        <v>0</v>
      </c>
      <c r="T55" s="721">
        <v>0</v>
      </c>
      <c r="U55" s="721">
        <v>0</v>
      </c>
      <c r="V55" s="721">
        <v>0</v>
      </c>
      <c r="W55" s="721">
        <v>0</v>
      </c>
      <c r="X55" s="721">
        <v>0</v>
      </c>
      <c r="Y55" s="721">
        <v>0</v>
      </c>
      <c r="Z55" s="721">
        <v>0</v>
      </c>
      <c r="AA55" s="721">
        <v>0</v>
      </c>
      <c r="AB55" s="721">
        <v>0</v>
      </c>
      <c r="AC55" s="721">
        <v>0</v>
      </c>
      <c r="AD55" s="721">
        <v>0</v>
      </c>
      <c r="AE55" s="721">
        <v>0</v>
      </c>
      <c r="AF55" s="721">
        <v>0</v>
      </c>
      <c r="AG55" s="721">
        <v>0</v>
      </c>
      <c r="AH55" s="721">
        <v>0</v>
      </c>
      <c r="AI55" s="721">
        <v>0</v>
      </c>
      <c r="AJ55" s="721">
        <v>0</v>
      </c>
      <c r="AK55" s="721">
        <v>0</v>
      </c>
      <c r="AL55" s="721">
        <v>0</v>
      </c>
      <c r="AM55" s="721">
        <v>0</v>
      </c>
      <c r="AN55" s="721">
        <v>0</v>
      </c>
      <c r="AO55" s="721">
        <v>0</v>
      </c>
      <c r="AP55" s="721">
        <v>0</v>
      </c>
    </row>
    <row r="56" spans="1:42" ht="18" hidden="1" customHeight="1" outlineLevel="2" x14ac:dyDescent="0.15">
      <c r="A56" s="683">
        <f>规划指标!F15</f>
        <v>0</v>
      </c>
      <c r="B56" s="252">
        <f t="shared" si="29"/>
        <v>1</v>
      </c>
      <c r="C56" s="721">
        <v>0</v>
      </c>
      <c r="D56" s="721">
        <v>0</v>
      </c>
      <c r="E56" s="721">
        <v>0.1</v>
      </c>
      <c r="F56" s="721">
        <v>0.12</v>
      </c>
      <c r="G56" s="721">
        <v>0.1</v>
      </c>
      <c r="H56" s="721">
        <v>0.1</v>
      </c>
      <c r="I56" s="721">
        <v>0.1</v>
      </c>
      <c r="J56" s="721">
        <v>0.1</v>
      </c>
      <c r="K56" s="721">
        <v>0.08</v>
      </c>
      <c r="L56" s="721">
        <v>0.08</v>
      </c>
      <c r="M56" s="721">
        <v>0.06</v>
      </c>
      <c r="N56" s="721">
        <v>0.06</v>
      </c>
      <c r="O56" s="721">
        <v>0.05</v>
      </c>
      <c r="P56" s="721">
        <v>0.05</v>
      </c>
      <c r="Q56" s="721">
        <v>0</v>
      </c>
      <c r="R56" s="721">
        <v>0</v>
      </c>
      <c r="S56" s="721">
        <v>0</v>
      </c>
      <c r="T56" s="721">
        <v>0</v>
      </c>
      <c r="U56" s="721">
        <v>0</v>
      </c>
      <c r="V56" s="721">
        <v>0</v>
      </c>
      <c r="W56" s="721">
        <v>0</v>
      </c>
      <c r="X56" s="721">
        <v>0</v>
      </c>
      <c r="Y56" s="721">
        <v>0</v>
      </c>
      <c r="Z56" s="721">
        <v>0</v>
      </c>
      <c r="AA56" s="721">
        <v>0</v>
      </c>
      <c r="AB56" s="721">
        <v>0</v>
      </c>
      <c r="AC56" s="721">
        <v>0</v>
      </c>
      <c r="AD56" s="721">
        <v>0</v>
      </c>
      <c r="AE56" s="721">
        <v>0</v>
      </c>
      <c r="AF56" s="721">
        <v>0</v>
      </c>
      <c r="AG56" s="721">
        <v>0</v>
      </c>
      <c r="AH56" s="721">
        <v>0</v>
      </c>
      <c r="AI56" s="721">
        <v>0</v>
      </c>
      <c r="AJ56" s="721">
        <v>0</v>
      </c>
      <c r="AK56" s="721">
        <v>0</v>
      </c>
      <c r="AL56" s="721">
        <v>0</v>
      </c>
      <c r="AM56" s="721">
        <v>0</v>
      </c>
      <c r="AN56" s="721">
        <v>0</v>
      </c>
      <c r="AO56" s="721">
        <v>0</v>
      </c>
      <c r="AP56" s="721">
        <v>0</v>
      </c>
    </row>
    <row r="57" spans="1:42" ht="18" hidden="1" customHeight="1" outlineLevel="2" x14ac:dyDescent="0.15">
      <c r="A57" s="683">
        <f>规划指标!F16</f>
        <v>0</v>
      </c>
      <c r="B57" s="252">
        <f t="shared" si="29"/>
        <v>1</v>
      </c>
      <c r="C57" s="721">
        <v>0</v>
      </c>
      <c r="D57" s="721">
        <v>0</v>
      </c>
      <c r="E57" s="721">
        <v>0.1</v>
      </c>
      <c r="F57" s="721">
        <v>0.12</v>
      </c>
      <c r="G57" s="721">
        <v>0.1</v>
      </c>
      <c r="H57" s="721">
        <v>0.1</v>
      </c>
      <c r="I57" s="721">
        <v>0.1</v>
      </c>
      <c r="J57" s="721">
        <v>0.1</v>
      </c>
      <c r="K57" s="721">
        <v>0.08</v>
      </c>
      <c r="L57" s="721">
        <v>0.08</v>
      </c>
      <c r="M57" s="721">
        <v>0.06</v>
      </c>
      <c r="N57" s="721">
        <v>0.06</v>
      </c>
      <c r="O57" s="721">
        <v>0.05</v>
      </c>
      <c r="P57" s="721">
        <v>0.05</v>
      </c>
      <c r="Q57" s="721">
        <v>0</v>
      </c>
      <c r="R57" s="721">
        <v>0</v>
      </c>
      <c r="S57" s="721">
        <v>0</v>
      </c>
      <c r="T57" s="721">
        <v>0</v>
      </c>
      <c r="U57" s="721">
        <v>0</v>
      </c>
      <c r="V57" s="721">
        <v>0</v>
      </c>
      <c r="W57" s="721">
        <v>0</v>
      </c>
      <c r="X57" s="721">
        <v>0</v>
      </c>
      <c r="Y57" s="721">
        <v>0</v>
      </c>
      <c r="Z57" s="721">
        <v>0</v>
      </c>
      <c r="AA57" s="721">
        <v>0</v>
      </c>
      <c r="AB57" s="721">
        <v>0</v>
      </c>
      <c r="AC57" s="721">
        <v>0</v>
      </c>
      <c r="AD57" s="721">
        <v>0</v>
      </c>
      <c r="AE57" s="721">
        <v>0</v>
      </c>
      <c r="AF57" s="721">
        <v>0</v>
      </c>
      <c r="AG57" s="721">
        <v>0</v>
      </c>
      <c r="AH57" s="721">
        <v>0</v>
      </c>
      <c r="AI57" s="721">
        <v>0</v>
      </c>
      <c r="AJ57" s="721">
        <v>0</v>
      </c>
      <c r="AK57" s="721">
        <v>0</v>
      </c>
      <c r="AL57" s="721">
        <v>0</v>
      </c>
      <c r="AM57" s="721">
        <v>0</v>
      </c>
      <c r="AN57" s="721">
        <v>0</v>
      </c>
      <c r="AO57" s="721">
        <v>0</v>
      </c>
      <c r="AP57" s="721">
        <v>0</v>
      </c>
    </row>
    <row r="58" spans="1:42" ht="18" hidden="1" customHeight="1" outlineLevel="2" x14ac:dyDescent="0.15">
      <c r="A58" s="683">
        <f>规划指标!F17</f>
        <v>0</v>
      </c>
      <c r="B58" s="252">
        <f t="shared" si="29"/>
        <v>1</v>
      </c>
      <c r="C58" s="721">
        <v>0</v>
      </c>
      <c r="D58" s="721">
        <v>0</v>
      </c>
      <c r="E58" s="721">
        <v>0.1</v>
      </c>
      <c r="F58" s="721">
        <v>0.12</v>
      </c>
      <c r="G58" s="721">
        <v>0.1</v>
      </c>
      <c r="H58" s="721">
        <v>0.1</v>
      </c>
      <c r="I58" s="721">
        <v>0.1</v>
      </c>
      <c r="J58" s="721">
        <v>0.1</v>
      </c>
      <c r="K58" s="721">
        <v>0.08</v>
      </c>
      <c r="L58" s="721">
        <v>0.08</v>
      </c>
      <c r="M58" s="721">
        <v>0.06</v>
      </c>
      <c r="N58" s="721">
        <v>0.06</v>
      </c>
      <c r="O58" s="721">
        <v>0.05</v>
      </c>
      <c r="P58" s="721">
        <v>0.05</v>
      </c>
      <c r="Q58" s="721">
        <v>0</v>
      </c>
      <c r="R58" s="721">
        <v>0</v>
      </c>
      <c r="S58" s="721">
        <v>0</v>
      </c>
      <c r="T58" s="721">
        <v>0</v>
      </c>
      <c r="U58" s="721">
        <v>0</v>
      </c>
      <c r="V58" s="721">
        <v>0</v>
      </c>
      <c r="W58" s="721">
        <v>0</v>
      </c>
      <c r="X58" s="721">
        <v>0</v>
      </c>
      <c r="Y58" s="721">
        <v>0</v>
      </c>
      <c r="Z58" s="721">
        <v>0</v>
      </c>
      <c r="AA58" s="721">
        <v>0</v>
      </c>
      <c r="AB58" s="721">
        <v>0</v>
      </c>
      <c r="AC58" s="721">
        <v>0</v>
      </c>
      <c r="AD58" s="721">
        <v>0</v>
      </c>
      <c r="AE58" s="721">
        <v>0</v>
      </c>
      <c r="AF58" s="721">
        <v>0</v>
      </c>
      <c r="AG58" s="721">
        <v>0</v>
      </c>
      <c r="AH58" s="721">
        <v>0</v>
      </c>
      <c r="AI58" s="721">
        <v>0</v>
      </c>
      <c r="AJ58" s="721">
        <v>0</v>
      </c>
      <c r="AK58" s="721">
        <v>0</v>
      </c>
      <c r="AL58" s="721">
        <v>0</v>
      </c>
      <c r="AM58" s="721">
        <v>0</v>
      </c>
      <c r="AN58" s="721">
        <v>0</v>
      </c>
      <c r="AO58" s="721">
        <v>0</v>
      </c>
      <c r="AP58" s="721">
        <v>0</v>
      </c>
    </row>
    <row r="59" spans="1:42" ht="18" hidden="1" customHeight="1" outlineLevel="2" x14ac:dyDescent="0.15">
      <c r="A59" s="683">
        <f>规划指标!F18</f>
        <v>0</v>
      </c>
      <c r="B59" s="252">
        <f t="shared" si="29"/>
        <v>1</v>
      </c>
      <c r="C59" s="721">
        <v>0</v>
      </c>
      <c r="D59" s="721">
        <v>0</v>
      </c>
      <c r="E59" s="721">
        <v>0.1</v>
      </c>
      <c r="F59" s="721">
        <v>0.12</v>
      </c>
      <c r="G59" s="721">
        <v>0.1</v>
      </c>
      <c r="H59" s="721">
        <v>0.1</v>
      </c>
      <c r="I59" s="721">
        <v>0.1</v>
      </c>
      <c r="J59" s="721">
        <v>0.1</v>
      </c>
      <c r="K59" s="721">
        <v>0.08</v>
      </c>
      <c r="L59" s="721">
        <v>0.08</v>
      </c>
      <c r="M59" s="721">
        <v>0.06</v>
      </c>
      <c r="N59" s="721">
        <v>0.06</v>
      </c>
      <c r="O59" s="721">
        <v>0.05</v>
      </c>
      <c r="P59" s="721">
        <v>0.05</v>
      </c>
      <c r="Q59" s="721">
        <v>0</v>
      </c>
      <c r="R59" s="721">
        <v>0</v>
      </c>
      <c r="S59" s="721">
        <v>0</v>
      </c>
      <c r="T59" s="721">
        <v>0</v>
      </c>
      <c r="U59" s="721">
        <v>0</v>
      </c>
      <c r="V59" s="721">
        <v>0</v>
      </c>
      <c r="W59" s="721">
        <v>0</v>
      </c>
      <c r="X59" s="721">
        <v>0</v>
      </c>
      <c r="Y59" s="721">
        <v>0</v>
      </c>
      <c r="Z59" s="721">
        <v>0</v>
      </c>
      <c r="AA59" s="721">
        <v>0</v>
      </c>
      <c r="AB59" s="721">
        <v>0</v>
      </c>
      <c r="AC59" s="721">
        <v>0</v>
      </c>
      <c r="AD59" s="721">
        <v>0</v>
      </c>
      <c r="AE59" s="721">
        <v>0</v>
      </c>
      <c r="AF59" s="721">
        <v>0</v>
      </c>
      <c r="AG59" s="721">
        <v>0</v>
      </c>
      <c r="AH59" s="721">
        <v>0</v>
      </c>
      <c r="AI59" s="721">
        <v>0</v>
      </c>
      <c r="AJ59" s="721">
        <v>0</v>
      </c>
      <c r="AK59" s="721">
        <v>0</v>
      </c>
      <c r="AL59" s="721">
        <v>0</v>
      </c>
      <c r="AM59" s="721">
        <v>0</v>
      </c>
      <c r="AN59" s="721">
        <v>0</v>
      </c>
      <c r="AO59" s="721">
        <v>0</v>
      </c>
      <c r="AP59" s="721">
        <v>0</v>
      </c>
    </row>
    <row r="60" spans="1:42" ht="18" hidden="1" customHeight="1" outlineLevel="2" x14ac:dyDescent="0.15">
      <c r="A60" s="683" t="str">
        <f>规划指标!F20</f>
        <v>储藏室</v>
      </c>
      <c r="B60" s="252">
        <f t="shared" si="29"/>
        <v>1</v>
      </c>
      <c r="C60" s="721">
        <v>0</v>
      </c>
      <c r="D60" s="721">
        <v>0</v>
      </c>
      <c r="E60" s="721">
        <v>0.1</v>
      </c>
      <c r="F60" s="721">
        <v>0.12</v>
      </c>
      <c r="G60" s="721">
        <v>0.1</v>
      </c>
      <c r="H60" s="721">
        <v>0.1</v>
      </c>
      <c r="I60" s="721">
        <v>0.1</v>
      </c>
      <c r="J60" s="721">
        <v>0.1</v>
      </c>
      <c r="K60" s="721">
        <v>0.08</v>
      </c>
      <c r="L60" s="721">
        <v>0.08</v>
      </c>
      <c r="M60" s="721">
        <v>0.06</v>
      </c>
      <c r="N60" s="721">
        <v>0.06</v>
      </c>
      <c r="O60" s="721">
        <v>0.05</v>
      </c>
      <c r="P60" s="721">
        <v>0.05</v>
      </c>
      <c r="Q60" s="721">
        <v>0</v>
      </c>
      <c r="R60" s="721">
        <v>0</v>
      </c>
      <c r="S60" s="721">
        <v>0</v>
      </c>
      <c r="T60" s="721">
        <v>0</v>
      </c>
      <c r="U60" s="721">
        <v>0</v>
      </c>
      <c r="V60" s="721">
        <v>0</v>
      </c>
      <c r="W60" s="721">
        <v>0</v>
      </c>
      <c r="X60" s="721">
        <v>0</v>
      </c>
      <c r="Y60" s="721">
        <v>0</v>
      </c>
      <c r="Z60" s="721">
        <v>0</v>
      </c>
      <c r="AA60" s="721">
        <v>0</v>
      </c>
      <c r="AB60" s="721">
        <v>0</v>
      </c>
      <c r="AC60" s="721">
        <v>0</v>
      </c>
      <c r="AD60" s="721">
        <v>0</v>
      </c>
      <c r="AE60" s="721">
        <v>0</v>
      </c>
      <c r="AF60" s="721">
        <v>0</v>
      </c>
      <c r="AG60" s="721">
        <v>0</v>
      </c>
      <c r="AH60" s="721">
        <v>0</v>
      </c>
      <c r="AI60" s="721">
        <v>0</v>
      </c>
      <c r="AJ60" s="721">
        <v>0</v>
      </c>
      <c r="AK60" s="721">
        <v>0</v>
      </c>
      <c r="AL60" s="721">
        <v>0</v>
      </c>
      <c r="AM60" s="721">
        <v>0</v>
      </c>
      <c r="AN60" s="721">
        <v>0</v>
      </c>
      <c r="AO60" s="721">
        <v>0</v>
      </c>
      <c r="AP60" s="721">
        <v>0</v>
      </c>
    </row>
    <row r="61" spans="1:42" ht="18" hidden="1" customHeight="1" outlineLevel="2" x14ac:dyDescent="0.15">
      <c r="A61" s="683" t="str">
        <f>规划指标!F21</f>
        <v>非人防地下车库</v>
      </c>
      <c r="B61" s="252">
        <f t="shared" si="29"/>
        <v>1</v>
      </c>
      <c r="C61" s="721">
        <v>0</v>
      </c>
      <c r="D61" s="721">
        <v>0</v>
      </c>
      <c r="E61" s="721">
        <v>0.1</v>
      </c>
      <c r="F61" s="721">
        <v>0.12</v>
      </c>
      <c r="G61" s="721">
        <v>0.1</v>
      </c>
      <c r="H61" s="721">
        <v>0.1</v>
      </c>
      <c r="I61" s="721">
        <v>0.1</v>
      </c>
      <c r="J61" s="721">
        <v>0.1</v>
      </c>
      <c r="K61" s="721">
        <v>0.08</v>
      </c>
      <c r="L61" s="721">
        <v>0.08</v>
      </c>
      <c r="M61" s="721">
        <v>0.06</v>
      </c>
      <c r="N61" s="721">
        <v>0.06</v>
      </c>
      <c r="O61" s="721">
        <v>0.05</v>
      </c>
      <c r="P61" s="721">
        <v>0.05</v>
      </c>
      <c r="Q61" s="721">
        <v>0</v>
      </c>
      <c r="R61" s="721">
        <v>0</v>
      </c>
      <c r="S61" s="721">
        <v>0</v>
      </c>
      <c r="T61" s="721">
        <v>0</v>
      </c>
      <c r="U61" s="721">
        <v>0</v>
      </c>
      <c r="V61" s="721">
        <v>0</v>
      </c>
      <c r="W61" s="721">
        <v>0</v>
      </c>
      <c r="X61" s="721">
        <v>0</v>
      </c>
      <c r="Y61" s="721">
        <v>0</v>
      </c>
      <c r="Z61" s="721">
        <v>0</v>
      </c>
      <c r="AA61" s="721">
        <v>0</v>
      </c>
      <c r="AB61" s="721">
        <v>0</v>
      </c>
      <c r="AC61" s="721">
        <v>0</v>
      </c>
      <c r="AD61" s="721">
        <v>0</v>
      </c>
      <c r="AE61" s="721">
        <v>0</v>
      </c>
      <c r="AF61" s="721">
        <v>0</v>
      </c>
      <c r="AG61" s="721">
        <v>0</v>
      </c>
      <c r="AH61" s="721">
        <v>0</v>
      </c>
      <c r="AI61" s="721">
        <v>0</v>
      </c>
      <c r="AJ61" s="721">
        <v>0</v>
      </c>
      <c r="AK61" s="721">
        <v>0</v>
      </c>
      <c r="AL61" s="721">
        <v>0</v>
      </c>
      <c r="AM61" s="721">
        <v>0</v>
      </c>
      <c r="AN61" s="721">
        <v>0</v>
      </c>
      <c r="AO61" s="721">
        <v>0</v>
      </c>
      <c r="AP61" s="721">
        <v>0</v>
      </c>
    </row>
    <row r="62" spans="1:42" ht="18" hidden="1" customHeight="1" outlineLevel="2" x14ac:dyDescent="0.15">
      <c r="A62" s="683" t="str">
        <f>规划指标!F22</f>
        <v>自行车库</v>
      </c>
      <c r="B62" s="252">
        <f t="shared" si="29"/>
        <v>1</v>
      </c>
      <c r="C62" s="721">
        <v>0</v>
      </c>
      <c r="D62" s="721">
        <v>0</v>
      </c>
      <c r="E62" s="721">
        <v>0.1</v>
      </c>
      <c r="F62" s="721">
        <v>0.12</v>
      </c>
      <c r="G62" s="721">
        <v>0.1</v>
      </c>
      <c r="H62" s="721">
        <v>0.1</v>
      </c>
      <c r="I62" s="721">
        <v>0.1</v>
      </c>
      <c r="J62" s="721">
        <v>0.1</v>
      </c>
      <c r="K62" s="721">
        <v>0.08</v>
      </c>
      <c r="L62" s="721">
        <v>0.08</v>
      </c>
      <c r="M62" s="721">
        <v>0.06</v>
      </c>
      <c r="N62" s="721">
        <v>0.06</v>
      </c>
      <c r="O62" s="721">
        <v>0.05</v>
      </c>
      <c r="P62" s="721">
        <v>0.05</v>
      </c>
      <c r="Q62" s="721">
        <v>0</v>
      </c>
      <c r="R62" s="721">
        <v>0</v>
      </c>
      <c r="S62" s="721">
        <v>0</v>
      </c>
      <c r="T62" s="721">
        <v>0</v>
      </c>
      <c r="U62" s="721">
        <v>0</v>
      </c>
      <c r="V62" s="721">
        <v>0</v>
      </c>
      <c r="W62" s="721">
        <v>0</v>
      </c>
      <c r="X62" s="721">
        <v>0</v>
      </c>
      <c r="Y62" s="721">
        <v>0</v>
      </c>
      <c r="Z62" s="721">
        <v>0</v>
      </c>
      <c r="AA62" s="721">
        <v>0</v>
      </c>
      <c r="AB62" s="721">
        <v>0</v>
      </c>
      <c r="AC62" s="721">
        <v>0</v>
      </c>
      <c r="AD62" s="721">
        <v>0</v>
      </c>
      <c r="AE62" s="721">
        <v>0</v>
      </c>
      <c r="AF62" s="721">
        <v>0</v>
      </c>
      <c r="AG62" s="721">
        <v>0</v>
      </c>
      <c r="AH62" s="721">
        <v>0</v>
      </c>
      <c r="AI62" s="721">
        <v>0</v>
      </c>
      <c r="AJ62" s="721">
        <v>0</v>
      </c>
      <c r="AK62" s="721">
        <v>0</v>
      </c>
      <c r="AL62" s="721">
        <v>0</v>
      </c>
      <c r="AM62" s="721">
        <v>0</v>
      </c>
      <c r="AN62" s="721">
        <v>0</v>
      </c>
      <c r="AO62" s="721">
        <v>0</v>
      </c>
      <c r="AP62" s="721">
        <v>0</v>
      </c>
    </row>
    <row r="63" spans="1:42" ht="18" customHeight="1" outlineLevel="1" x14ac:dyDescent="0.15">
      <c r="A63" s="683" t="str">
        <f>A29</f>
        <v xml:space="preserve">      附属工程费用</v>
      </c>
      <c r="B63" s="252">
        <f t="shared" si="29"/>
        <v>1</v>
      </c>
      <c r="C63" s="721">
        <v>0</v>
      </c>
      <c r="D63" s="721">
        <v>0</v>
      </c>
      <c r="E63" s="721">
        <v>0.1</v>
      </c>
      <c r="F63" s="721">
        <v>0.12</v>
      </c>
      <c r="G63" s="721">
        <v>0.1</v>
      </c>
      <c r="H63" s="721">
        <v>0.1</v>
      </c>
      <c r="I63" s="721">
        <v>0.1</v>
      </c>
      <c r="J63" s="721">
        <v>0.1</v>
      </c>
      <c r="K63" s="721">
        <v>0.08</v>
      </c>
      <c r="L63" s="721">
        <v>0.08</v>
      </c>
      <c r="M63" s="721">
        <v>0.06</v>
      </c>
      <c r="N63" s="721">
        <v>0.06</v>
      </c>
      <c r="O63" s="721">
        <v>0.05</v>
      </c>
      <c r="P63" s="721">
        <v>0.05</v>
      </c>
      <c r="Q63" s="721">
        <v>0</v>
      </c>
      <c r="R63" s="721">
        <v>0</v>
      </c>
      <c r="S63" s="721">
        <v>0</v>
      </c>
      <c r="T63" s="721">
        <v>0</v>
      </c>
      <c r="U63" s="721">
        <v>0</v>
      </c>
      <c r="V63" s="721">
        <v>0</v>
      </c>
      <c r="W63" s="721">
        <v>0</v>
      </c>
      <c r="X63" s="721">
        <v>0</v>
      </c>
      <c r="Y63" s="721">
        <v>0</v>
      </c>
      <c r="Z63" s="721">
        <v>0</v>
      </c>
      <c r="AA63" s="721">
        <v>0</v>
      </c>
      <c r="AB63" s="721">
        <v>0</v>
      </c>
      <c r="AC63" s="721">
        <v>0</v>
      </c>
      <c r="AD63" s="721">
        <v>0</v>
      </c>
      <c r="AE63" s="721">
        <v>0</v>
      </c>
      <c r="AF63" s="721">
        <v>0</v>
      </c>
      <c r="AG63" s="721">
        <v>0</v>
      </c>
      <c r="AH63" s="721">
        <v>0</v>
      </c>
      <c r="AI63" s="721">
        <v>0</v>
      </c>
      <c r="AJ63" s="721">
        <v>0</v>
      </c>
      <c r="AK63" s="721">
        <v>0</v>
      </c>
      <c r="AL63" s="721">
        <v>0</v>
      </c>
      <c r="AM63" s="721">
        <v>0</v>
      </c>
      <c r="AN63" s="721">
        <v>0</v>
      </c>
      <c r="AO63" s="721">
        <v>0</v>
      </c>
      <c r="AP63" s="721">
        <v>0</v>
      </c>
    </row>
    <row r="64" spans="1:42" ht="18" customHeight="1" outlineLevel="1" x14ac:dyDescent="0.15">
      <c r="A64" s="683" t="str">
        <f>A30</f>
        <v xml:space="preserve">             室外工程费用</v>
      </c>
      <c r="B64" s="252">
        <f t="shared" si="29"/>
        <v>1</v>
      </c>
      <c r="C64" s="721">
        <v>0</v>
      </c>
      <c r="D64" s="721">
        <v>0</v>
      </c>
      <c r="E64" s="721">
        <v>0.1</v>
      </c>
      <c r="F64" s="721">
        <v>0.12</v>
      </c>
      <c r="G64" s="721">
        <v>0.1</v>
      </c>
      <c r="H64" s="721">
        <v>0.1</v>
      </c>
      <c r="I64" s="721">
        <v>0.1</v>
      </c>
      <c r="J64" s="721">
        <v>0.1</v>
      </c>
      <c r="K64" s="721">
        <v>0.08</v>
      </c>
      <c r="L64" s="721">
        <v>0.08</v>
      </c>
      <c r="M64" s="721">
        <v>0.06</v>
      </c>
      <c r="N64" s="721">
        <v>0.06</v>
      </c>
      <c r="O64" s="721">
        <v>0.05</v>
      </c>
      <c r="P64" s="721">
        <v>0.05</v>
      </c>
      <c r="Q64" s="721">
        <v>0</v>
      </c>
      <c r="R64" s="721">
        <v>0</v>
      </c>
      <c r="S64" s="721">
        <v>0</v>
      </c>
      <c r="T64" s="721">
        <v>0</v>
      </c>
      <c r="U64" s="721">
        <v>0</v>
      </c>
      <c r="V64" s="721">
        <v>0</v>
      </c>
      <c r="W64" s="721">
        <v>0</v>
      </c>
      <c r="X64" s="721">
        <v>0</v>
      </c>
      <c r="Y64" s="721">
        <v>0</v>
      </c>
      <c r="Z64" s="721">
        <v>0</v>
      </c>
      <c r="AA64" s="721">
        <v>0</v>
      </c>
      <c r="AB64" s="721">
        <v>0</v>
      </c>
      <c r="AC64" s="721">
        <v>0</v>
      </c>
      <c r="AD64" s="721">
        <v>0</v>
      </c>
      <c r="AE64" s="721">
        <v>0</v>
      </c>
      <c r="AF64" s="721">
        <v>0</v>
      </c>
      <c r="AG64" s="721">
        <v>0</v>
      </c>
      <c r="AH64" s="721">
        <v>0</v>
      </c>
      <c r="AI64" s="721">
        <v>0</v>
      </c>
      <c r="AJ64" s="721">
        <v>0</v>
      </c>
      <c r="AK64" s="721">
        <v>0</v>
      </c>
      <c r="AL64" s="721">
        <v>0</v>
      </c>
      <c r="AM64" s="721">
        <v>0</v>
      </c>
      <c r="AN64" s="721">
        <v>0</v>
      </c>
      <c r="AO64" s="721">
        <v>0</v>
      </c>
      <c r="AP64" s="721">
        <v>0</v>
      </c>
    </row>
    <row r="65" spans="1:44" s="246" customFormat="1" ht="18" customHeight="1" outlineLevel="1" x14ac:dyDescent="0.15">
      <c r="A65" s="259" t="s">
        <v>328</v>
      </c>
      <c r="B65" s="252">
        <f t="shared" si="29"/>
        <v>1</v>
      </c>
      <c r="C65" s="253">
        <f>ROUND(C27/$B$86,4)</f>
        <v>0</v>
      </c>
      <c r="D65" s="253">
        <f t="shared" ref="D65:AP65" si="31">ROUND(D27/$B$86,4)</f>
        <v>0</v>
      </c>
      <c r="E65" s="253">
        <f t="shared" si="31"/>
        <v>0.1</v>
      </c>
      <c r="F65" s="253">
        <f t="shared" si="31"/>
        <v>0.12</v>
      </c>
      <c r="G65" s="253">
        <f t="shared" si="31"/>
        <v>0.1</v>
      </c>
      <c r="H65" s="253">
        <f t="shared" si="31"/>
        <v>0.1</v>
      </c>
      <c r="I65" s="253">
        <f t="shared" si="31"/>
        <v>0.1</v>
      </c>
      <c r="J65" s="253">
        <f t="shared" si="31"/>
        <v>0.1</v>
      </c>
      <c r="K65" s="253">
        <f t="shared" si="31"/>
        <v>0.08</v>
      </c>
      <c r="L65" s="253">
        <f t="shared" si="31"/>
        <v>0.08</v>
      </c>
      <c r="M65" s="253">
        <f t="shared" si="31"/>
        <v>0.06</v>
      </c>
      <c r="N65" s="253">
        <f t="shared" si="31"/>
        <v>0.06</v>
      </c>
      <c r="O65" s="253">
        <f t="shared" si="31"/>
        <v>0.05</v>
      </c>
      <c r="P65" s="253">
        <f t="shared" si="31"/>
        <v>0.05</v>
      </c>
      <c r="Q65" s="253">
        <f t="shared" si="31"/>
        <v>0</v>
      </c>
      <c r="R65" s="253">
        <f t="shared" si="31"/>
        <v>0</v>
      </c>
      <c r="S65" s="719">
        <f t="shared" si="31"/>
        <v>0</v>
      </c>
      <c r="T65" s="719">
        <f t="shared" si="31"/>
        <v>0</v>
      </c>
      <c r="U65" s="719">
        <f t="shared" si="31"/>
        <v>0</v>
      </c>
      <c r="V65" s="719">
        <f t="shared" si="31"/>
        <v>0</v>
      </c>
      <c r="W65" s="719">
        <f t="shared" si="31"/>
        <v>0</v>
      </c>
      <c r="X65" s="719">
        <f t="shared" si="31"/>
        <v>0</v>
      </c>
      <c r="Y65" s="719">
        <f t="shared" si="31"/>
        <v>0</v>
      </c>
      <c r="Z65" s="719">
        <f t="shared" si="31"/>
        <v>0</v>
      </c>
      <c r="AA65" s="719">
        <f t="shared" si="31"/>
        <v>0</v>
      </c>
      <c r="AB65" s="719">
        <f t="shared" si="31"/>
        <v>0</v>
      </c>
      <c r="AC65" s="719">
        <f t="shared" si="31"/>
        <v>0</v>
      </c>
      <c r="AD65" s="719">
        <f t="shared" si="31"/>
        <v>0</v>
      </c>
      <c r="AE65" s="719">
        <f t="shared" si="31"/>
        <v>0</v>
      </c>
      <c r="AF65" s="719">
        <f t="shared" si="31"/>
        <v>0</v>
      </c>
      <c r="AG65" s="719">
        <f t="shared" si="31"/>
        <v>0</v>
      </c>
      <c r="AH65" s="719">
        <f t="shared" si="31"/>
        <v>0</v>
      </c>
      <c r="AI65" s="719">
        <f t="shared" si="31"/>
        <v>0</v>
      </c>
      <c r="AJ65" s="719">
        <f t="shared" si="31"/>
        <v>0</v>
      </c>
      <c r="AK65" s="719">
        <f t="shared" si="31"/>
        <v>0</v>
      </c>
      <c r="AL65" s="719">
        <f t="shared" si="31"/>
        <v>0</v>
      </c>
      <c r="AM65" s="719">
        <f t="shared" si="31"/>
        <v>0</v>
      </c>
      <c r="AN65" s="719">
        <f t="shared" si="31"/>
        <v>0</v>
      </c>
      <c r="AO65" s="719">
        <f t="shared" si="31"/>
        <v>0</v>
      </c>
      <c r="AP65" s="719">
        <f t="shared" si="31"/>
        <v>0</v>
      </c>
      <c r="AQ65" s="247"/>
    </row>
    <row r="66" spans="1:44" s="246" customFormat="1" ht="18" customHeight="1" outlineLevel="1" x14ac:dyDescent="0.15">
      <c r="A66" s="259"/>
      <c r="B66" s="252"/>
      <c r="C66" s="252"/>
      <c r="D66" s="252"/>
      <c r="E66" s="252"/>
      <c r="F66" s="252"/>
      <c r="G66" s="252"/>
      <c r="H66" s="252"/>
      <c r="I66" s="252"/>
      <c r="J66" s="252"/>
      <c r="K66" s="252"/>
      <c r="L66" s="252"/>
      <c r="M66" s="252"/>
      <c r="N66" s="252"/>
      <c r="O66" s="252"/>
      <c r="P66" s="252"/>
      <c r="Q66" s="252"/>
      <c r="R66" s="252"/>
      <c r="S66" s="252"/>
      <c r="T66" s="252"/>
      <c r="U66" s="252"/>
      <c r="V66" s="252"/>
      <c r="W66" s="252"/>
      <c r="X66" s="252"/>
      <c r="Y66" s="252"/>
      <c r="Z66" s="252"/>
      <c r="AA66" s="252"/>
      <c r="AB66" s="252"/>
      <c r="AC66" s="252"/>
      <c r="AD66" s="252"/>
      <c r="AE66" s="252"/>
      <c r="AF66" s="252"/>
      <c r="AG66" s="252"/>
      <c r="AH66" s="252"/>
      <c r="AI66" s="252"/>
      <c r="AJ66" s="252"/>
      <c r="AK66" s="252"/>
      <c r="AL66" s="252"/>
      <c r="AM66" s="252"/>
      <c r="AN66" s="252"/>
      <c r="AO66" s="252"/>
      <c r="AP66" s="253"/>
      <c r="AQ66" s="247"/>
    </row>
    <row r="67" spans="1:44" ht="18" customHeight="1" x14ac:dyDescent="0.15">
      <c r="A67" s="261" t="s">
        <v>435</v>
      </c>
      <c r="B67" s="681"/>
      <c r="C67" s="820"/>
      <c r="D67" s="820"/>
      <c r="E67" s="251"/>
      <c r="F67" s="251"/>
      <c r="G67" s="410"/>
      <c r="H67" s="252"/>
      <c r="I67" s="252"/>
      <c r="J67" s="252"/>
      <c r="K67" s="252"/>
      <c r="L67" s="252"/>
      <c r="M67" s="252"/>
      <c r="N67" s="252"/>
      <c r="O67" s="252"/>
      <c r="P67" s="252"/>
      <c r="Q67" s="252"/>
      <c r="R67" s="252"/>
      <c r="S67" s="252"/>
      <c r="T67" s="252"/>
      <c r="U67" s="252"/>
      <c r="V67" s="620"/>
      <c r="W67" s="252"/>
      <c r="X67" s="252"/>
      <c r="Y67" s="252"/>
      <c r="Z67" s="252"/>
      <c r="AA67" s="252"/>
      <c r="AB67" s="252"/>
      <c r="AC67" s="252"/>
      <c r="AD67" s="252"/>
      <c r="AE67" s="252"/>
      <c r="AF67" s="252"/>
      <c r="AG67" s="252"/>
      <c r="AH67" s="252"/>
      <c r="AI67" s="252"/>
      <c r="AJ67" s="252"/>
      <c r="AK67" s="252"/>
      <c r="AL67" s="252"/>
      <c r="AM67" s="252"/>
      <c r="AN67" s="252"/>
      <c r="AO67" s="252"/>
      <c r="AP67" s="253"/>
      <c r="AQ67" s="247"/>
    </row>
    <row r="68" spans="1:44" ht="18" customHeight="1" outlineLevel="1" x14ac:dyDescent="0.15">
      <c r="A68" s="439" t="s">
        <v>496</v>
      </c>
      <c r="B68" s="440" t="s">
        <v>503</v>
      </c>
      <c r="C68" s="440" t="s">
        <v>501</v>
      </c>
      <c r="D68" s="440" t="s">
        <v>437</v>
      </c>
      <c r="E68" s="440" t="s">
        <v>329</v>
      </c>
      <c r="F68" s="246"/>
      <c r="G68" s="732"/>
      <c r="H68" s="212"/>
      <c r="I68" s="212"/>
      <c r="J68" s="212"/>
      <c r="K68" s="212"/>
      <c r="L68" s="212"/>
      <c r="M68" s="246"/>
      <c r="N68" s="246"/>
      <c r="O68" s="246"/>
      <c r="P68" s="246"/>
      <c r="Q68" s="246"/>
      <c r="R68" s="246"/>
      <c r="S68" s="246"/>
      <c r="T68" s="246"/>
      <c r="U68" s="246"/>
      <c r="V68" s="246"/>
      <c r="W68" s="246"/>
      <c r="X68" s="212"/>
      <c r="Y68" s="212"/>
      <c r="Z68" s="212"/>
      <c r="AA68" s="212"/>
      <c r="AB68" s="212"/>
      <c r="AC68" s="246"/>
      <c r="AD68" s="246"/>
      <c r="AE68" s="246"/>
      <c r="AF68" s="246"/>
      <c r="AG68" s="246"/>
      <c r="AH68" s="246"/>
      <c r="AI68" s="246"/>
      <c r="AJ68" s="246"/>
      <c r="AK68" s="246"/>
      <c r="AL68" s="246"/>
      <c r="AM68" s="246"/>
      <c r="AN68" s="246"/>
      <c r="AO68" s="246"/>
      <c r="AP68" s="247"/>
      <c r="AQ68" s="246"/>
    </row>
    <row r="69" spans="1:44" ht="18" customHeight="1" outlineLevel="1" x14ac:dyDescent="0.15">
      <c r="A69" s="448" t="s">
        <v>323</v>
      </c>
      <c r="B69" s="450">
        <f>SUM(B70:B73)+B77+B80</f>
        <v>187119</v>
      </c>
      <c r="C69" s="342"/>
      <c r="D69" s="342"/>
      <c r="E69" s="472"/>
      <c r="F69" s="244"/>
      <c r="G69" s="737">
        <f>B69/B114</f>
        <v>0.61839999999999995</v>
      </c>
      <c r="H69" s="759">
        <f>B69/规划指标!$G$24*10000</f>
        <v>9533.32</v>
      </c>
      <c r="I69" s="212"/>
      <c r="J69" s="212"/>
      <c r="K69" s="212"/>
      <c r="L69" s="212"/>
      <c r="M69" s="246"/>
      <c r="N69" s="246"/>
      <c r="O69" s="246"/>
      <c r="P69" s="246"/>
      <c r="Q69" s="246"/>
      <c r="R69" s="246"/>
      <c r="S69" s="246"/>
      <c r="T69" s="246"/>
      <c r="U69" s="246"/>
      <c r="V69" s="244"/>
      <c r="W69" s="245"/>
      <c r="X69" s="212"/>
      <c r="Y69" s="212"/>
      <c r="Z69" s="212"/>
      <c r="AA69" s="212"/>
      <c r="AB69" s="212"/>
      <c r="AC69" s="246"/>
      <c r="AD69" s="246"/>
      <c r="AE69" s="246"/>
      <c r="AF69" s="246"/>
      <c r="AG69" s="246"/>
      <c r="AH69" s="246"/>
      <c r="AI69" s="246"/>
      <c r="AJ69" s="246"/>
      <c r="AK69" s="246"/>
      <c r="AL69" s="246"/>
      <c r="AM69" s="246"/>
      <c r="AN69" s="246"/>
      <c r="AO69" s="246"/>
      <c r="AP69" s="247"/>
      <c r="AQ69" s="246"/>
    </row>
    <row r="70" spans="1:44" ht="18" customHeight="1" outlineLevel="1" x14ac:dyDescent="0.15">
      <c r="A70" s="454" t="s">
        <v>443</v>
      </c>
      <c r="B70" s="415">
        <f>规划指标!B12</f>
        <v>173800</v>
      </c>
      <c r="C70" s="458"/>
      <c r="D70" s="454"/>
      <c r="E70" s="348"/>
      <c r="F70" s="244"/>
      <c r="G70" s="737"/>
      <c r="H70" s="212"/>
      <c r="I70" s="212"/>
      <c r="J70" s="212"/>
      <c r="K70" s="212"/>
      <c r="L70" s="212"/>
      <c r="M70" s="246"/>
      <c r="N70" s="246"/>
      <c r="O70" s="246"/>
      <c r="P70" s="246"/>
      <c r="Q70" s="246"/>
      <c r="R70" s="246"/>
      <c r="S70" s="246"/>
      <c r="T70" s="246"/>
      <c r="U70" s="246"/>
      <c r="V70" s="244"/>
      <c r="W70" s="255"/>
      <c r="X70" s="212"/>
      <c r="Y70" s="212"/>
      <c r="Z70" s="212"/>
      <c r="AA70" s="212"/>
      <c r="AB70" s="212"/>
      <c r="AC70" s="246"/>
      <c r="AD70" s="246"/>
      <c r="AE70" s="246"/>
      <c r="AF70" s="246"/>
      <c r="AG70" s="246"/>
      <c r="AH70" s="246"/>
      <c r="AI70" s="246"/>
      <c r="AJ70" s="246"/>
      <c r="AK70" s="246"/>
      <c r="AL70" s="246"/>
      <c r="AM70" s="246"/>
      <c r="AN70" s="246"/>
      <c r="AO70" s="246"/>
      <c r="AP70" s="247"/>
      <c r="AQ70" s="246"/>
    </row>
    <row r="71" spans="1:44" ht="18" customHeight="1" outlineLevel="1" x14ac:dyDescent="0.15">
      <c r="A71" s="454" t="s">
        <v>330</v>
      </c>
      <c r="B71" s="415">
        <v>0</v>
      </c>
      <c r="C71" s="459"/>
      <c r="D71" s="463"/>
      <c r="E71" s="678"/>
      <c r="F71" s="244"/>
      <c r="G71" s="409"/>
      <c r="H71" s="212"/>
      <c r="I71" s="212"/>
      <c r="J71" s="212"/>
      <c r="K71" s="212"/>
      <c r="L71" s="212"/>
      <c r="M71" s="246"/>
      <c r="N71" s="246"/>
      <c r="O71" s="246"/>
      <c r="P71" s="246"/>
      <c r="Q71" s="246"/>
      <c r="R71" s="246"/>
      <c r="S71" s="246"/>
      <c r="T71" s="246"/>
      <c r="U71" s="246"/>
      <c r="V71" s="244"/>
      <c r="W71" s="248"/>
      <c r="X71" s="212"/>
      <c r="Y71" s="212"/>
      <c r="Z71" s="212"/>
      <c r="AA71" s="212"/>
      <c r="AB71" s="212"/>
      <c r="AC71" s="246"/>
      <c r="AD71" s="246"/>
      <c r="AE71" s="246"/>
      <c r="AF71" s="246"/>
      <c r="AG71" s="246"/>
      <c r="AH71" s="246"/>
      <c r="AI71" s="246"/>
      <c r="AJ71" s="246"/>
      <c r="AK71" s="246"/>
      <c r="AL71" s="246"/>
      <c r="AM71" s="246"/>
      <c r="AN71" s="246"/>
      <c r="AO71" s="246"/>
      <c r="AP71" s="247"/>
      <c r="AQ71" s="246"/>
    </row>
    <row r="72" spans="1:44" s="140" customFormat="1" ht="18" customHeight="1" outlineLevel="1" x14ac:dyDescent="0.15">
      <c r="A72" s="454" t="s">
        <v>331</v>
      </c>
      <c r="B72" s="415">
        <f>ROUND(B70*C72,0)</f>
        <v>5301</v>
      </c>
      <c r="C72" s="460">
        <v>3.0499999999999999E-2</v>
      </c>
      <c r="D72" s="454"/>
      <c r="E72" s="348" t="s">
        <v>502</v>
      </c>
      <c r="F72" s="257"/>
      <c r="G72" s="738"/>
      <c r="H72" s="212"/>
      <c r="I72" s="212"/>
      <c r="J72" s="212"/>
      <c r="K72" s="212"/>
      <c r="L72" s="212"/>
      <c r="M72" s="256"/>
      <c r="N72" s="256"/>
      <c r="O72" s="256"/>
      <c r="P72" s="256"/>
      <c r="Q72" s="256"/>
      <c r="R72" s="256"/>
      <c r="S72" s="256"/>
      <c r="T72" s="256"/>
      <c r="U72" s="256"/>
      <c r="V72" s="257"/>
      <c r="W72" s="256"/>
      <c r="X72" s="212"/>
      <c r="Y72" s="212"/>
      <c r="Z72" s="212"/>
      <c r="AA72" s="212"/>
      <c r="AB72" s="212"/>
      <c r="AC72" s="256"/>
      <c r="AD72" s="256"/>
      <c r="AE72" s="256"/>
      <c r="AF72" s="256"/>
      <c r="AG72" s="256"/>
      <c r="AH72" s="256"/>
      <c r="AI72" s="256"/>
      <c r="AJ72" s="256"/>
      <c r="AK72" s="256"/>
      <c r="AL72" s="256"/>
      <c r="AM72" s="256"/>
      <c r="AN72" s="256"/>
      <c r="AO72" s="256"/>
      <c r="AP72" s="247"/>
      <c r="AQ72" s="256"/>
      <c r="AR72" s="256"/>
    </row>
    <row r="73" spans="1:44" s="140" customFormat="1" ht="18" customHeight="1" outlineLevel="1" x14ac:dyDescent="0.15">
      <c r="A73" s="454" t="s">
        <v>436</v>
      </c>
      <c r="B73" s="715">
        <f>SUM(B74:B76)</f>
        <v>6247</v>
      </c>
      <c r="C73" s="460"/>
      <c r="D73" s="463"/>
      <c r="E73" s="718" t="s">
        <v>656</v>
      </c>
      <c r="F73" s="257"/>
      <c r="G73" s="738"/>
      <c r="H73" s="212"/>
      <c r="I73" s="212"/>
      <c r="J73" s="212"/>
      <c r="K73" s="212"/>
      <c r="L73" s="212"/>
      <c r="M73" s="256"/>
      <c r="N73" s="256"/>
      <c r="O73" s="256"/>
      <c r="P73" s="256"/>
      <c r="Q73" s="256"/>
      <c r="R73" s="256"/>
      <c r="S73" s="256"/>
      <c r="T73" s="256"/>
      <c r="U73" s="256"/>
      <c r="V73" s="257"/>
      <c r="W73" s="256"/>
      <c r="X73" s="212"/>
      <c r="Y73" s="212"/>
      <c r="Z73" s="212"/>
      <c r="AA73" s="212"/>
      <c r="AB73" s="212"/>
      <c r="AC73" s="256"/>
      <c r="AD73" s="256"/>
      <c r="AE73" s="256"/>
      <c r="AF73" s="256"/>
      <c r="AG73" s="256"/>
      <c r="AH73" s="256"/>
      <c r="AI73" s="256"/>
      <c r="AJ73" s="256"/>
      <c r="AK73" s="256"/>
      <c r="AL73" s="256"/>
      <c r="AM73" s="256"/>
      <c r="AN73" s="256"/>
      <c r="AO73" s="256"/>
      <c r="AP73" s="247"/>
      <c r="AQ73" s="256"/>
    </row>
    <row r="74" spans="1:44" s="140" customFormat="1" ht="18" customHeight="1" outlineLevel="1" x14ac:dyDescent="0.15">
      <c r="A74" s="455"/>
      <c r="B74" s="483">
        <f>ROUND(规划指标!$B$17*'主表1（成本）'!C74*'主表1（成本）'!D74*25%*(1+$C$72)/10000,0)</f>
        <v>1962</v>
      </c>
      <c r="C74" s="729">
        <f>规划指标!G20</f>
        <v>20455</v>
      </c>
      <c r="D74" s="730">
        <v>0.25</v>
      </c>
      <c r="E74" s="744" t="s">
        <v>685</v>
      </c>
      <c r="F74" s="257"/>
      <c r="G74" s="738"/>
      <c r="H74" s="212"/>
      <c r="I74" s="212"/>
      <c r="J74" s="212"/>
      <c r="K74" s="212"/>
      <c r="L74" s="212"/>
      <c r="M74" s="256"/>
      <c r="N74" s="256"/>
      <c r="O74" s="256"/>
      <c r="P74" s="256"/>
      <c r="Q74" s="256"/>
      <c r="R74" s="256"/>
      <c r="S74" s="256"/>
      <c r="T74" s="256"/>
      <c r="U74" s="256"/>
      <c r="V74" s="257"/>
      <c r="W74" s="256"/>
      <c r="X74" s="212"/>
      <c r="Y74" s="212"/>
      <c r="Z74" s="212"/>
      <c r="AA74" s="212"/>
      <c r="AB74" s="212"/>
      <c r="AC74" s="256"/>
      <c r="AD74" s="256"/>
      <c r="AE74" s="256"/>
      <c r="AF74" s="256"/>
      <c r="AG74" s="256"/>
      <c r="AH74" s="256"/>
      <c r="AI74" s="256"/>
      <c r="AJ74" s="256"/>
      <c r="AK74" s="256"/>
      <c r="AL74" s="256"/>
      <c r="AM74" s="256"/>
      <c r="AN74" s="256"/>
      <c r="AO74" s="256"/>
      <c r="AP74" s="247"/>
      <c r="AQ74" s="256"/>
    </row>
    <row r="75" spans="1:44" s="140" customFormat="1" ht="18" customHeight="1" outlineLevel="1" x14ac:dyDescent="0.15">
      <c r="A75" s="455"/>
      <c r="B75" s="483">
        <f>ROUND(规划指标!$B$17*'主表1（成本）'!C75*'主表1（成本）'!D75*25%*(1+$C$72)/10000,0)</f>
        <v>4285</v>
      </c>
      <c r="C75" s="729">
        <f>规划指标!G21</f>
        <v>55840</v>
      </c>
      <c r="D75" s="730">
        <v>0.2</v>
      </c>
      <c r="E75" s="731" t="s">
        <v>658</v>
      </c>
      <c r="F75" s="257"/>
      <c r="G75" s="738"/>
      <c r="H75" s="212"/>
      <c r="I75" s="212"/>
      <c r="J75" s="212"/>
      <c r="K75" s="212"/>
      <c r="L75" s="212"/>
      <c r="M75" s="256"/>
      <c r="N75" s="256"/>
      <c r="O75" s="256"/>
      <c r="P75" s="256"/>
      <c r="Q75" s="256"/>
      <c r="R75" s="256"/>
      <c r="S75" s="256"/>
      <c r="T75" s="256"/>
      <c r="U75" s="256"/>
      <c r="V75" s="257"/>
      <c r="W75" s="256"/>
      <c r="X75" s="212"/>
      <c r="Y75" s="212"/>
      <c r="Z75" s="212"/>
      <c r="AA75" s="212"/>
      <c r="AB75" s="212"/>
      <c r="AC75" s="256"/>
      <c r="AD75" s="256"/>
      <c r="AE75" s="256"/>
      <c r="AF75" s="256"/>
      <c r="AG75" s="256"/>
      <c r="AH75" s="256"/>
      <c r="AI75" s="256"/>
      <c r="AJ75" s="256"/>
      <c r="AK75" s="256"/>
      <c r="AL75" s="256"/>
      <c r="AM75" s="256"/>
      <c r="AN75" s="256"/>
      <c r="AO75" s="256"/>
      <c r="AP75" s="247"/>
      <c r="AQ75" s="256"/>
    </row>
    <row r="76" spans="1:44" s="140" customFormat="1" ht="18" customHeight="1" outlineLevel="1" x14ac:dyDescent="0.15">
      <c r="A76" s="455"/>
      <c r="B76" s="483"/>
      <c r="C76" s="729"/>
      <c r="D76" s="730"/>
      <c r="E76" s="731"/>
      <c r="F76" s="257"/>
      <c r="G76" s="738"/>
      <c r="H76" s="212"/>
      <c r="I76" s="212"/>
      <c r="J76" s="212"/>
      <c r="K76" s="212"/>
      <c r="L76" s="212"/>
      <c r="M76" s="256"/>
      <c r="N76" s="256"/>
      <c r="O76" s="256"/>
      <c r="P76" s="256"/>
      <c r="Q76" s="256"/>
      <c r="R76" s="256"/>
      <c r="S76" s="256"/>
      <c r="T76" s="256"/>
      <c r="U76" s="256"/>
      <c r="V76" s="257"/>
      <c r="W76" s="256"/>
      <c r="X76" s="212"/>
      <c r="Y76" s="212"/>
      <c r="Z76" s="212"/>
      <c r="AA76" s="212"/>
      <c r="AB76" s="212"/>
      <c r="AC76" s="256"/>
      <c r="AD76" s="256"/>
      <c r="AE76" s="256"/>
      <c r="AF76" s="256"/>
      <c r="AG76" s="256"/>
      <c r="AH76" s="256"/>
      <c r="AI76" s="256"/>
      <c r="AJ76" s="256"/>
      <c r="AK76" s="256"/>
      <c r="AL76" s="256"/>
      <c r="AM76" s="256"/>
      <c r="AN76" s="256"/>
      <c r="AO76" s="256"/>
      <c r="AP76" s="247"/>
      <c r="AQ76" s="256"/>
    </row>
    <row r="77" spans="1:44" ht="18" customHeight="1" outlineLevel="1" x14ac:dyDescent="0.25">
      <c r="A77" s="454" t="s">
        <v>332</v>
      </c>
      <c r="B77" s="456">
        <f>B78+B79</f>
        <v>1187</v>
      </c>
      <c r="C77" s="461">
        <f>C78+C79</f>
        <v>116703</v>
      </c>
      <c r="D77" s="464"/>
      <c r="E77" s="717"/>
      <c r="F77" s="244"/>
      <c r="G77" s="736"/>
      <c r="H77" s="212"/>
      <c r="I77" s="212"/>
      <c r="J77" s="212"/>
      <c r="K77" s="212"/>
      <c r="L77" s="212"/>
      <c r="M77" s="246"/>
      <c r="N77" s="246"/>
      <c r="O77" s="246"/>
      <c r="P77" s="246"/>
      <c r="Q77" s="246"/>
      <c r="R77" s="246"/>
      <c r="S77" s="246"/>
      <c r="T77" s="246"/>
      <c r="U77" s="246"/>
      <c r="V77" s="244"/>
      <c r="W77" s="245"/>
      <c r="X77" s="212"/>
      <c r="Y77" s="212"/>
      <c r="Z77" s="212"/>
      <c r="AA77" s="212"/>
      <c r="AB77" s="212"/>
      <c r="AC77" s="246"/>
      <c r="AD77" s="246"/>
      <c r="AE77" s="246"/>
      <c r="AF77" s="246"/>
      <c r="AG77" s="246"/>
      <c r="AH77" s="246"/>
      <c r="AI77" s="246"/>
      <c r="AJ77" s="246"/>
      <c r="AK77" s="246"/>
      <c r="AL77" s="246"/>
      <c r="AM77" s="246"/>
      <c r="AN77" s="246"/>
      <c r="AO77" s="246"/>
      <c r="AP77" s="247"/>
      <c r="AQ77" s="246"/>
      <c r="AR77" s="246"/>
    </row>
    <row r="78" spans="1:44" ht="18" customHeight="1" outlineLevel="1" x14ac:dyDescent="0.25">
      <c r="A78" s="455" t="s">
        <v>438</v>
      </c>
      <c r="B78" s="457">
        <f>ROUND(D78*C78/10000,0)</f>
        <v>1127</v>
      </c>
      <c r="C78" s="462">
        <f>规划指标!G4+规划指标!G5</f>
        <v>112725</v>
      </c>
      <c r="D78" s="465">
        <v>100</v>
      </c>
      <c r="E78" s="473"/>
      <c r="F78" s="244"/>
      <c r="G78" s="736"/>
      <c r="H78" s="212"/>
      <c r="I78" s="212"/>
      <c r="J78" s="212"/>
      <c r="K78" s="212"/>
      <c r="L78" s="212"/>
      <c r="M78" s="246"/>
      <c r="N78" s="246"/>
      <c r="O78" s="246"/>
      <c r="P78" s="246"/>
      <c r="Q78" s="246"/>
      <c r="R78" s="246"/>
      <c r="S78" s="246"/>
      <c r="T78" s="246"/>
      <c r="U78" s="246"/>
      <c r="V78" s="244"/>
      <c r="W78" s="245"/>
      <c r="X78" s="212"/>
      <c r="Y78" s="212"/>
      <c r="Z78" s="212"/>
      <c r="AA78" s="212"/>
      <c r="AB78" s="212"/>
      <c r="AC78" s="246"/>
      <c r="AD78" s="246"/>
      <c r="AE78" s="246"/>
      <c r="AF78" s="246"/>
      <c r="AG78" s="246"/>
      <c r="AH78" s="246"/>
      <c r="AI78" s="246"/>
      <c r="AJ78" s="246"/>
      <c r="AK78" s="246"/>
      <c r="AL78" s="246"/>
      <c r="AM78" s="246"/>
      <c r="AN78" s="246"/>
      <c r="AO78" s="246"/>
      <c r="AP78" s="247"/>
      <c r="AQ78" s="246"/>
    </row>
    <row r="79" spans="1:44" ht="18" customHeight="1" outlineLevel="1" x14ac:dyDescent="0.25">
      <c r="A79" s="455" t="s">
        <v>439</v>
      </c>
      <c r="B79" s="457">
        <f>ROUND(D79*C79/10000,0)</f>
        <v>60</v>
      </c>
      <c r="C79" s="462">
        <f>规划指标!G6+规划指标!G7</f>
        <v>3978</v>
      </c>
      <c r="D79" s="465">
        <v>150</v>
      </c>
      <c r="E79" s="473"/>
      <c r="F79" s="244"/>
      <c r="G79" s="736"/>
      <c r="H79" s="212"/>
      <c r="I79" s="212"/>
      <c r="J79" s="212"/>
      <c r="K79" s="212"/>
      <c r="L79" s="212"/>
      <c r="M79" s="246"/>
      <c r="N79" s="246"/>
      <c r="O79" s="246"/>
      <c r="P79" s="246"/>
      <c r="Q79" s="246"/>
      <c r="R79" s="246"/>
      <c r="S79" s="246"/>
      <c r="T79" s="246"/>
      <c r="U79" s="246"/>
      <c r="V79" s="244"/>
      <c r="W79" s="245"/>
      <c r="X79" s="212"/>
      <c r="Y79" s="212"/>
      <c r="Z79" s="212"/>
      <c r="AA79" s="212"/>
      <c r="AB79" s="212"/>
      <c r="AC79" s="246"/>
      <c r="AD79" s="246"/>
      <c r="AE79" s="246"/>
      <c r="AF79" s="246"/>
      <c r="AG79" s="246"/>
      <c r="AH79" s="246"/>
      <c r="AI79" s="246"/>
      <c r="AJ79" s="246"/>
      <c r="AK79" s="246"/>
      <c r="AL79" s="246"/>
      <c r="AM79" s="246"/>
      <c r="AN79" s="246"/>
      <c r="AO79" s="246"/>
      <c r="AP79" s="247"/>
      <c r="AQ79" s="246"/>
    </row>
    <row r="80" spans="1:44" ht="18" customHeight="1" outlineLevel="1" x14ac:dyDescent="0.15">
      <c r="A80" s="449" t="s">
        <v>333</v>
      </c>
      <c r="B80" s="414">
        <f>ROUND(C80*D80/10000,0)</f>
        <v>584</v>
      </c>
      <c r="C80" s="451">
        <f>C77</f>
        <v>116703</v>
      </c>
      <c r="D80" s="466">
        <v>50</v>
      </c>
      <c r="E80" s="716" t="s">
        <v>657</v>
      </c>
      <c r="F80" s="244"/>
      <c r="G80" s="737"/>
      <c r="H80" s="212"/>
      <c r="I80" s="212"/>
      <c r="J80" s="212"/>
      <c r="K80" s="212"/>
      <c r="L80" s="212"/>
      <c r="M80" s="246"/>
      <c r="N80" s="246"/>
      <c r="O80" s="246"/>
      <c r="P80" s="246"/>
      <c r="Q80" s="246"/>
      <c r="R80" s="246"/>
      <c r="S80" s="246"/>
      <c r="T80" s="246"/>
      <c r="U80" s="246"/>
      <c r="V80" s="244"/>
      <c r="W80" s="255"/>
      <c r="X80" s="212"/>
      <c r="Y80" s="212"/>
      <c r="Z80" s="212"/>
      <c r="AA80" s="212"/>
      <c r="AB80" s="212"/>
      <c r="AC80" s="246"/>
      <c r="AD80" s="246"/>
      <c r="AE80" s="246"/>
      <c r="AF80" s="246"/>
      <c r="AG80" s="246"/>
      <c r="AH80" s="246"/>
      <c r="AI80" s="246"/>
      <c r="AJ80" s="246"/>
      <c r="AK80" s="246"/>
      <c r="AL80" s="246"/>
      <c r="AM80" s="246"/>
      <c r="AN80" s="246"/>
      <c r="AO80" s="246"/>
      <c r="AP80" s="247"/>
      <c r="AQ80" s="246"/>
    </row>
    <row r="81" spans="1:52" ht="18" customHeight="1" outlineLevel="1" x14ac:dyDescent="0.15">
      <c r="A81" s="448" t="s">
        <v>334</v>
      </c>
      <c r="B81" s="450">
        <f>SUM(B82:B85)</f>
        <v>4826</v>
      </c>
      <c r="C81" s="342"/>
      <c r="D81" s="342"/>
      <c r="E81" s="472"/>
      <c r="F81" s="244"/>
      <c r="G81" s="737">
        <f>B81/B114</f>
        <v>1.5900000000000001E-2</v>
      </c>
      <c r="H81" s="760">
        <f>B81/规划指标!G24*10000</f>
        <v>245.87</v>
      </c>
      <c r="I81" s="212"/>
      <c r="J81" s="212"/>
      <c r="K81" s="212"/>
      <c r="L81" s="212"/>
      <c r="M81" s="246"/>
      <c r="N81" s="246"/>
      <c r="O81" s="246"/>
      <c r="P81" s="246"/>
      <c r="Q81" s="246"/>
      <c r="R81" s="246"/>
      <c r="S81" s="246"/>
      <c r="T81" s="246"/>
      <c r="U81" s="246"/>
      <c r="V81" s="244"/>
      <c r="W81" s="245"/>
      <c r="X81" s="212"/>
      <c r="Y81" s="212"/>
      <c r="Z81" s="212"/>
      <c r="AA81" s="212"/>
      <c r="AB81" s="212"/>
      <c r="AC81" s="246"/>
      <c r="AD81" s="246"/>
      <c r="AE81" s="246"/>
      <c r="AF81" s="246"/>
      <c r="AG81" s="246"/>
      <c r="AH81" s="246"/>
      <c r="AI81" s="246"/>
      <c r="AJ81" s="246"/>
      <c r="AK81" s="246"/>
      <c r="AL81" s="246"/>
      <c r="AM81" s="246"/>
      <c r="AN81" s="246"/>
      <c r="AO81" s="246"/>
      <c r="AP81" s="247"/>
      <c r="AQ81" s="246"/>
      <c r="AR81" s="246"/>
      <c r="AS81" s="246"/>
      <c r="AT81" s="246"/>
    </row>
    <row r="82" spans="1:52" ht="18" customHeight="1" outlineLevel="1" x14ac:dyDescent="0.15">
      <c r="A82" s="454" t="s">
        <v>444</v>
      </c>
      <c r="B82" s="467">
        <f>ROUND(B87*C82,0)</f>
        <v>2625</v>
      </c>
      <c r="C82" s="468">
        <v>3.5000000000000003E-2</v>
      </c>
      <c r="D82" s="470"/>
      <c r="E82" s="474"/>
      <c r="F82" s="244"/>
      <c r="G82" s="737"/>
      <c r="H82" s="212"/>
      <c r="I82" s="212"/>
      <c r="J82" s="212"/>
      <c r="K82" s="212"/>
      <c r="L82" s="212"/>
      <c r="M82" s="246"/>
      <c r="N82" s="246"/>
      <c r="O82" s="246"/>
      <c r="P82" s="246"/>
      <c r="Q82" s="246"/>
      <c r="R82" s="246"/>
      <c r="S82" s="246"/>
      <c r="T82" s="246"/>
      <c r="U82" s="246"/>
      <c r="V82" s="244"/>
      <c r="W82" s="255"/>
      <c r="X82" s="212"/>
      <c r="Y82" s="212"/>
      <c r="Z82" s="212"/>
      <c r="AA82" s="212"/>
      <c r="AB82" s="212"/>
      <c r="AC82" s="246"/>
      <c r="AD82" s="246"/>
      <c r="AE82" s="246"/>
      <c r="AF82" s="246"/>
      <c r="AG82" s="246"/>
      <c r="AH82" s="246"/>
      <c r="AI82" s="246"/>
      <c r="AJ82" s="246"/>
      <c r="AK82" s="246"/>
      <c r="AL82" s="246"/>
      <c r="AM82" s="246"/>
      <c r="AN82" s="246"/>
      <c r="AO82" s="246"/>
      <c r="AP82" s="247"/>
      <c r="AQ82" s="246"/>
      <c r="AR82" s="246"/>
      <c r="AS82" s="246"/>
      <c r="AT82" s="246"/>
    </row>
    <row r="83" spans="1:52" ht="18" customHeight="1" outlineLevel="1" x14ac:dyDescent="0.15">
      <c r="A83" s="454" t="s">
        <v>442</v>
      </c>
      <c r="B83" s="467">
        <f>ROUND(B86*C83,0)</f>
        <v>1617</v>
      </c>
      <c r="C83" s="468">
        <v>0.02</v>
      </c>
      <c r="D83" s="470"/>
      <c r="E83" s="475"/>
      <c r="F83" s="244"/>
      <c r="G83" s="737"/>
      <c r="H83" s="212"/>
      <c r="I83" s="212"/>
      <c r="J83" s="258"/>
      <c r="K83" s="212"/>
      <c r="L83" s="212"/>
      <c r="M83" s="246"/>
      <c r="N83" s="246"/>
      <c r="O83" s="246"/>
      <c r="P83" s="246"/>
      <c r="Q83" s="246"/>
      <c r="R83" s="246"/>
      <c r="S83" s="246"/>
      <c r="T83" s="246"/>
      <c r="U83" s="246"/>
      <c r="V83" s="244"/>
      <c r="W83" s="255"/>
      <c r="X83" s="212"/>
      <c r="Y83" s="212"/>
      <c r="Z83" s="258"/>
      <c r="AA83" s="212"/>
      <c r="AB83" s="212"/>
      <c r="AC83" s="246"/>
      <c r="AD83" s="246"/>
      <c r="AE83" s="246"/>
      <c r="AF83" s="246"/>
      <c r="AG83" s="246"/>
      <c r="AH83" s="246"/>
      <c r="AI83" s="246"/>
      <c r="AJ83" s="246"/>
      <c r="AK83" s="246"/>
      <c r="AL83" s="246"/>
      <c r="AM83" s="246"/>
      <c r="AN83" s="246"/>
      <c r="AO83" s="246"/>
      <c r="AP83" s="247"/>
      <c r="AQ83" s="246"/>
      <c r="AR83" s="246"/>
      <c r="AS83" s="246"/>
      <c r="AT83" s="246"/>
    </row>
    <row r="84" spans="1:52" ht="18" customHeight="1" outlineLevel="1" x14ac:dyDescent="0.15">
      <c r="A84" s="454" t="s">
        <v>335</v>
      </c>
      <c r="B84" s="467">
        <f>ROUND(C84*D84/10000,0)</f>
        <v>584</v>
      </c>
      <c r="C84" s="469">
        <f>C77</f>
        <v>116703</v>
      </c>
      <c r="D84" s="740">
        <v>50</v>
      </c>
      <c r="E84" s="475"/>
      <c r="F84" s="244"/>
      <c r="G84" s="737"/>
      <c r="H84" s="212"/>
      <c r="I84" s="212"/>
      <c r="J84" s="212"/>
      <c r="K84" s="212"/>
      <c r="L84" s="212"/>
      <c r="M84" s="246"/>
      <c r="N84" s="246"/>
      <c r="O84" s="246"/>
      <c r="P84" s="246"/>
      <c r="Q84" s="246"/>
      <c r="R84" s="246"/>
      <c r="S84" s="246"/>
      <c r="T84" s="246"/>
      <c r="U84" s="246"/>
      <c r="V84" s="244"/>
      <c r="W84" s="255"/>
      <c r="X84" s="212"/>
      <c r="Y84" s="212"/>
      <c r="Z84" s="212"/>
      <c r="AA84" s="212"/>
      <c r="AB84" s="212"/>
      <c r="AC84" s="246"/>
      <c r="AD84" s="246"/>
      <c r="AE84" s="246"/>
      <c r="AF84" s="246"/>
      <c r="AG84" s="246"/>
      <c r="AH84" s="246"/>
      <c r="AI84" s="246"/>
      <c r="AJ84" s="246"/>
      <c r="AK84" s="246"/>
      <c r="AL84" s="246"/>
      <c r="AM84" s="246"/>
      <c r="AN84" s="246"/>
      <c r="AO84" s="246"/>
      <c r="AP84" s="247"/>
      <c r="AQ84" s="246"/>
    </row>
    <row r="85" spans="1:52" ht="18" customHeight="1" outlineLevel="1" x14ac:dyDescent="0.15">
      <c r="A85" s="449" t="s">
        <v>441</v>
      </c>
      <c r="B85" s="452">
        <f>ROUND(C85*D85/10000,0)</f>
        <v>0</v>
      </c>
      <c r="C85" s="453">
        <f>C77</f>
        <v>116703</v>
      </c>
      <c r="D85" s="471"/>
      <c r="E85" s="476"/>
      <c r="F85" s="244"/>
      <c r="G85" s="737"/>
      <c r="H85" s="212"/>
      <c r="I85" s="212"/>
      <c r="J85" s="212"/>
      <c r="K85" s="212"/>
      <c r="L85" s="212"/>
      <c r="M85" s="246"/>
      <c r="N85" s="246"/>
      <c r="O85" s="246"/>
      <c r="P85" s="246"/>
      <c r="Q85" s="246"/>
      <c r="R85" s="246"/>
      <c r="S85" s="246"/>
      <c r="T85" s="246"/>
      <c r="U85" s="246"/>
      <c r="V85" s="244"/>
      <c r="W85" s="255"/>
      <c r="X85" s="212"/>
      <c r="Y85" s="212"/>
      <c r="Z85" s="212"/>
      <c r="AA85" s="212"/>
      <c r="AB85" s="212"/>
      <c r="AC85" s="246"/>
      <c r="AD85" s="246"/>
      <c r="AE85" s="246"/>
      <c r="AF85" s="246"/>
      <c r="AG85" s="246"/>
      <c r="AH85" s="246"/>
      <c r="AI85" s="246"/>
      <c r="AJ85" s="246"/>
      <c r="AK85" s="246"/>
      <c r="AL85" s="246"/>
      <c r="AM85" s="246"/>
      <c r="AN85" s="246"/>
      <c r="AO85" s="246"/>
      <c r="AP85" s="247"/>
      <c r="AQ85" s="246"/>
    </row>
    <row r="86" spans="1:52" ht="18" customHeight="1" outlineLevel="1" x14ac:dyDescent="0.15">
      <c r="A86" s="448" t="s">
        <v>324</v>
      </c>
      <c r="B86" s="478">
        <f>B87+B106+B107</f>
        <v>80843</v>
      </c>
      <c r="C86" s="480"/>
      <c r="D86" s="480"/>
      <c r="E86" s="484"/>
      <c r="F86" s="244"/>
      <c r="G86" s="737">
        <f>B86/B114</f>
        <v>0.26719999999999999</v>
      </c>
      <c r="H86" s="760">
        <f>B86/规划指标!$G$24*10000</f>
        <v>4118.78</v>
      </c>
      <c r="I86" s="212"/>
      <c r="J86" s="212"/>
      <c r="K86" s="212"/>
      <c r="L86" s="212"/>
      <c r="M86" s="246"/>
      <c r="N86" s="246"/>
      <c r="O86" s="246"/>
      <c r="P86" s="246"/>
      <c r="Q86" s="246"/>
      <c r="R86" s="246"/>
      <c r="S86" s="246"/>
      <c r="T86" s="246"/>
      <c r="U86" s="246"/>
      <c r="V86" s="244"/>
      <c r="W86" s="245"/>
      <c r="X86" s="212"/>
      <c r="Y86" s="212"/>
      <c r="Z86" s="212"/>
      <c r="AA86" s="212"/>
      <c r="AB86" s="212"/>
      <c r="AC86" s="246"/>
      <c r="AD86" s="246"/>
      <c r="AE86" s="246"/>
      <c r="AF86" s="246"/>
      <c r="AG86" s="246"/>
      <c r="AH86" s="246"/>
      <c r="AI86" s="246"/>
      <c r="AJ86" s="246"/>
      <c r="AK86" s="246"/>
      <c r="AL86" s="246"/>
      <c r="AM86" s="246"/>
      <c r="AN86" s="246"/>
      <c r="AO86" s="246"/>
      <c r="AP86" s="247"/>
      <c r="AQ86" s="246"/>
      <c r="AR86" s="246"/>
      <c r="AS86" s="246"/>
      <c r="AT86" s="246"/>
      <c r="AU86" s="246"/>
      <c r="AV86" s="246"/>
      <c r="AW86" s="246"/>
      <c r="AX86" s="246"/>
      <c r="AY86" s="246"/>
      <c r="AZ86" s="246"/>
    </row>
    <row r="87" spans="1:52" ht="18" customHeight="1" outlineLevel="1" x14ac:dyDescent="0.15">
      <c r="A87" s="454" t="s">
        <v>445</v>
      </c>
      <c r="B87" s="467">
        <f>SUM(B88:B105)</f>
        <v>75008</v>
      </c>
      <c r="C87" s="481">
        <f>SUM(C88:C105)</f>
        <v>196279</v>
      </c>
      <c r="D87" s="470">
        <f>ROUND(B87*10000/C87,0)</f>
        <v>3821</v>
      </c>
      <c r="E87" s="474"/>
      <c r="F87" s="244"/>
      <c r="G87" s="737">
        <f>B87/B114</f>
        <v>0.24788412157584599</v>
      </c>
      <c r="H87" s="760">
        <f>B87/规划指标!$G$24*10000</f>
        <v>3821.5</v>
      </c>
      <c r="I87" s="212"/>
      <c r="J87" s="212"/>
      <c r="K87" s="212"/>
      <c r="L87" s="212"/>
      <c r="M87" s="246"/>
      <c r="N87" s="246"/>
      <c r="O87" s="246"/>
      <c r="P87" s="246"/>
      <c r="Q87" s="246"/>
      <c r="R87" s="246"/>
      <c r="S87" s="246"/>
      <c r="T87" s="246"/>
      <c r="U87" s="246"/>
      <c r="V87" s="244"/>
      <c r="W87" s="245"/>
      <c r="X87" s="212"/>
      <c r="Y87" s="212"/>
      <c r="Z87" s="212"/>
      <c r="AA87" s="212"/>
      <c r="AB87" s="212"/>
      <c r="AC87" s="246"/>
      <c r="AD87" s="246"/>
      <c r="AE87" s="246"/>
      <c r="AF87" s="246"/>
      <c r="AG87" s="246"/>
      <c r="AH87" s="246"/>
      <c r="AI87" s="246"/>
      <c r="AJ87" s="246"/>
      <c r="AK87" s="246"/>
      <c r="AL87" s="246"/>
      <c r="AM87" s="246"/>
      <c r="AN87" s="246"/>
      <c r="AO87" s="246"/>
      <c r="AP87" s="247"/>
      <c r="AQ87" s="246"/>
      <c r="AR87" s="246"/>
      <c r="AS87" s="246"/>
      <c r="AT87" s="246"/>
      <c r="AU87" s="246"/>
      <c r="AV87" s="246"/>
      <c r="AW87" s="246"/>
      <c r="AX87" s="246"/>
      <c r="AY87" s="246"/>
      <c r="AZ87" s="246"/>
    </row>
    <row r="88" spans="1:52" ht="18" customHeight="1" outlineLevel="2" x14ac:dyDescent="0.15">
      <c r="A88" s="477" t="str">
        <f>A45</f>
        <v>小高层</v>
      </c>
      <c r="B88" s="479">
        <f t="shared" ref="B88:B107" si="32">ROUND(C88*D88/10000,0)</f>
        <v>25960</v>
      </c>
      <c r="C88" s="482">
        <f>规划指标!G4</f>
        <v>57688</v>
      </c>
      <c r="D88" s="483">
        <v>4500</v>
      </c>
      <c r="E88" s="485" t="s">
        <v>440</v>
      </c>
      <c r="F88" s="246"/>
      <c r="G88" s="245"/>
      <c r="H88" s="212"/>
      <c r="I88" s="212"/>
      <c r="J88" s="212"/>
      <c r="K88" s="212"/>
      <c r="L88" s="212"/>
      <c r="M88" s="246"/>
      <c r="N88" s="246"/>
      <c r="O88" s="246"/>
      <c r="P88" s="246"/>
      <c r="Q88" s="246"/>
      <c r="R88" s="246"/>
      <c r="S88" s="246"/>
      <c r="T88" s="246"/>
      <c r="U88" s="246"/>
      <c r="V88" s="246"/>
      <c r="W88" s="245"/>
      <c r="X88" s="212"/>
      <c r="Y88" s="212"/>
      <c r="Z88" s="212"/>
      <c r="AA88" s="212"/>
      <c r="AB88" s="212"/>
      <c r="AC88" s="246"/>
      <c r="AD88" s="246"/>
      <c r="AE88" s="246"/>
      <c r="AF88" s="246"/>
      <c r="AG88" s="246"/>
      <c r="AH88" s="246"/>
      <c r="AI88" s="246"/>
      <c r="AJ88" s="246"/>
      <c r="AK88" s="246"/>
      <c r="AL88" s="246"/>
      <c r="AM88" s="246"/>
      <c r="AN88" s="246"/>
      <c r="AO88" s="246"/>
      <c r="AP88" s="247"/>
      <c r="AQ88" s="246"/>
    </row>
    <row r="89" spans="1:52" ht="18" customHeight="1" outlineLevel="2" x14ac:dyDescent="0.15">
      <c r="A89" s="477" t="str">
        <f t="shared" ref="A89:A105" si="33">A46</f>
        <v>洋房</v>
      </c>
      <c r="B89" s="479">
        <f t="shared" si="32"/>
        <v>24767</v>
      </c>
      <c r="C89" s="482">
        <f>规划指标!G5</f>
        <v>55037</v>
      </c>
      <c r="D89" s="483">
        <v>4500</v>
      </c>
      <c r="E89" s="485" t="s">
        <v>440</v>
      </c>
      <c r="F89" s="246"/>
      <c r="G89" s="245"/>
      <c r="H89" s="212"/>
      <c r="I89" s="212"/>
      <c r="J89" s="212"/>
      <c r="K89" s="212"/>
      <c r="L89" s="212"/>
      <c r="M89" s="246"/>
      <c r="N89" s="246"/>
      <c r="O89" s="246"/>
      <c r="P89" s="246"/>
      <c r="Q89" s="246"/>
      <c r="R89" s="246"/>
      <c r="S89" s="246"/>
      <c r="T89" s="246"/>
      <c r="U89" s="246"/>
      <c r="V89" s="246"/>
      <c r="W89" s="245"/>
      <c r="X89" s="212"/>
      <c r="Y89" s="212"/>
      <c r="Z89" s="212"/>
      <c r="AA89" s="212"/>
      <c r="AB89" s="212"/>
      <c r="AC89" s="246"/>
      <c r="AD89" s="246"/>
      <c r="AE89" s="246"/>
      <c r="AF89" s="246"/>
      <c r="AG89" s="246"/>
      <c r="AH89" s="246"/>
      <c r="AI89" s="246"/>
      <c r="AJ89" s="246"/>
      <c r="AK89" s="246"/>
      <c r="AL89" s="246"/>
      <c r="AM89" s="246"/>
      <c r="AN89" s="246"/>
      <c r="AO89" s="246"/>
      <c r="AP89" s="247"/>
      <c r="AQ89" s="246"/>
    </row>
    <row r="90" spans="1:52" ht="18" customHeight="1" outlineLevel="2" x14ac:dyDescent="0.15">
      <c r="A90" s="477" t="str">
        <f t="shared" si="33"/>
        <v>商业</v>
      </c>
      <c r="B90" s="479">
        <f t="shared" si="32"/>
        <v>726</v>
      </c>
      <c r="C90" s="482">
        <f>规划指标!G6</f>
        <v>2075</v>
      </c>
      <c r="D90" s="483">
        <v>3500</v>
      </c>
      <c r="E90" s="485"/>
      <c r="F90" s="246"/>
      <c r="G90" s="245"/>
      <c r="H90" s="212"/>
      <c r="I90" s="212"/>
      <c r="J90" s="212"/>
      <c r="K90" s="212"/>
      <c r="L90" s="212"/>
      <c r="M90" s="246"/>
      <c r="N90" s="246"/>
      <c r="O90" s="246"/>
      <c r="P90" s="246"/>
      <c r="Q90" s="246"/>
      <c r="R90" s="246"/>
      <c r="S90" s="246"/>
      <c r="T90" s="246"/>
      <c r="U90" s="246"/>
      <c r="V90" s="246"/>
      <c r="W90" s="245"/>
      <c r="X90" s="212"/>
      <c r="Y90" s="212"/>
      <c r="Z90" s="212"/>
      <c r="AA90" s="212"/>
      <c r="AB90" s="212"/>
      <c r="AC90" s="246"/>
      <c r="AD90" s="246"/>
      <c r="AE90" s="246"/>
      <c r="AF90" s="246"/>
      <c r="AG90" s="246"/>
      <c r="AH90" s="246"/>
      <c r="AI90" s="246"/>
      <c r="AJ90" s="246"/>
      <c r="AK90" s="246"/>
      <c r="AL90" s="246"/>
      <c r="AM90" s="246"/>
      <c r="AN90" s="246"/>
      <c r="AO90" s="246"/>
      <c r="AP90" s="247"/>
      <c r="AQ90" s="246"/>
    </row>
    <row r="91" spans="1:52" ht="18" customHeight="1" outlineLevel="2" x14ac:dyDescent="0.15">
      <c r="A91" s="477" t="str">
        <f t="shared" si="33"/>
        <v>居服配套</v>
      </c>
      <c r="B91" s="479">
        <f t="shared" si="32"/>
        <v>666</v>
      </c>
      <c r="C91" s="482">
        <f>规划指标!G7</f>
        <v>1903</v>
      </c>
      <c r="D91" s="483">
        <v>3500</v>
      </c>
      <c r="E91" s="485"/>
      <c r="F91" s="246"/>
      <c r="G91" s="245"/>
      <c r="H91" s="212"/>
      <c r="I91" s="212"/>
      <c r="J91" s="212"/>
      <c r="K91" s="212"/>
      <c r="L91" s="212"/>
      <c r="M91" s="246"/>
      <c r="N91" s="246"/>
      <c r="O91" s="246"/>
      <c r="P91" s="246"/>
      <c r="Q91" s="246"/>
      <c r="R91" s="246"/>
      <c r="S91" s="246"/>
      <c r="T91" s="246"/>
      <c r="U91" s="246"/>
      <c r="V91" s="246"/>
      <c r="W91" s="245"/>
      <c r="X91" s="212"/>
      <c r="Y91" s="212"/>
      <c r="Z91" s="212"/>
      <c r="AA91" s="212"/>
      <c r="AB91" s="212"/>
      <c r="AC91" s="246"/>
      <c r="AD91" s="246"/>
      <c r="AE91" s="246"/>
      <c r="AF91" s="246"/>
      <c r="AG91" s="246"/>
      <c r="AH91" s="246"/>
      <c r="AI91" s="246"/>
      <c r="AJ91" s="246"/>
      <c r="AK91" s="246"/>
      <c r="AL91" s="246"/>
      <c r="AM91" s="246"/>
      <c r="AN91" s="246"/>
      <c r="AO91" s="246"/>
      <c r="AP91" s="247"/>
      <c r="AQ91" s="246"/>
    </row>
    <row r="92" spans="1:52" ht="18" hidden="1" customHeight="1" outlineLevel="2" x14ac:dyDescent="0.15">
      <c r="A92" s="477">
        <f t="shared" si="33"/>
        <v>0</v>
      </c>
      <c r="B92" s="479">
        <f t="shared" si="32"/>
        <v>0</v>
      </c>
      <c r="C92" s="482">
        <f>规划指标!G8</f>
        <v>0</v>
      </c>
      <c r="D92" s="483"/>
      <c r="E92" s="485"/>
      <c r="F92" s="246"/>
      <c r="G92" s="245"/>
      <c r="H92" s="212"/>
      <c r="I92" s="212"/>
      <c r="J92" s="212"/>
      <c r="K92" s="212"/>
      <c r="L92" s="212"/>
      <c r="M92" s="246"/>
      <c r="N92" s="246"/>
      <c r="O92" s="246"/>
      <c r="P92" s="246"/>
      <c r="Q92" s="246"/>
      <c r="R92" s="246"/>
      <c r="S92" s="246"/>
      <c r="T92" s="246"/>
      <c r="U92" s="246"/>
      <c r="V92" s="246"/>
      <c r="W92" s="245"/>
      <c r="X92" s="212"/>
      <c r="Y92" s="212"/>
      <c r="Z92" s="212"/>
      <c r="AA92" s="212"/>
      <c r="AB92" s="212"/>
      <c r="AC92" s="246"/>
      <c r="AD92" s="246"/>
      <c r="AE92" s="246"/>
      <c r="AF92" s="246"/>
      <c r="AG92" s="246"/>
      <c r="AH92" s="246"/>
      <c r="AI92" s="246"/>
      <c r="AJ92" s="246"/>
      <c r="AK92" s="246"/>
      <c r="AL92" s="246"/>
      <c r="AM92" s="246"/>
      <c r="AN92" s="246"/>
      <c r="AO92" s="246"/>
      <c r="AP92" s="247"/>
      <c r="AQ92" s="246"/>
    </row>
    <row r="93" spans="1:52" ht="18" hidden="1" customHeight="1" outlineLevel="2" x14ac:dyDescent="0.15">
      <c r="A93" s="477">
        <f t="shared" si="33"/>
        <v>0</v>
      </c>
      <c r="B93" s="479">
        <f t="shared" si="32"/>
        <v>0</v>
      </c>
      <c r="C93" s="482">
        <f>规划指标!G9</f>
        <v>0</v>
      </c>
      <c r="D93" s="483"/>
      <c r="E93" s="485"/>
      <c r="F93" s="246"/>
      <c r="G93" s="248"/>
      <c r="H93" s="212"/>
      <c r="I93" s="212"/>
      <c r="J93" s="212"/>
      <c r="K93" s="212"/>
      <c r="L93" s="212"/>
      <c r="M93" s="246"/>
      <c r="N93" s="246"/>
      <c r="O93" s="246"/>
      <c r="P93" s="246"/>
      <c r="Q93" s="246"/>
      <c r="R93" s="246"/>
      <c r="S93" s="246"/>
      <c r="T93" s="246"/>
      <c r="U93" s="246"/>
      <c r="V93" s="246"/>
      <c r="W93" s="248"/>
      <c r="X93" s="212"/>
      <c r="Y93" s="212"/>
      <c r="Z93" s="212"/>
      <c r="AA93" s="212"/>
      <c r="AB93" s="212"/>
      <c r="AC93" s="246"/>
      <c r="AD93" s="246"/>
      <c r="AE93" s="246"/>
      <c r="AF93" s="246"/>
      <c r="AG93" s="246"/>
      <c r="AH93" s="246"/>
      <c r="AI93" s="246"/>
      <c r="AJ93" s="246"/>
      <c r="AK93" s="246"/>
      <c r="AL93" s="246"/>
      <c r="AM93" s="246"/>
      <c r="AN93" s="246"/>
      <c r="AO93" s="246"/>
      <c r="AP93" s="247"/>
      <c r="AQ93" s="246"/>
    </row>
    <row r="94" spans="1:52" ht="18" hidden="1" customHeight="1" outlineLevel="2" x14ac:dyDescent="0.15">
      <c r="A94" s="477">
        <f t="shared" si="33"/>
        <v>0</v>
      </c>
      <c r="B94" s="479">
        <f t="shared" si="32"/>
        <v>0</v>
      </c>
      <c r="C94" s="482">
        <f>规划指标!G10</f>
        <v>0</v>
      </c>
      <c r="D94" s="483"/>
      <c r="E94" s="485"/>
      <c r="F94" s="246"/>
      <c r="G94" s="245"/>
      <c r="H94" s="212"/>
      <c r="I94" s="212"/>
      <c r="J94" s="212"/>
      <c r="K94" s="212"/>
      <c r="L94" s="212"/>
      <c r="M94" s="246"/>
      <c r="N94" s="246"/>
      <c r="O94" s="246"/>
      <c r="P94" s="246"/>
      <c r="Q94" s="246"/>
      <c r="R94" s="246"/>
      <c r="S94" s="246"/>
      <c r="T94" s="246"/>
      <c r="U94" s="246"/>
      <c r="V94" s="246"/>
      <c r="W94" s="245"/>
      <c r="X94" s="212"/>
      <c r="Y94" s="212"/>
      <c r="Z94" s="212"/>
      <c r="AA94" s="212"/>
      <c r="AB94" s="212"/>
      <c r="AC94" s="246"/>
      <c r="AD94" s="246"/>
      <c r="AE94" s="246"/>
      <c r="AF94" s="246"/>
      <c r="AG94" s="246"/>
      <c r="AH94" s="246"/>
      <c r="AI94" s="246"/>
      <c r="AJ94" s="246"/>
      <c r="AK94" s="246"/>
      <c r="AL94" s="246"/>
      <c r="AM94" s="246"/>
      <c r="AN94" s="246"/>
      <c r="AO94" s="246"/>
      <c r="AP94" s="247"/>
      <c r="AQ94" s="246"/>
    </row>
    <row r="95" spans="1:52" ht="18" hidden="1" customHeight="1" outlineLevel="2" x14ac:dyDescent="0.15">
      <c r="A95" s="477">
        <f t="shared" si="33"/>
        <v>0</v>
      </c>
      <c r="B95" s="479">
        <f t="shared" si="32"/>
        <v>0</v>
      </c>
      <c r="C95" s="482">
        <f>规划指标!G11</f>
        <v>0</v>
      </c>
      <c r="D95" s="483"/>
      <c r="E95" s="485"/>
      <c r="F95" s="246"/>
      <c r="G95" s="245"/>
      <c r="H95" s="212"/>
      <c r="I95" s="212"/>
      <c r="J95" s="212"/>
      <c r="K95" s="212"/>
      <c r="L95" s="212"/>
      <c r="M95" s="246"/>
      <c r="N95" s="246"/>
      <c r="O95" s="246"/>
      <c r="P95" s="246"/>
      <c r="Q95" s="246"/>
      <c r="R95" s="246"/>
      <c r="S95" s="246"/>
      <c r="T95" s="246"/>
      <c r="U95" s="246"/>
      <c r="V95" s="246"/>
      <c r="W95" s="245"/>
      <c r="X95" s="212"/>
      <c r="Y95" s="212"/>
      <c r="Z95" s="212"/>
      <c r="AA95" s="212"/>
      <c r="AB95" s="212"/>
      <c r="AC95" s="246"/>
      <c r="AD95" s="246"/>
      <c r="AE95" s="246"/>
      <c r="AF95" s="246"/>
      <c r="AG95" s="246"/>
      <c r="AH95" s="246"/>
      <c r="AI95" s="246"/>
      <c r="AJ95" s="246"/>
      <c r="AK95" s="246"/>
      <c r="AL95" s="246"/>
      <c r="AM95" s="246"/>
      <c r="AN95" s="246"/>
      <c r="AO95" s="246"/>
      <c r="AP95" s="247"/>
      <c r="AQ95" s="246"/>
    </row>
    <row r="96" spans="1:52" ht="18" hidden="1" customHeight="1" outlineLevel="2" x14ac:dyDescent="0.15">
      <c r="A96" s="477">
        <f t="shared" si="33"/>
        <v>0</v>
      </c>
      <c r="B96" s="479">
        <f t="shared" si="32"/>
        <v>0</v>
      </c>
      <c r="C96" s="482">
        <f>规划指标!G12</f>
        <v>0</v>
      </c>
      <c r="D96" s="483"/>
      <c r="E96" s="485"/>
      <c r="F96" s="246"/>
      <c r="G96" s="245"/>
      <c r="H96" s="212"/>
      <c r="I96" s="212"/>
      <c r="J96" s="212"/>
      <c r="K96" s="212"/>
      <c r="L96" s="212"/>
      <c r="M96" s="246"/>
      <c r="N96" s="246"/>
      <c r="O96" s="246"/>
      <c r="P96" s="246"/>
      <c r="Q96" s="246"/>
      <c r="R96" s="246"/>
      <c r="S96" s="246"/>
      <c r="T96" s="246"/>
      <c r="U96" s="246"/>
      <c r="V96" s="246"/>
      <c r="W96" s="245"/>
      <c r="X96" s="212"/>
      <c r="Y96" s="212"/>
      <c r="Z96" s="212"/>
      <c r="AA96" s="212"/>
      <c r="AB96" s="212"/>
      <c r="AC96" s="246"/>
      <c r="AD96" s="246"/>
      <c r="AE96" s="246"/>
      <c r="AF96" s="246"/>
      <c r="AG96" s="246"/>
      <c r="AH96" s="246"/>
      <c r="AI96" s="246"/>
      <c r="AJ96" s="246"/>
      <c r="AK96" s="246"/>
      <c r="AL96" s="246"/>
      <c r="AM96" s="246"/>
      <c r="AN96" s="246"/>
      <c r="AO96" s="246"/>
      <c r="AP96" s="247"/>
      <c r="AQ96" s="246"/>
    </row>
    <row r="97" spans="1:44" ht="18" hidden="1" customHeight="1" outlineLevel="2" x14ac:dyDescent="0.15">
      <c r="A97" s="477">
        <f t="shared" si="33"/>
        <v>0</v>
      </c>
      <c r="B97" s="479">
        <f t="shared" si="32"/>
        <v>0</v>
      </c>
      <c r="C97" s="482">
        <f>规划指标!G13</f>
        <v>0</v>
      </c>
      <c r="D97" s="483"/>
      <c r="E97" s="485"/>
      <c r="F97" s="246"/>
      <c r="G97" s="245"/>
      <c r="H97" s="212"/>
      <c r="I97" s="212"/>
      <c r="J97" s="212"/>
      <c r="K97" s="212"/>
      <c r="L97" s="212"/>
      <c r="M97" s="246"/>
      <c r="N97" s="246"/>
      <c r="O97" s="246"/>
      <c r="P97" s="246"/>
      <c r="Q97" s="246"/>
      <c r="R97" s="246"/>
      <c r="S97" s="246"/>
      <c r="T97" s="246"/>
      <c r="U97" s="246"/>
      <c r="V97" s="246"/>
      <c r="W97" s="245"/>
      <c r="X97" s="212"/>
      <c r="Y97" s="212"/>
      <c r="Z97" s="212"/>
      <c r="AA97" s="212"/>
      <c r="AB97" s="212"/>
      <c r="AC97" s="246"/>
      <c r="AD97" s="246"/>
      <c r="AE97" s="246"/>
      <c r="AF97" s="246"/>
      <c r="AG97" s="246"/>
      <c r="AH97" s="246"/>
      <c r="AI97" s="246"/>
      <c r="AJ97" s="246"/>
      <c r="AK97" s="246"/>
      <c r="AL97" s="246"/>
      <c r="AM97" s="246"/>
      <c r="AN97" s="246"/>
      <c r="AO97" s="246"/>
      <c r="AP97" s="247"/>
      <c r="AQ97" s="246"/>
    </row>
    <row r="98" spans="1:44" ht="18" hidden="1" customHeight="1" outlineLevel="2" x14ac:dyDescent="0.15">
      <c r="A98" s="477">
        <f t="shared" si="33"/>
        <v>0</v>
      </c>
      <c r="B98" s="479">
        <f t="shared" si="32"/>
        <v>0</v>
      </c>
      <c r="C98" s="482">
        <f>规划指标!G14</f>
        <v>0</v>
      </c>
      <c r="D98" s="483"/>
      <c r="E98" s="485"/>
      <c r="F98" s="246"/>
      <c r="G98" s="245"/>
      <c r="H98" s="212"/>
      <c r="I98" s="212"/>
      <c r="J98" s="212"/>
      <c r="K98" s="212"/>
      <c r="L98" s="212"/>
      <c r="M98" s="246"/>
      <c r="N98" s="246"/>
      <c r="O98" s="246"/>
      <c r="P98" s="246"/>
      <c r="Q98" s="246"/>
      <c r="R98" s="246"/>
      <c r="S98" s="246"/>
      <c r="T98" s="246"/>
      <c r="U98" s="246"/>
      <c r="V98" s="246"/>
      <c r="W98" s="245"/>
      <c r="X98" s="212"/>
      <c r="Y98" s="212"/>
      <c r="Z98" s="212"/>
      <c r="AA98" s="212"/>
      <c r="AB98" s="212"/>
      <c r="AC98" s="246"/>
      <c r="AD98" s="246"/>
      <c r="AE98" s="246"/>
      <c r="AF98" s="246"/>
      <c r="AG98" s="246"/>
      <c r="AH98" s="246"/>
      <c r="AI98" s="246"/>
      <c r="AJ98" s="246"/>
      <c r="AK98" s="246"/>
      <c r="AL98" s="246"/>
      <c r="AM98" s="246"/>
      <c r="AN98" s="246"/>
      <c r="AO98" s="246"/>
      <c r="AP98" s="247"/>
      <c r="AQ98" s="246"/>
    </row>
    <row r="99" spans="1:44" ht="18" hidden="1" customHeight="1" outlineLevel="2" x14ac:dyDescent="0.15">
      <c r="A99" s="477">
        <f t="shared" si="33"/>
        <v>0</v>
      </c>
      <c r="B99" s="479">
        <f t="shared" si="32"/>
        <v>0</v>
      </c>
      <c r="C99" s="482">
        <f>规划指标!G15</f>
        <v>0</v>
      </c>
      <c r="D99" s="483"/>
      <c r="E99" s="485"/>
      <c r="F99" s="246"/>
      <c r="G99" s="245"/>
      <c r="H99" s="212"/>
      <c r="I99" s="212"/>
      <c r="J99" s="212"/>
      <c r="K99" s="212"/>
      <c r="L99" s="212"/>
      <c r="M99" s="246"/>
      <c r="N99" s="246"/>
      <c r="O99" s="246"/>
      <c r="P99" s="246"/>
      <c r="Q99" s="246"/>
      <c r="R99" s="246"/>
      <c r="S99" s="246"/>
      <c r="T99" s="246"/>
      <c r="U99" s="246"/>
      <c r="V99" s="246"/>
      <c r="W99" s="245"/>
      <c r="X99" s="212"/>
      <c r="Y99" s="212"/>
      <c r="Z99" s="212"/>
      <c r="AA99" s="212"/>
      <c r="AB99" s="212"/>
      <c r="AC99" s="246"/>
      <c r="AD99" s="246"/>
      <c r="AE99" s="246"/>
      <c r="AF99" s="246"/>
      <c r="AG99" s="246"/>
      <c r="AH99" s="246"/>
      <c r="AI99" s="246"/>
      <c r="AJ99" s="246"/>
      <c r="AK99" s="246"/>
      <c r="AL99" s="246"/>
      <c r="AM99" s="246"/>
      <c r="AN99" s="246"/>
      <c r="AO99" s="246"/>
      <c r="AP99" s="247"/>
      <c r="AQ99" s="246"/>
    </row>
    <row r="100" spans="1:44" ht="18" hidden="1" customHeight="1" outlineLevel="2" x14ac:dyDescent="0.15">
      <c r="A100" s="477">
        <f t="shared" si="33"/>
        <v>0</v>
      </c>
      <c r="B100" s="479">
        <f t="shared" si="32"/>
        <v>0</v>
      </c>
      <c r="C100" s="482">
        <f>规划指标!G16</f>
        <v>0</v>
      </c>
      <c r="D100" s="483"/>
      <c r="E100" s="485"/>
      <c r="F100" s="246"/>
      <c r="G100" s="245"/>
      <c r="H100" s="212"/>
      <c r="I100" s="212"/>
      <c r="J100" s="212"/>
      <c r="K100" s="212"/>
      <c r="L100" s="212"/>
      <c r="M100" s="246"/>
      <c r="N100" s="246"/>
      <c r="O100" s="246"/>
      <c r="P100" s="246"/>
      <c r="Q100" s="246"/>
      <c r="R100" s="246"/>
      <c r="S100" s="246"/>
      <c r="T100" s="246"/>
      <c r="U100" s="246"/>
      <c r="V100" s="246"/>
      <c r="W100" s="245"/>
      <c r="X100" s="212"/>
      <c r="Y100" s="212"/>
      <c r="Z100" s="212"/>
      <c r="AA100" s="212"/>
      <c r="AB100" s="212"/>
      <c r="AC100" s="246"/>
      <c r="AD100" s="246"/>
      <c r="AE100" s="246"/>
      <c r="AF100" s="246"/>
      <c r="AG100" s="246"/>
      <c r="AH100" s="246"/>
      <c r="AI100" s="246"/>
      <c r="AJ100" s="246"/>
      <c r="AK100" s="246"/>
      <c r="AL100" s="246"/>
      <c r="AM100" s="246"/>
      <c r="AN100" s="246"/>
      <c r="AO100" s="246"/>
      <c r="AP100" s="247"/>
      <c r="AQ100" s="246"/>
    </row>
    <row r="101" spans="1:44" ht="18" hidden="1" customHeight="1" outlineLevel="2" x14ac:dyDescent="0.15">
      <c r="A101" s="477">
        <f t="shared" si="33"/>
        <v>0</v>
      </c>
      <c r="B101" s="479">
        <f t="shared" si="32"/>
        <v>0</v>
      </c>
      <c r="C101" s="482">
        <f>规划指标!G17</f>
        <v>0</v>
      </c>
      <c r="D101" s="483"/>
      <c r="E101" s="485"/>
      <c r="F101" s="246"/>
      <c r="G101" s="245"/>
      <c r="H101" s="212"/>
      <c r="I101" s="212"/>
      <c r="J101" s="212"/>
      <c r="K101" s="212"/>
      <c r="L101" s="212"/>
      <c r="M101" s="246"/>
      <c r="N101" s="246"/>
      <c r="O101" s="246"/>
      <c r="P101" s="246"/>
      <c r="Q101" s="246"/>
      <c r="R101" s="246"/>
      <c r="S101" s="246"/>
      <c r="T101" s="246"/>
      <c r="U101" s="246"/>
      <c r="V101" s="246"/>
      <c r="W101" s="245"/>
      <c r="X101" s="212"/>
      <c r="Y101" s="212"/>
      <c r="Z101" s="212"/>
      <c r="AA101" s="212"/>
      <c r="AB101" s="212"/>
      <c r="AC101" s="246"/>
      <c r="AD101" s="246"/>
      <c r="AE101" s="246"/>
      <c r="AF101" s="246"/>
      <c r="AG101" s="246"/>
      <c r="AH101" s="246"/>
      <c r="AI101" s="246"/>
      <c r="AJ101" s="246"/>
      <c r="AK101" s="246"/>
      <c r="AL101" s="246"/>
      <c r="AM101" s="246"/>
      <c r="AN101" s="246"/>
      <c r="AO101" s="246"/>
      <c r="AP101" s="247"/>
      <c r="AQ101" s="246"/>
    </row>
    <row r="102" spans="1:44" ht="18" hidden="1" customHeight="1" outlineLevel="2" x14ac:dyDescent="0.15">
      <c r="A102" s="477">
        <f t="shared" si="33"/>
        <v>0</v>
      </c>
      <c r="B102" s="479">
        <f t="shared" si="32"/>
        <v>0</v>
      </c>
      <c r="C102" s="482">
        <f>规划指标!G18</f>
        <v>0</v>
      </c>
      <c r="D102" s="483"/>
      <c r="E102" s="485"/>
      <c r="F102" s="246"/>
      <c r="G102" s="245"/>
      <c r="H102" s="212"/>
      <c r="I102" s="212"/>
      <c r="J102" s="212"/>
      <c r="K102" s="212"/>
      <c r="L102" s="212"/>
      <c r="M102" s="246"/>
      <c r="N102" s="246"/>
      <c r="O102" s="246"/>
      <c r="P102" s="246"/>
      <c r="Q102" s="246"/>
      <c r="R102" s="246"/>
      <c r="S102" s="246"/>
      <c r="T102" s="246"/>
      <c r="U102" s="246"/>
      <c r="V102" s="246"/>
      <c r="W102" s="245"/>
      <c r="X102" s="212"/>
      <c r="Y102" s="212"/>
      <c r="Z102" s="212"/>
      <c r="AA102" s="212"/>
      <c r="AB102" s="212"/>
      <c r="AC102" s="246"/>
      <c r="AD102" s="246"/>
      <c r="AE102" s="246"/>
      <c r="AF102" s="246"/>
      <c r="AG102" s="246"/>
      <c r="AH102" s="246"/>
      <c r="AI102" s="246"/>
      <c r="AJ102" s="246"/>
      <c r="AK102" s="246"/>
      <c r="AL102" s="246"/>
      <c r="AM102" s="246"/>
      <c r="AN102" s="246"/>
      <c r="AO102" s="246"/>
      <c r="AP102" s="247"/>
      <c r="AQ102" s="246"/>
    </row>
    <row r="103" spans="1:44" ht="18" customHeight="1" outlineLevel="2" x14ac:dyDescent="0.15">
      <c r="A103" s="477" t="str">
        <f t="shared" si="33"/>
        <v>储藏室</v>
      </c>
      <c r="B103" s="479">
        <f t="shared" si="32"/>
        <v>6137</v>
      </c>
      <c r="C103" s="482">
        <f>规划指标!G20</f>
        <v>20455</v>
      </c>
      <c r="D103" s="483">
        <v>3000</v>
      </c>
      <c r="E103" s="485"/>
      <c r="F103" s="246"/>
      <c r="G103" s="245"/>
      <c r="H103" s="212"/>
      <c r="I103" s="212"/>
      <c r="J103" s="212"/>
      <c r="K103" s="212"/>
      <c r="L103" s="212"/>
      <c r="M103" s="246"/>
      <c r="N103" s="246"/>
      <c r="O103" s="246"/>
      <c r="P103" s="246"/>
      <c r="Q103" s="246"/>
      <c r="R103" s="246"/>
      <c r="S103" s="246"/>
      <c r="T103" s="246"/>
      <c r="U103" s="246"/>
      <c r="V103" s="246"/>
      <c r="W103" s="245"/>
      <c r="X103" s="212"/>
      <c r="Y103" s="212"/>
      <c r="Z103" s="212"/>
      <c r="AA103" s="212"/>
      <c r="AB103" s="212"/>
      <c r="AC103" s="246"/>
      <c r="AD103" s="246"/>
      <c r="AE103" s="246"/>
      <c r="AF103" s="246"/>
      <c r="AG103" s="246"/>
      <c r="AH103" s="246"/>
      <c r="AI103" s="246"/>
      <c r="AJ103" s="246"/>
      <c r="AK103" s="246"/>
      <c r="AL103" s="246"/>
      <c r="AM103" s="246"/>
      <c r="AN103" s="246"/>
      <c r="AO103" s="246"/>
      <c r="AP103" s="247"/>
      <c r="AQ103" s="246"/>
    </row>
    <row r="104" spans="1:44" ht="18" customHeight="1" outlineLevel="2" x14ac:dyDescent="0.15">
      <c r="A104" s="477" t="str">
        <f t="shared" si="33"/>
        <v>非人防地下车库</v>
      </c>
      <c r="B104" s="479">
        <f t="shared" si="32"/>
        <v>16752</v>
      </c>
      <c r="C104" s="482">
        <f>规划指标!G21</f>
        <v>55840</v>
      </c>
      <c r="D104" s="483">
        <v>3000</v>
      </c>
      <c r="E104" s="485"/>
      <c r="F104" s="246"/>
      <c r="G104" s="245"/>
      <c r="H104" s="212"/>
      <c r="I104" s="212"/>
      <c r="J104" s="212"/>
      <c r="K104" s="212"/>
      <c r="L104" s="212"/>
      <c r="M104" s="246"/>
      <c r="N104" s="246"/>
      <c r="O104" s="246"/>
      <c r="P104" s="246"/>
      <c r="Q104" s="246"/>
      <c r="R104" s="246"/>
      <c r="S104" s="246"/>
      <c r="T104" s="246"/>
      <c r="U104" s="246"/>
      <c r="V104" s="246"/>
      <c r="W104" s="245"/>
      <c r="X104" s="212"/>
      <c r="Y104" s="212"/>
      <c r="Z104" s="212"/>
      <c r="AA104" s="212"/>
      <c r="AB104" s="212"/>
      <c r="AC104" s="246"/>
      <c r="AD104" s="246"/>
      <c r="AE104" s="246"/>
      <c r="AF104" s="246"/>
      <c r="AG104" s="246"/>
      <c r="AH104" s="246"/>
      <c r="AI104" s="246"/>
      <c r="AJ104" s="246"/>
      <c r="AK104" s="246"/>
      <c r="AL104" s="246"/>
      <c r="AM104" s="246"/>
      <c r="AN104" s="246"/>
      <c r="AO104" s="246"/>
      <c r="AP104" s="247"/>
      <c r="AQ104" s="246"/>
    </row>
    <row r="105" spans="1:44" ht="18" customHeight="1" outlineLevel="2" x14ac:dyDescent="0.15">
      <c r="A105" s="477" t="str">
        <f t="shared" si="33"/>
        <v>自行车库</v>
      </c>
      <c r="B105" s="479">
        <f t="shared" si="32"/>
        <v>0</v>
      </c>
      <c r="C105" s="482">
        <f>规划指标!G22</f>
        <v>3281</v>
      </c>
      <c r="D105" s="483">
        <v>0</v>
      </c>
      <c r="E105" s="485"/>
      <c r="F105" s="246"/>
      <c r="G105" s="245"/>
      <c r="H105" s="212"/>
      <c r="I105" s="212"/>
      <c r="J105" s="212"/>
      <c r="K105" s="212"/>
      <c r="L105" s="212"/>
      <c r="M105" s="246"/>
      <c r="N105" s="246"/>
      <c r="O105" s="246"/>
      <c r="P105" s="246"/>
      <c r="Q105" s="246"/>
      <c r="R105" s="246"/>
      <c r="S105" s="246"/>
      <c r="T105" s="246"/>
      <c r="U105" s="246"/>
      <c r="V105" s="246"/>
      <c r="W105" s="245"/>
      <c r="X105" s="212"/>
      <c r="Y105" s="212"/>
      <c r="Z105" s="212"/>
      <c r="AA105" s="212"/>
      <c r="AB105" s="212"/>
      <c r="AC105" s="246"/>
      <c r="AD105" s="246"/>
      <c r="AE105" s="246"/>
      <c r="AF105" s="246"/>
      <c r="AG105" s="246"/>
      <c r="AH105" s="246"/>
      <c r="AI105" s="246"/>
      <c r="AJ105" s="246"/>
      <c r="AK105" s="246"/>
      <c r="AL105" s="246"/>
      <c r="AM105" s="246"/>
      <c r="AN105" s="246"/>
      <c r="AO105" s="246"/>
      <c r="AP105" s="247"/>
      <c r="AQ105" s="246"/>
    </row>
    <row r="106" spans="1:44" ht="18" customHeight="1" outlineLevel="1" x14ac:dyDescent="0.15">
      <c r="A106" s="454" t="s">
        <v>336</v>
      </c>
      <c r="B106" s="456">
        <f t="shared" si="32"/>
        <v>2334</v>
      </c>
      <c r="C106" s="486">
        <f>C77</f>
        <v>116703</v>
      </c>
      <c r="D106" s="463">
        <v>200</v>
      </c>
      <c r="E106" s="487"/>
      <c r="F106" s="246"/>
      <c r="G106" s="245"/>
      <c r="H106" s="212"/>
      <c r="I106" s="212"/>
      <c r="J106" s="212"/>
      <c r="K106" s="212"/>
      <c r="L106" s="212"/>
      <c r="M106" s="246"/>
      <c r="N106" s="246"/>
      <c r="O106" s="246"/>
      <c r="P106" s="246"/>
      <c r="Q106" s="246"/>
      <c r="R106" s="246"/>
      <c r="S106" s="246"/>
      <c r="T106" s="246"/>
      <c r="U106" s="246"/>
      <c r="V106" s="246"/>
      <c r="W106" s="245"/>
      <c r="X106" s="212"/>
      <c r="Y106" s="212"/>
      <c r="Z106" s="212"/>
      <c r="AA106" s="212"/>
      <c r="AB106" s="212"/>
      <c r="AC106" s="246"/>
      <c r="AD106" s="246"/>
      <c r="AE106" s="246"/>
      <c r="AF106" s="246"/>
      <c r="AG106" s="246"/>
      <c r="AH106" s="246"/>
      <c r="AI106" s="246"/>
      <c r="AJ106" s="246"/>
      <c r="AK106" s="246"/>
      <c r="AL106" s="246"/>
      <c r="AM106" s="246"/>
      <c r="AN106" s="246"/>
      <c r="AO106" s="246"/>
      <c r="AP106" s="247"/>
      <c r="AQ106" s="246"/>
    </row>
    <row r="107" spans="1:44" ht="18" customHeight="1" outlineLevel="1" x14ac:dyDescent="0.15">
      <c r="A107" s="449" t="s">
        <v>337</v>
      </c>
      <c r="B107" s="414">
        <f t="shared" si="32"/>
        <v>3501</v>
      </c>
      <c r="C107" s="488">
        <f>C77</f>
        <v>116703</v>
      </c>
      <c r="D107" s="489">
        <v>300</v>
      </c>
      <c r="E107" s="490"/>
      <c r="F107" s="246"/>
      <c r="G107" s="245"/>
      <c r="H107" s="212"/>
      <c r="I107" s="212"/>
      <c r="J107" s="212"/>
      <c r="K107" s="212"/>
      <c r="L107" s="212"/>
      <c r="M107" s="246"/>
      <c r="N107" s="246"/>
      <c r="O107" s="246"/>
      <c r="P107" s="246"/>
      <c r="Q107" s="246"/>
      <c r="R107" s="246"/>
      <c r="S107" s="246"/>
      <c r="T107" s="246"/>
      <c r="U107" s="246"/>
      <c r="V107" s="246"/>
      <c r="W107" s="245"/>
      <c r="X107" s="212"/>
      <c r="Y107" s="212"/>
      <c r="Z107" s="212"/>
      <c r="AA107" s="212"/>
      <c r="AB107" s="212"/>
      <c r="AC107" s="246"/>
      <c r="AD107" s="246"/>
      <c r="AE107" s="246"/>
      <c r="AF107" s="246"/>
      <c r="AG107" s="246"/>
      <c r="AH107" s="246"/>
      <c r="AI107" s="246"/>
      <c r="AJ107" s="246"/>
      <c r="AK107" s="246"/>
      <c r="AL107" s="246"/>
      <c r="AM107" s="246"/>
      <c r="AN107" s="246"/>
      <c r="AO107" s="246"/>
      <c r="AP107" s="247"/>
      <c r="AQ107" s="246"/>
    </row>
    <row r="108" spans="1:44" ht="18" customHeight="1" outlineLevel="1" x14ac:dyDescent="0.15">
      <c r="A108" s="441" t="s">
        <v>338</v>
      </c>
      <c r="B108" s="442">
        <f>ROUND(B86*C108,0)</f>
        <v>1617</v>
      </c>
      <c r="C108" s="445">
        <v>0.02</v>
      </c>
      <c r="D108" s="340"/>
      <c r="E108" s="444"/>
      <c r="F108" s="244"/>
      <c r="G108" s="737">
        <f>B108/$B$114</f>
        <v>5.3E-3</v>
      </c>
      <c r="H108" s="761">
        <f>B108/规划指标!$G$24*10000</f>
        <v>82.38</v>
      </c>
      <c r="I108" s="246"/>
      <c r="J108" s="246"/>
      <c r="K108" s="246"/>
      <c r="L108" s="246"/>
      <c r="M108" s="246"/>
      <c r="N108" s="246"/>
      <c r="O108" s="246"/>
      <c r="P108" s="246"/>
      <c r="Q108" s="246"/>
      <c r="R108" s="246"/>
      <c r="S108" s="246"/>
      <c r="T108" s="246"/>
      <c r="U108" s="246"/>
      <c r="V108" s="244"/>
      <c r="W108" s="245"/>
      <c r="X108" s="246"/>
      <c r="Y108" s="246"/>
      <c r="Z108" s="246"/>
      <c r="AA108" s="246"/>
      <c r="AB108" s="246"/>
      <c r="AC108" s="246"/>
      <c r="AD108" s="246"/>
      <c r="AE108" s="246"/>
      <c r="AF108" s="246"/>
      <c r="AG108" s="246"/>
      <c r="AH108" s="246"/>
      <c r="AI108" s="246"/>
      <c r="AJ108" s="246"/>
      <c r="AK108" s="246"/>
      <c r="AL108" s="246"/>
      <c r="AM108" s="246"/>
      <c r="AN108" s="246"/>
      <c r="AO108" s="246"/>
      <c r="AP108" s="247"/>
      <c r="AQ108" s="246"/>
      <c r="AR108" s="246"/>
    </row>
    <row r="109" spans="1:44" ht="18" customHeight="1" outlineLevel="1" x14ac:dyDescent="0.15">
      <c r="A109" s="441" t="s">
        <v>339</v>
      </c>
      <c r="B109" s="442">
        <f>ROUND(('底表1（销售计划）'!C111+'主表2（现金流量表）'!AO8)*C109,0)</f>
        <v>7082</v>
      </c>
      <c r="C109" s="445">
        <v>0.02</v>
      </c>
      <c r="D109" s="340"/>
      <c r="E109" s="444"/>
      <c r="F109" s="735"/>
      <c r="G109" s="737">
        <f t="shared" ref="G109:G113" si="34">B109/$B$114</f>
        <v>2.3400000000000001E-2</v>
      </c>
      <c r="H109" s="761">
        <f>B109/规划指标!$G$24*10000</f>
        <v>360.81</v>
      </c>
      <c r="I109" s="246"/>
      <c r="J109" s="246"/>
      <c r="K109" s="246"/>
      <c r="L109" s="246"/>
      <c r="M109" s="246"/>
      <c r="N109" s="246"/>
      <c r="O109" s="246"/>
      <c r="P109" s="246"/>
      <c r="Q109" s="246"/>
      <c r="R109" s="246"/>
      <c r="S109" s="246"/>
      <c r="T109" s="246"/>
      <c r="U109" s="246"/>
      <c r="V109" s="244"/>
      <c r="W109" s="245"/>
      <c r="X109" s="246"/>
      <c r="Y109" s="246"/>
      <c r="Z109" s="246"/>
      <c r="AA109" s="246"/>
      <c r="AB109" s="246"/>
      <c r="AC109" s="246"/>
      <c r="AD109" s="246"/>
      <c r="AE109" s="246"/>
      <c r="AF109" s="246"/>
      <c r="AG109" s="246"/>
      <c r="AH109" s="246"/>
      <c r="AI109" s="246"/>
      <c r="AJ109" s="246"/>
      <c r="AK109" s="246"/>
      <c r="AL109" s="246"/>
      <c r="AM109" s="246"/>
      <c r="AN109" s="246"/>
      <c r="AO109" s="246"/>
      <c r="AP109" s="247"/>
      <c r="AQ109" s="246"/>
      <c r="AR109" s="246"/>
    </row>
    <row r="110" spans="1:44" ht="18" customHeight="1" outlineLevel="1" x14ac:dyDescent="0.15">
      <c r="A110" s="441" t="s">
        <v>340</v>
      </c>
      <c r="B110" s="442">
        <f>(B69+B81+B86+B108)*C110</f>
        <v>5488</v>
      </c>
      <c r="C110" s="445">
        <v>0.02</v>
      </c>
      <c r="D110" s="340"/>
      <c r="E110" s="444"/>
      <c r="F110" s="735"/>
      <c r="G110" s="737">
        <f t="shared" si="34"/>
        <v>1.8100000000000002E-2</v>
      </c>
      <c r="H110" s="761">
        <f>B110/规划指标!$G$24*10000</f>
        <v>279.60000000000002</v>
      </c>
      <c r="I110" s="246"/>
      <c r="J110" s="246"/>
      <c r="K110" s="246"/>
      <c r="L110" s="246"/>
      <c r="M110" s="246"/>
      <c r="N110" s="246"/>
      <c r="O110" s="246"/>
      <c r="P110" s="246"/>
      <c r="Q110" s="246"/>
      <c r="R110" s="246"/>
      <c r="S110" s="246"/>
      <c r="T110" s="246"/>
      <c r="U110" s="246"/>
      <c r="V110" s="244"/>
      <c r="W110" s="245"/>
      <c r="X110" s="246"/>
      <c r="Y110" s="246"/>
      <c r="Z110" s="246"/>
      <c r="AA110" s="246"/>
      <c r="AB110" s="246"/>
      <c r="AC110" s="246"/>
      <c r="AD110" s="246"/>
      <c r="AE110" s="246"/>
      <c r="AF110" s="246"/>
      <c r="AG110" s="246"/>
      <c r="AH110" s="246"/>
      <c r="AI110" s="246"/>
      <c r="AJ110" s="246"/>
      <c r="AK110" s="246"/>
      <c r="AL110" s="246"/>
      <c r="AM110" s="246"/>
      <c r="AN110" s="246"/>
      <c r="AO110" s="246"/>
      <c r="AP110" s="247"/>
      <c r="AQ110" s="246"/>
      <c r="AR110" s="246"/>
    </row>
    <row r="111" spans="1:44" s="246" customFormat="1" ht="18" customHeight="1" outlineLevel="1" x14ac:dyDescent="0.15">
      <c r="A111" s="441" t="s">
        <v>341</v>
      </c>
      <c r="B111" s="687">
        <f>'主表6（负债偿还预测）'!C24</f>
        <v>12470</v>
      </c>
      <c r="C111" s="446">
        <f>基础数据!C13</f>
        <v>0.12</v>
      </c>
      <c r="D111" s="340"/>
      <c r="E111" s="443"/>
      <c r="F111" s="244"/>
      <c r="G111" s="737">
        <f t="shared" si="34"/>
        <v>4.1200000000000001E-2</v>
      </c>
      <c r="H111" s="761">
        <f>B111/规划指标!$G$24*10000</f>
        <v>635.32000000000005</v>
      </c>
      <c r="V111" s="244"/>
      <c r="W111" s="245"/>
      <c r="AP111" s="247"/>
    </row>
    <row r="112" spans="1:44" ht="18" customHeight="1" outlineLevel="1" x14ac:dyDescent="0.15">
      <c r="A112" s="441" t="s">
        <v>342</v>
      </c>
      <c r="B112" s="442">
        <f>(B69+B81+B86+B108)*C112</f>
        <v>2744</v>
      </c>
      <c r="C112" s="445">
        <v>0.01</v>
      </c>
      <c r="D112" s="340"/>
      <c r="E112" s="444"/>
      <c r="F112" s="244"/>
      <c r="G112" s="737">
        <f t="shared" si="34"/>
        <v>9.1000000000000004E-3</v>
      </c>
      <c r="H112" s="761">
        <f>B112/规划指标!$G$24*10000</f>
        <v>139.80000000000001</v>
      </c>
      <c r="I112" s="246"/>
      <c r="J112" s="246"/>
      <c r="K112" s="246"/>
      <c r="L112" s="246"/>
      <c r="M112" s="246"/>
      <c r="N112" s="246"/>
      <c r="O112" s="246"/>
      <c r="P112" s="246"/>
      <c r="Q112" s="246"/>
      <c r="R112" s="246"/>
      <c r="S112" s="246"/>
      <c r="T112" s="246"/>
      <c r="U112" s="246"/>
      <c r="V112" s="244"/>
      <c r="W112" s="245"/>
      <c r="X112" s="246"/>
      <c r="Y112" s="246"/>
      <c r="Z112" s="246"/>
      <c r="AA112" s="246"/>
      <c r="AB112" s="246"/>
      <c r="AC112" s="246"/>
      <c r="AD112" s="246"/>
      <c r="AE112" s="246"/>
      <c r="AF112" s="246"/>
      <c r="AG112" s="246"/>
      <c r="AH112" s="246"/>
      <c r="AI112" s="246"/>
      <c r="AJ112" s="246"/>
      <c r="AK112" s="246"/>
      <c r="AL112" s="246"/>
      <c r="AM112" s="246"/>
      <c r="AN112" s="246"/>
      <c r="AO112" s="246"/>
      <c r="AP112" s="247"/>
      <c r="AQ112" s="246"/>
      <c r="AR112" s="246"/>
    </row>
    <row r="113" spans="1:52" ht="18" customHeight="1" outlineLevel="1" x14ac:dyDescent="0.15">
      <c r="A113" s="441" t="s">
        <v>343</v>
      </c>
      <c r="B113" s="442">
        <f>B86*C113</f>
        <v>404</v>
      </c>
      <c r="C113" s="445">
        <v>5.0000000000000001E-3</v>
      </c>
      <c r="D113" s="340"/>
      <c r="E113" s="444"/>
      <c r="F113" s="244"/>
      <c r="G113" s="737">
        <f t="shared" si="34"/>
        <v>1.2999999999999999E-3</v>
      </c>
      <c r="H113" s="761">
        <f>B113/规划指标!$G$24*10000</f>
        <v>20.58</v>
      </c>
      <c r="I113" s="246"/>
      <c r="J113" s="246"/>
      <c r="K113" s="246"/>
      <c r="L113" s="246"/>
      <c r="M113" s="246"/>
      <c r="N113" s="246"/>
      <c r="O113" s="246"/>
      <c r="P113" s="246"/>
      <c r="Q113" s="246"/>
      <c r="R113" s="246"/>
      <c r="S113" s="246"/>
      <c r="T113" s="246"/>
      <c r="U113" s="246"/>
      <c r="V113" s="244"/>
      <c r="W113" s="245"/>
      <c r="X113" s="246"/>
      <c r="Y113" s="246"/>
      <c r="Z113" s="246"/>
      <c r="AA113" s="246"/>
      <c r="AB113" s="246"/>
      <c r="AC113" s="246"/>
      <c r="AD113" s="246"/>
      <c r="AE113" s="246"/>
      <c r="AF113" s="246"/>
      <c r="AG113" s="246"/>
      <c r="AH113" s="246"/>
      <c r="AI113" s="246"/>
      <c r="AJ113" s="246"/>
      <c r="AK113" s="246"/>
      <c r="AL113" s="246"/>
      <c r="AM113" s="246"/>
      <c r="AN113" s="246"/>
      <c r="AO113" s="246"/>
      <c r="AP113" s="247"/>
      <c r="AQ113" s="246"/>
      <c r="AR113" s="246"/>
    </row>
    <row r="114" spans="1:52" s="246" customFormat="1" ht="18" customHeight="1" outlineLevel="1" x14ac:dyDescent="0.15">
      <c r="A114" s="441" t="s">
        <v>344</v>
      </c>
      <c r="B114" s="442">
        <f>B69+B81+B86+SUM(B108:B113)</f>
        <v>302593</v>
      </c>
      <c r="C114" s="446"/>
      <c r="D114" s="340"/>
      <c r="E114" s="447"/>
      <c r="F114" s="244"/>
      <c r="G114" s="245"/>
      <c r="H114" s="761">
        <f>B114/规划指标!$G$24*10000</f>
        <v>15416.47</v>
      </c>
      <c r="I114" s="212"/>
      <c r="V114" s="244"/>
      <c r="W114" s="245"/>
      <c r="Y114" s="212"/>
      <c r="AP114" s="247"/>
    </row>
    <row r="115" spans="1:52" ht="18" customHeight="1" x14ac:dyDescent="0.15">
      <c r="A115" s="141"/>
      <c r="B115" s="142"/>
      <c r="C115" s="142"/>
      <c r="D115" s="142"/>
      <c r="E115" s="142"/>
      <c r="F115" s="142"/>
      <c r="G115" s="142"/>
      <c r="H115" s="142"/>
      <c r="I115" s="142"/>
      <c r="J115" s="142"/>
      <c r="K115" s="142"/>
      <c r="L115" s="141"/>
      <c r="M115" s="141"/>
      <c r="N115" s="141"/>
      <c r="O115" s="141"/>
      <c r="P115" s="141"/>
      <c r="Q115" s="141"/>
      <c r="R115" s="141"/>
      <c r="S115" s="141"/>
      <c r="T115" s="141"/>
      <c r="U115" s="141"/>
      <c r="V115" s="142"/>
      <c r="W115" s="142"/>
      <c r="X115" s="142"/>
      <c r="Y115" s="142"/>
      <c r="Z115" s="142"/>
      <c r="AA115" s="142"/>
      <c r="AB115" s="141"/>
      <c r="AC115" s="141"/>
      <c r="AD115" s="141"/>
      <c r="AE115" s="141"/>
      <c r="AF115" s="141"/>
      <c r="AG115" s="141"/>
      <c r="AH115" s="141"/>
      <c r="AI115" s="141"/>
      <c r="AJ115" s="141"/>
      <c r="AK115" s="141"/>
      <c r="AL115" s="141"/>
      <c r="AM115" s="141"/>
      <c r="AN115" s="141"/>
      <c r="AO115" s="141"/>
      <c r="AP115" s="141"/>
      <c r="AR115" s="141"/>
      <c r="AS115" s="143"/>
      <c r="AT115" s="143"/>
      <c r="AV115" s="143"/>
      <c r="AW115" s="143"/>
    </row>
    <row r="116" spans="1:52" ht="18" customHeight="1" x14ac:dyDescent="0.15">
      <c r="A116" s="144"/>
      <c r="B116" s="144"/>
      <c r="C116" s="144"/>
      <c r="D116" s="155">
        <f>D14/$B$14</f>
        <v>0.59709999999999996</v>
      </c>
      <c r="E116" s="155">
        <f t="shared" ref="E116:Q116" si="35">E14/$B$14</f>
        <v>9.2200000000000004E-2</v>
      </c>
      <c r="F116" s="155">
        <f t="shared" si="35"/>
        <v>5.7200000000000001E-2</v>
      </c>
      <c r="G116" s="155">
        <f t="shared" si="35"/>
        <v>3.9600000000000003E-2</v>
      </c>
      <c r="H116" s="155">
        <f t="shared" si="35"/>
        <v>3.6400000000000002E-2</v>
      </c>
      <c r="I116" s="155">
        <f t="shared" si="35"/>
        <v>3.3000000000000002E-2</v>
      </c>
      <c r="J116" s="155">
        <f t="shared" si="35"/>
        <v>3.1E-2</v>
      </c>
      <c r="K116" s="155">
        <f t="shared" si="35"/>
        <v>2.5000000000000001E-2</v>
      </c>
      <c r="L116" s="155">
        <f t="shared" si="35"/>
        <v>2.41E-2</v>
      </c>
      <c r="M116" s="155">
        <f t="shared" si="35"/>
        <v>1.7899999999999999E-2</v>
      </c>
      <c r="N116" s="155">
        <f t="shared" si="35"/>
        <v>1.78E-2</v>
      </c>
      <c r="O116" s="155">
        <f t="shared" si="35"/>
        <v>1.44E-2</v>
      </c>
      <c r="P116" s="155">
        <f t="shared" si="35"/>
        <v>1.4200000000000001E-2</v>
      </c>
      <c r="Q116" s="155">
        <f t="shared" si="35"/>
        <v>0</v>
      </c>
      <c r="R116" s="144"/>
      <c r="S116" s="144"/>
      <c r="T116" s="144"/>
      <c r="U116" s="144"/>
      <c r="V116" s="144"/>
      <c r="W116" s="144"/>
      <c r="X116" s="144"/>
      <c r="Y116" s="144"/>
      <c r="Z116" s="144"/>
      <c r="AA116" s="144"/>
      <c r="AB116" s="144"/>
      <c r="AC116" s="144"/>
      <c r="AD116" s="144"/>
      <c r="AE116" s="144"/>
      <c r="AF116" s="144"/>
      <c r="AG116" s="144"/>
      <c r="AH116" s="144"/>
      <c r="AI116" s="144"/>
      <c r="AJ116" s="144"/>
      <c r="AK116" s="144"/>
      <c r="AL116" s="144"/>
      <c r="AM116" s="144"/>
      <c r="AN116" s="144"/>
      <c r="AO116" s="144"/>
      <c r="AP116" s="144"/>
      <c r="AR116" s="141"/>
      <c r="AS116" s="145"/>
    </row>
    <row r="117" spans="1:52" ht="18" customHeight="1" x14ac:dyDescent="0.15">
      <c r="A117" s="144"/>
      <c r="B117" s="144"/>
      <c r="C117" s="144"/>
      <c r="D117" s="144"/>
      <c r="E117" s="144"/>
      <c r="F117" s="144"/>
      <c r="G117" s="144"/>
      <c r="H117" s="144"/>
      <c r="I117" s="144"/>
      <c r="J117" s="144"/>
      <c r="K117" s="144"/>
      <c r="L117" s="144"/>
      <c r="M117" s="144"/>
      <c r="N117" s="144"/>
      <c r="O117" s="144"/>
      <c r="P117" s="155">
        <v>1.43E-2</v>
      </c>
      <c r="Q117" s="144"/>
      <c r="R117" s="144"/>
      <c r="S117" s="144"/>
      <c r="T117" s="144"/>
      <c r="U117" s="144"/>
      <c r="V117" s="144"/>
      <c r="W117" s="144"/>
      <c r="X117" s="144"/>
      <c r="Y117" s="144"/>
      <c r="Z117" s="144"/>
      <c r="AA117" s="144"/>
      <c r="AB117" s="144"/>
      <c r="AC117" s="144"/>
      <c r="AD117" s="144"/>
      <c r="AE117" s="144"/>
      <c r="AF117" s="144"/>
      <c r="AG117" s="144"/>
      <c r="AH117" s="144"/>
      <c r="AI117" s="144"/>
      <c r="AJ117" s="144"/>
      <c r="AK117" s="144"/>
      <c r="AL117" s="144"/>
      <c r="AM117" s="144"/>
      <c r="AN117" s="144"/>
      <c r="AO117" s="144"/>
      <c r="AP117" s="144"/>
      <c r="AR117" s="141"/>
    </row>
    <row r="118" spans="1:52" ht="18" customHeight="1" x14ac:dyDescent="0.15">
      <c r="A118" s="141"/>
      <c r="B118" s="141"/>
      <c r="C118" s="141"/>
      <c r="D118" s="141"/>
      <c r="E118" s="141"/>
      <c r="F118" s="141"/>
      <c r="G118" s="141"/>
      <c r="H118" s="141"/>
      <c r="I118" s="141"/>
      <c r="J118" s="141"/>
      <c r="K118" s="141"/>
      <c r="L118" s="141"/>
      <c r="M118" s="141"/>
      <c r="N118" s="141"/>
      <c r="O118" s="141"/>
      <c r="P118" s="144"/>
      <c r="Q118" s="144"/>
      <c r="R118" s="144"/>
      <c r="S118" s="144"/>
      <c r="T118" s="144"/>
      <c r="U118" s="144"/>
      <c r="V118" s="141"/>
      <c r="W118" s="141"/>
      <c r="X118" s="141"/>
      <c r="Y118" s="141"/>
      <c r="Z118" s="141"/>
      <c r="AA118" s="141"/>
      <c r="AB118" s="141"/>
      <c r="AC118" s="141"/>
      <c r="AD118" s="141"/>
      <c r="AE118" s="141"/>
      <c r="AF118" s="144"/>
      <c r="AG118" s="144"/>
      <c r="AH118" s="144"/>
      <c r="AI118" s="144"/>
      <c r="AJ118" s="144"/>
      <c r="AK118" s="144"/>
      <c r="AL118" s="144"/>
      <c r="AM118" s="144"/>
      <c r="AN118" s="144"/>
      <c r="AO118" s="144"/>
      <c r="AP118" s="144"/>
      <c r="AR118" s="141"/>
    </row>
    <row r="119" spans="1:52" ht="18" customHeight="1" x14ac:dyDescent="0.15">
      <c r="A119" s="141"/>
      <c r="B119" s="141"/>
      <c r="C119" s="141"/>
      <c r="D119" s="144"/>
      <c r="E119" s="146"/>
      <c r="F119" s="141"/>
      <c r="G119" s="141"/>
      <c r="H119" s="141"/>
      <c r="I119" s="141"/>
      <c r="J119" s="141"/>
      <c r="K119" s="141"/>
      <c r="L119" s="141"/>
      <c r="M119" s="141"/>
      <c r="N119" s="141"/>
      <c r="O119" s="141"/>
      <c r="P119" s="144"/>
      <c r="Q119" s="144"/>
      <c r="R119" s="144"/>
      <c r="S119" s="144"/>
      <c r="T119" s="144"/>
      <c r="U119" s="144"/>
      <c r="V119" s="141"/>
      <c r="W119" s="141"/>
      <c r="X119" s="141"/>
      <c r="Y119" s="141"/>
      <c r="Z119" s="141"/>
      <c r="AA119" s="141"/>
      <c r="AB119" s="141"/>
      <c r="AC119" s="141"/>
      <c r="AD119" s="141"/>
      <c r="AE119" s="141"/>
      <c r="AF119" s="144"/>
      <c r="AG119" s="144"/>
      <c r="AH119" s="144"/>
      <c r="AI119" s="144"/>
      <c r="AJ119" s="144"/>
      <c r="AK119" s="144"/>
      <c r="AL119" s="144"/>
      <c r="AM119" s="144"/>
      <c r="AN119" s="144"/>
      <c r="AO119" s="144"/>
      <c r="AP119" s="144"/>
      <c r="AR119" s="141"/>
    </row>
    <row r="120" spans="1:52" s="144" customFormat="1" ht="18" customHeight="1" x14ac:dyDescent="0.15">
      <c r="A120" s="141"/>
      <c r="B120" s="141"/>
      <c r="C120" s="147"/>
      <c r="E120" s="146"/>
      <c r="F120" s="147"/>
      <c r="G120" s="147"/>
      <c r="H120" s="147"/>
      <c r="I120" s="147"/>
      <c r="J120" s="147"/>
      <c r="K120" s="147"/>
      <c r="L120" s="147"/>
      <c r="M120" s="147"/>
      <c r="N120" s="147"/>
      <c r="O120" s="147"/>
      <c r="P120" s="148"/>
      <c r="V120" s="147"/>
      <c r="W120" s="147"/>
      <c r="X120" s="147"/>
      <c r="Y120" s="147"/>
      <c r="Z120" s="147"/>
      <c r="AA120" s="147"/>
      <c r="AB120" s="147"/>
      <c r="AC120" s="147"/>
      <c r="AD120" s="147"/>
      <c r="AE120" s="147"/>
      <c r="AF120" s="148"/>
      <c r="AQ120" s="149"/>
      <c r="AR120" s="141"/>
      <c r="AS120" s="141"/>
      <c r="AT120" s="141"/>
      <c r="AU120" s="134"/>
      <c r="AV120" s="141"/>
    </row>
    <row r="121" spans="1:52" s="144" customFormat="1" ht="18" customHeight="1" x14ac:dyDescent="0.15">
      <c r="A121" s="141"/>
      <c r="B121" s="141"/>
      <c r="C121" s="141"/>
      <c r="E121" s="150"/>
      <c r="F121" s="141"/>
      <c r="G121" s="141"/>
      <c r="H121" s="141"/>
      <c r="I121" s="141"/>
      <c r="J121" s="141"/>
      <c r="K121" s="141"/>
      <c r="L121" s="141"/>
      <c r="M121" s="141"/>
      <c r="N121" s="141"/>
      <c r="O121" s="141"/>
      <c r="V121" s="141"/>
      <c r="W121" s="141"/>
      <c r="X121" s="141"/>
      <c r="Y121" s="141"/>
      <c r="Z121" s="141"/>
      <c r="AA121" s="141"/>
      <c r="AB121" s="141"/>
      <c r="AC121" s="141"/>
      <c r="AD121" s="141"/>
      <c r="AE121" s="141"/>
      <c r="AQ121" s="135"/>
      <c r="AR121" s="141"/>
      <c r="AU121" s="134"/>
    </row>
    <row r="122" spans="1:52" s="144" customFormat="1" ht="18" customHeight="1" x14ac:dyDescent="0.15">
      <c r="A122" s="141"/>
      <c r="B122" s="141"/>
      <c r="C122" s="141"/>
      <c r="E122" s="146"/>
      <c r="F122" s="141"/>
      <c r="G122" s="141"/>
      <c r="H122" s="141"/>
      <c r="I122" s="141"/>
      <c r="J122" s="141"/>
      <c r="K122" s="141"/>
      <c r="L122" s="141"/>
      <c r="M122" s="141"/>
      <c r="N122" s="141"/>
      <c r="O122" s="141"/>
      <c r="V122" s="141"/>
      <c r="W122" s="141"/>
      <c r="X122" s="141"/>
      <c r="Y122" s="141"/>
      <c r="Z122" s="141"/>
      <c r="AA122" s="141"/>
      <c r="AB122" s="141"/>
      <c r="AC122" s="141"/>
      <c r="AD122" s="141"/>
      <c r="AE122" s="141"/>
      <c r="AQ122" s="135"/>
      <c r="AR122" s="141"/>
      <c r="AU122" s="134"/>
    </row>
    <row r="123" spans="1:52" s="144" customFormat="1" ht="18" customHeight="1" x14ac:dyDescent="0.15">
      <c r="A123" s="141"/>
      <c r="B123" s="141"/>
      <c r="C123" s="141"/>
      <c r="E123" s="146"/>
      <c r="F123" s="141"/>
      <c r="G123" s="141"/>
      <c r="H123" s="141"/>
      <c r="I123" s="141"/>
      <c r="J123" s="141"/>
      <c r="K123" s="141"/>
      <c r="L123" s="141"/>
      <c r="M123" s="141"/>
      <c r="N123" s="141"/>
      <c r="O123" s="141"/>
      <c r="P123" s="141"/>
      <c r="Q123" s="141"/>
      <c r="R123" s="141"/>
      <c r="S123" s="141"/>
      <c r="T123" s="141"/>
      <c r="U123" s="141"/>
      <c r="V123" s="141"/>
      <c r="W123" s="141"/>
      <c r="X123" s="141"/>
      <c r="Y123" s="141"/>
      <c r="Z123" s="141"/>
      <c r="AA123" s="141"/>
      <c r="AB123" s="141"/>
      <c r="AC123" s="141"/>
      <c r="AD123" s="141"/>
      <c r="AE123" s="141"/>
      <c r="AF123" s="141"/>
      <c r="AG123" s="141"/>
      <c r="AH123" s="141"/>
      <c r="AI123" s="141"/>
      <c r="AJ123" s="141"/>
      <c r="AK123" s="141"/>
      <c r="AL123" s="141"/>
      <c r="AM123" s="141"/>
      <c r="AN123" s="141"/>
      <c r="AO123" s="141"/>
      <c r="AQ123" s="135"/>
    </row>
    <row r="124" spans="1:52" s="144" customFormat="1" ht="18" customHeight="1" x14ac:dyDescent="0.15">
      <c r="C124" s="141"/>
      <c r="E124" s="146"/>
      <c r="F124" s="141"/>
      <c r="G124" s="141"/>
      <c r="H124" s="141"/>
      <c r="I124" s="141"/>
      <c r="J124" s="141"/>
      <c r="K124" s="141"/>
      <c r="L124" s="141"/>
      <c r="M124" s="141"/>
      <c r="N124" s="141"/>
      <c r="O124" s="141"/>
      <c r="P124" s="141"/>
      <c r="Q124" s="147"/>
      <c r="R124" s="147"/>
      <c r="S124" s="147"/>
      <c r="T124" s="147"/>
      <c r="U124" s="147"/>
      <c r="V124" s="141"/>
      <c r="W124" s="141"/>
      <c r="X124" s="141"/>
      <c r="Y124" s="141"/>
      <c r="Z124" s="141"/>
      <c r="AA124" s="141"/>
      <c r="AB124" s="141"/>
      <c r="AC124" s="141"/>
      <c r="AD124" s="141"/>
      <c r="AE124" s="141"/>
      <c r="AF124" s="141"/>
      <c r="AG124" s="147"/>
      <c r="AH124" s="147"/>
      <c r="AI124" s="147"/>
      <c r="AJ124" s="147"/>
      <c r="AK124" s="147"/>
      <c r="AL124" s="147"/>
      <c r="AM124" s="147"/>
      <c r="AN124" s="147"/>
      <c r="AO124" s="147"/>
      <c r="AP124" s="148"/>
      <c r="AQ124" s="151"/>
      <c r="AR124" s="148"/>
      <c r="AS124" s="148"/>
      <c r="AT124" s="148"/>
      <c r="AU124" s="148"/>
      <c r="AV124" s="148"/>
      <c r="AW124" s="148"/>
      <c r="AX124" s="148"/>
      <c r="AY124" s="148"/>
      <c r="AZ124" s="148"/>
    </row>
    <row r="125" spans="1:52" s="144" customFormat="1" ht="18" customHeight="1" x14ac:dyDescent="0.15">
      <c r="C125" s="141"/>
      <c r="D125" s="148"/>
      <c r="E125" s="146"/>
      <c r="F125" s="141"/>
      <c r="G125" s="141"/>
      <c r="H125" s="141"/>
      <c r="I125" s="141"/>
      <c r="J125" s="141"/>
      <c r="K125" s="141"/>
      <c r="L125" s="141"/>
      <c r="M125" s="141"/>
      <c r="N125" s="141"/>
      <c r="O125" s="141"/>
      <c r="P125" s="141"/>
      <c r="Q125" s="141"/>
      <c r="R125" s="147"/>
      <c r="S125" s="141"/>
      <c r="T125" s="141"/>
      <c r="U125" s="141"/>
      <c r="V125" s="141"/>
      <c r="W125" s="141"/>
      <c r="X125" s="141"/>
      <c r="Y125" s="141"/>
      <c r="Z125" s="141"/>
      <c r="AA125" s="141"/>
      <c r="AB125" s="141"/>
      <c r="AC125" s="141"/>
      <c r="AD125" s="141"/>
      <c r="AE125" s="141"/>
      <c r="AF125" s="141"/>
      <c r="AG125" s="141"/>
      <c r="AH125" s="147"/>
      <c r="AI125" s="141"/>
      <c r="AJ125" s="141"/>
      <c r="AK125" s="141"/>
      <c r="AL125" s="141"/>
      <c r="AM125" s="141"/>
      <c r="AN125" s="141"/>
      <c r="AO125" s="141"/>
      <c r="AQ125" s="135"/>
    </row>
    <row r="126" spans="1:52" s="144" customFormat="1" ht="18" customHeight="1" x14ac:dyDescent="0.15">
      <c r="D126" s="148"/>
      <c r="E126" s="146"/>
      <c r="F126" s="152"/>
      <c r="G126" s="152"/>
      <c r="H126" s="152"/>
      <c r="I126" s="152"/>
      <c r="J126" s="152"/>
      <c r="K126" s="152"/>
      <c r="L126" s="152"/>
      <c r="M126" s="152"/>
      <c r="N126" s="152"/>
      <c r="O126" s="152"/>
      <c r="P126" s="152"/>
      <c r="Q126" s="152"/>
      <c r="R126" s="153"/>
      <c r="S126" s="152"/>
      <c r="T126" s="152"/>
      <c r="U126" s="152"/>
      <c r="V126" s="152"/>
      <c r="W126" s="152"/>
      <c r="X126" s="152"/>
      <c r="Y126" s="152"/>
      <c r="Z126" s="152"/>
      <c r="AA126" s="152"/>
      <c r="AB126" s="152"/>
      <c r="AC126" s="152"/>
      <c r="AD126" s="152"/>
      <c r="AE126" s="152"/>
      <c r="AF126" s="152"/>
      <c r="AG126" s="152"/>
      <c r="AH126" s="153"/>
      <c r="AI126" s="152"/>
      <c r="AJ126" s="152"/>
      <c r="AK126" s="152"/>
      <c r="AL126" s="152"/>
      <c r="AM126" s="152"/>
      <c r="AN126" s="152"/>
      <c r="AO126" s="141"/>
      <c r="AQ126" s="135"/>
    </row>
    <row r="127" spans="1:52" s="144" customFormat="1" ht="18" customHeight="1" x14ac:dyDescent="0.15">
      <c r="C127" s="150"/>
      <c r="D127" s="148"/>
      <c r="E127" s="154"/>
      <c r="F127" s="147"/>
      <c r="G127" s="147"/>
      <c r="H127" s="147"/>
      <c r="I127" s="147"/>
      <c r="J127" s="147"/>
      <c r="K127" s="147"/>
      <c r="L127" s="147"/>
      <c r="M127" s="147"/>
      <c r="N127" s="147"/>
      <c r="O127" s="147"/>
      <c r="P127" s="147"/>
      <c r="Q127" s="147"/>
      <c r="R127" s="147"/>
      <c r="S127" s="147"/>
      <c r="T127" s="147"/>
      <c r="U127" s="147"/>
      <c r="V127" s="147"/>
      <c r="W127" s="147"/>
      <c r="X127" s="147"/>
      <c r="Y127" s="147"/>
      <c r="Z127" s="147"/>
      <c r="AA127" s="147"/>
      <c r="AB127" s="147"/>
      <c r="AC127" s="147"/>
      <c r="AD127" s="147"/>
      <c r="AE127" s="147"/>
      <c r="AF127" s="147"/>
      <c r="AG127" s="147"/>
      <c r="AH127" s="147"/>
      <c r="AI127" s="147"/>
      <c r="AJ127" s="147"/>
      <c r="AK127" s="147"/>
      <c r="AL127" s="147"/>
      <c r="AM127" s="147"/>
      <c r="AN127" s="147"/>
      <c r="AO127" s="141"/>
      <c r="AQ127" s="135"/>
    </row>
    <row r="128" spans="1:52" s="144" customFormat="1" ht="18" customHeight="1" x14ac:dyDescent="0.15">
      <c r="C128" s="141"/>
      <c r="D128" s="148"/>
      <c r="E128" s="141"/>
      <c r="F128" s="141"/>
      <c r="G128" s="141"/>
      <c r="H128" s="141"/>
      <c r="I128" s="141"/>
      <c r="J128" s="141"/>
      <c r="K128" s="141"/>
      <c r="L128" s="141"/>
      <c r="M128" s="141"/>
      <c r="N128" s="141"/>
      <c r="O128" s="141"/>
      <c r="P128" s="141"/>
      <c r="Q128" s="141"/>
      <c r="R128" s="147"/>
      <c r="S128" s="141"/>
      <c r="T128" s="141"/>
      <c r="U128" s="141"/>
      <c r="V128" s="141"/>
      <c r="W128" s="141"/>
      <c r="X128" s="141"/>
      <c r="Y128" s="141"/>
      <c r="Z128" s="141"/>
      <c r="AA128" s="141"/>
      <c r="AB128" s="141"/>
      <c r="AC128" s="141"/>
      <c r="AD128" s="141"/>
      <c r="AE128" s="141"/>
      <c r="AF128" s="141"/>
      <c r="AG128" s="141"/>
      <c r="AH128" s="147"/>
      <c r="AI128" s="141"/>
      <c r="AJ128" s="141"/>
      <c r="AK128" s="141"/>
      <c r="AL128" s="141"/>
      <c r="AM128" s="141"/>
      <c r="AN128" s="141"/>
      <c r="AO128" s="141"/>
      <c r="AQ128" s="135"/>
    </row>
    <row r="129" spans="3:43" s="144" customFormat="1" ht="18" customHeight="1" x14ac:dyDescent="0.15">
      <c r="C129" s="141"/>
      <c r="D129" s="148"/>
      <c r="E129" s="141"/>
      <c r="F129" s="141"/>
      <c r="G129" s="141"/>
      <c r="H129" s="141"/>
      <c r="I129" s="141"/>
      <c r="J129" s="141"/>
      <c r="K129" s="141"/>
      <c r="L129" s="141"/>
      <c r="M129" s="141"/>
      <c r="N129" s="141"/>
      <c r="O129" s="141"/>
      <c r="P129" s="141"/>
      <c r="Q129" s="141"/>
      <c r="R129" s="147"/>
      <c r="S129" s="141"/>
      <c r="T129" s="141"/>
      <c r="U129" s="141"/>
      <c r="V129" s="141"/>
      <c r="W129" s="141"/>
      <c r="X129" s="141"/>
      <c r="Y129" s="141"/>
      <c r="Z129" s="141"/>
      <c r="AA129" s="141"/>
      <c r="AB129" s="141"/>
      <c r="AC129" s="141"/>
      <c r="AD129" s="141"/>
      <c r="AE129" s="141"/>
      <c r="AF129" s="141"/>
      <c r="AG129" s="141"/>
      <c r="AH129" s="147"/>
      <c r="AI129" s="141"/>
      <c r="AJ129" s="141"/>
      <c r="AK129" s="141"/>
      <c r="AL129" s="141"/>
      <c r="AM129" s="141"/>
      <c r="AN129" s="141"/>
      <c r="AO129" s="141"/>
      <c r="AQ129" s="135"/>
    </row>
    <row r="130" spans="3:43" s="144" customFormat="1" ht="18" customHeight="1" x14ac:dyDescent="0.15">
      <c r="C130" s="141"/>
      <c r="D130" s="148"/>
      <c r="E130" s="141"/>
      <c r="F130" s="141"/>
      <c r="G130" s="141"/>
      <c r="H130" s="141"/>
      <c r="I130" s="141"/>
      <c r="J130" s="141"/>
      <c r="K130" s="141"/>
      <c r="L130" s="141"/>
      <c r="M130" s="141"/>
      <c r="N130" s="141"/>
      <c r="O130" s="141"/>
      <c r="P130" s="141"/>
      <c r="Q130" s="141"/>
      <c r="R130" s="147"/>
      <c r="S130" s="141"/>
      <c r="T130" s="141"/>
      <c r="U130" s="141"/>
      <c r="V130" s="141"/>
      <c r="W130" s="141"/>
      <c r="X130" s="141"/>
      <c r="Y130" s="141"/>
      <c r="Z130" s="141"/>
      <c r="AA130" s="141"/>
      <c r="AB130" s="141"/>
      <c r="AC130" s="141"/>
      <c r="AD130" s="141"/>
      <c r="AE130" s="141"/>
      <c r="AF130" s="141"/>
      <c r="AG130" s="141"/>
      <c r="AH130" s="147"/>
      <c r="AI130" s="141"/>
      <c r="AJ130" s="141"/>
      <c r="AK130" s="141"/>
      <c r="AL130" s="141"/>
      <c r="AM130" s="141"/>
      <c r="AN130" s="141"/>
      <c r="AO130" s="141"/>
      <c r="AQ130" s="135"/>
    </row>
    <row r="131" spans="3:43" s="144" customFormat="1" ht="18" customHeight="1" x14ac:dyDescent="0.15">
      <c r="C131" s="141"/>
      <c r="D131" s="148"/>
      <c r="E131" s="141"/>
      <c r="F131" s="141"/>
      <c r="G131" s="141"/>
      <c r="H131" s="141"/>
      <c r="I131" s="141"/>
      <c r="J131" s="141"/>
      <c r="K131" s="141"/>
      <c r="L131" s="141"/>
      <c r="M131" s="141"/>
      <c r="N131" s="141"/>
      <c r="O131" s="141"/>
      <c r="P131" s="141"/>
      <c r="Q131" s="141"/>
      <c r="R131" s="147"/>
      <c r="S131" s="141"/>
      <c r="T131" s="141"/>
      <c r="U131" s="141"/>
      <c r="V131" s="141"/>
      <c r="W131" s="141"/>
      <c r="X131" s="141"/>
      <c r="Y131" s="141"/>
      <c r="Z131" s="141"/>
      <c r="AA131" s="141"/>
      <c r="AB131" s="141"/>
      <c r="AC131" s="141"/>
      <c r="AD131" s="141"/>
      <c r="AE131" s="141"/>
      <c r="AF131" s="141"/>
      <c r="AG131" s="141"/>
      <c r="AH131" s="147"/>
      <c r="AI131" s="141"/>
      <c r="AJ131" s="141"/>
      <c r="AK131" s="141"/>
      <c r="AL131" s="141"/>
      <c r="AM131" s="141"/>
      <c r="AN131" s="141"/>
      <c r="AO131" s="141"/>
      <c r="AQ131" s="135"/>
    </row>
    <row r="132" spans="3:43" s="144" customFormat="1" ht="18" customHeight="1" x14ac:dyDescent="0.15">
      <c r="C132" s="141"/>
      <c r="D132" s="148"/>
      <c r="E132" s="141"/>
      <c r="F132" s="141"/>
      <c r="G132" s="141"/>
      <c r="H132" s="141"/>
      <c r="I132" s="141"/>
      <c r="J132" s="141"/>
      <c r="K132" s="141"/>
      <c r="L132" s="141"/>
      <c r="M132" s="141"/>
      <c r="N132" s="141"/>
      <c r="O132" s="141"/>
      <c r="P132" s="141"/>
      <c r="Q132" s="141"/>
      <c r="R132" s="147"/>
      <c r="S132" s="141"/>
      <c r="T132" s="141"/>
      <c r="U132" s="141"/>
      <c r="V132" s="141"/>
      <c r="W132" s="141"/>
      <c r="X132" s="141"/>
      <c r="Y132" s="141"/>
      <c r="Z132" s="141"/>
      <c r="AA132" s="141"/>
      <c r="AB132" s="141"/>
      <c r="AC132" s="141"/>
      <c r="AD132" s="141"/>
      <c r="AE132" s="141"/>
      <c r="AF132" s="141"/>
      <c r="AG132" s="141"/>
      <c r="AH132" s="147"/>
      <c r="AI132" s="141"/>
      <c r="AJ132" s="141"/>
      <c r="AK132" s="141"/>
      <c r="AL132" s="141"/>
      <c r="AM132" s="141"/>
      <c r="AN132" s="141"/>
      <c r="AO132" s="141"/>
      <c r="AQ132" s="135"/>
    </row>
    <row r="133" spans="3:43" s="144" customFormat="1" ht="18" customHeight="1" x14ac:dyDescent="0.15">
      <c r="C133" s="141"/>
      <c r="D133" s="148"/>
      <c r="E133" s="141"/>
      <c r="F133" s="141"/>
      <c r="G133" s="141"/>
      <c r="H133" s="141"/>
      <c r="I133" s="141"/>
      <c r="J133" s="141"/>
      <c r="K133" s="141"/>
      <c r="L133" s="141"/>
      <c r="M133" s="141"/>
      <c r="N133" s="141"/>
      <c r="O133" s="141"/>
      <c r="P133" s="141"/>
      <c r="Q133" s="141"/>
      <c r="R133" s="147"/>
      <c r="S133" s="141"/>
      <c r="T133" s="141"/>
      <c r="U133" s="141"/>
      <c r="V133" s="141"/>
      <c r="W133" s="141"/>
      <c r="X133" s="141"/>
      <c r="Y133" s="141"/>
      <c r="Z133" s="141"/>
      <c r="AA133" s="141"/>
      <c r="AB133" s="141"/>
      <c r="AC133" s="141"/>
      <c r="AD133" s="141"/>
      <c r="AE133" s="141"/>
      <c r="AF133" s="141"/>
      <c r="AG133" s="141"/>
      <c r="AH133" s="147"/>
      <c r="AI133" s="141"/>
      <c r="AJ133" s="141"/>
      <c r="AK133" s="141"/>
      <c r="AL133" s="141"/>
      <c r="AM133" s="141"/>
      <c r="AN133" s="141"/>
      <c r="AO133" s="141"/>
      <c r="AQ133" s="135"/>
    </row>
    <row r="134" spans="3:43" s="144" customFormat="1" ht="18" customHeight="1" x14ac:dyDescent="0.15">
      <c r="C134" s="141"/>
      <c r="D134" s="148"/>
      <c r="E134" s="141"/>
      <c r="F134" s="141"/>
      <c r="G134" s="141"/>
      <c r="H134" s="141"/>
      <c r="I134" s="141"/>
      <c r="J134" s="141"/>
      <c r="K134" s="141"/>
      <c r="L134" s="141"/>
      <c r="M134" s="141"/>
      <c r="N134" s="141"/>
      <c r="O134" s="141"/>
      <c r="P134" s="141"/>
      <c r="R134" s="148"/>
      <c r="S134" s="141"/>
      <c r="T134" s="141"/>
      <c r="U134" s="141"/>
      <c r="V134" s="141"/>
      <c r="W134" s="141"/>
      <c r="X134" s="141"/>
      <c r="Y134" s="141"/>
      <c r="Z134" s="141"/>
      <c r="AA134" s="141"/>
      <c r="AB134" s="141"/>
      <c r="AC134" s="141"/>
      <c r="AD134" s="141"/>
      <c r="AE134" s="141"/>
      <c r="AF134" s="141"/>
      <c r="AH134" s="148"/>
      <c r="AI134" s="141"/>
      <c r="AJ134" s="141"/>
      <c r="AK134" s="141"/>
      <c r="AL134" s="141"/>
      <c r="AM134" s="141"/>
      <c r="AN134" s="141"/>
      <c r="AO134" s="141"/>
      <c r="AQ134" s="135"/>
    </row>
    <row r="135" spans="3:43" s="144" customFormat="1" ht="18" customHeight="1" x14ac:dyDescent="0.15">
      <c r="C135" s="141"/>
      <c r="D135" s="148"/>
      <c r="E135" s="141"/>
      <c r="F135" s="141"/>
      <c r="G135" s="141"/>
      <c r="H135" s="141"/>
      <c r="I135" s="141"/>
      <c r="J135" s="141"/>
      <c r="K135" s="141"/>
      <c r="L135" s="141"/>
      <c r="M135" s="141"/>
      <c r="N135" s="141"/>
      <c r="O135" s="141"/>
      <c r="P135" s="141"/>
      <c r="R135" s="148"/>
      <c r="S135" s="141"/>
      <c r="T135" s="141"/>
      <c r="U135" s="141"/>
      <c r="V135" s="141"/>
      <c r="W135" s="141"/>
      <c r="X135" s="141"/>
      <c r="Y135" s="141"/>
      <c r="Z135" s="141"/>
      <c r="AA135" s="141"/>
      <c r="AB135" s="141"/>
      <c r="AC135" s="141"/>
      <c r="AD135" s="141"/>
      <c r="AE135" s="141"/>
      <c r="AF135" s="141"/>
      <c r="AH135" s="148"/>
      <c r="AI135" s="141"/>
      <c r="AJ135" s="141"/>
      <c r="AK135" s="141"/>
      <c r="AL135" s="141"/>
      <c r="AM135" s="141"/>
      <c r="AN135" s="141"/>
      <c r="AO135" s="141"/>
      <c r="AQ135" s="135"/>
    </row>
    <row r="136" spans="3:43" s="144" customFormat="1" ht="18" customHeight="1" x14ac:dyDescent="0.15">
      <c r="C136" s="141"/>
      <c r="D136" s="148"/>
      <c r="Q136" s="155"/>
      <c r="R136" s="148"/>
      <c r="AG136" s="155"/>
      <c r="AH136" s="148"/>
      <c r="AQ136" s="135"/>
    </row>
    <row r="137" spans="3:43" s="144" customFormat="1" ht="18" customHeight="1" x14ac:dyDescent="0.15">
      <c r="C137" s="141"/>
      <c r="D137" s="148"/>
      <c r="R137" s="148"/>
      <c r="AH137" s="148"/>
      <c r="AQ137" s="135"/>
    </row>
    <row r="138" spans="3:43" s="144" customFormat="1" ht="18" customHeight="1" x14ac:dyDescent="0.15">
      <c r="D138" s="148"/>
      <c r="R138" s="148"/>
      <c r="AH138" s="148"/>
      <c r="AQ138" s="135"/>
    </row>
    <row r="139" spans="3:43" s="144" customFormat="1" ht="18" customHeight="1" x14ac:dyDescent="0.15">
      <c r="C139" s="152"/>
      <c r="D139" s="147"/>
      <c r="R139" s="148"/>
      <c r="AH139" s="148"/>
      <c r="AQ139" s="135"/>
    </row>
    <row r="140" spans="3:43" s="144" customFormat="1" ht="18" customHeight="1" x14ac:dyDescent="0.15">
      <c r="C140" s="152"/>
      <c r="D140" s="147"/>
      <c r="R140" s="148"/>
      <c r="AH140" s="148"/>
      <c r="AQ140" s="135"/>
    </row>
    <row r="141" spans="3:43" s="144" customFormat="1" ht="18" customHeight="1" x14ac:dyDescent="0.15">
      <c r="C141" s="152"/>
      <c r="D141" s="147"/>
      <c r="R141" s="148"/>
      <c r="AH141" s="148"/>
      <c r="AQ141" s="135"/>
    </row>
    <row r="142" spans="3:43" s="144" customFormat="1" ht="18" customHeight="1" x14ac:dyDescent="0.15">
      <c r="C142" s="152"/>
      <c r="D142" s="147"/>
      <c r="R142" s="148"/>
      <c r="AH142" s="148"/>
      <c r="AQ142" s="135"/>
    </row>
    <row r="143" spans="3:43" s="144" customFormat="1" ht="18" customHeight="1" x14ac:dyDescent="0.15">
      <c r="C143" s="152"/>
      <c r="D143" s="147"/>
      <c r="R143" s="148"/>
      <c r="AH143" s="148"/>
      <c r="AQ143" s="135"/>
    </row>
    <row r="144" spans="3:43" s="144" customFormat="1" ht="18" customHeight="1" x14ac:dyDescent="0.15">
      <c r="C144" s="152"/>
      <c r="D144" s="147"/>
      <c r="R144" s="148"/>
      <c r="AH144" s="148"/>
      <c r="AQ144" s="135"/>
    </row>
    <row r="145" spans="3:43" s="144" customFormat="1" ht="18" customHeight="1" x14ac:dyDescent="0.15">
      <c r="C145" s="153"/>
      <c r="D145" s="147"/>
      <c r="R145" s="148"/>
      <c r="AH145" s="148"/>
      <c r="AQ145" s="135"/>
    </row>
    <row r="146" spans="3:43" s="144" customFormat="1" ht="18" customHeight="1" x14ac:dyDescent="0.15">
      <c r="C146" s="152"/>
      <c r="D146" s="147"/>
      <c r="R146" s="148"/>
      <c r="AH146" s="148"/>
      <c r="AQ146" s="135"/>
    </row>
    <row r="147" spans="3:43" s="144" customFormat="1" ht="18" customHeight="1" x14ac:dyDescent="0.15">
      <c r="C147" s="152"/>
      <c r="D147" s="147"/>
      <c r="AQ147" s="135"/>
    </row>
    <row r="148" spans="3:43" s="144" customFormat="1" ht="18" customHeight="1" x14ac:dyDescent="0.15">
      <c r="C148" s="152"/>
      <c r="D148" s="147"/>
      <c r="AQ148" s="135"/>
    </row>
    <row r="149" spans="3:43" s="144" customFormat="1" ht="18" customHeight="1" x14ac:dyDescent="0.15">
      <c r="C149" s="152"/>
      <c r="D149" s="147"/>
      <c r="AQ149" s="135"/>
    </row>
    <row r="150" spans="3:43" s="144" customFormat="1" ht="18" customHeight="1" x14ac:dyDescent="0.15">
      <c r="C150" s="152"/>
      <c r="D150" s="147"/>
      <c r="AQ150" s="135"/>
    </row>
    <row r="151" spans="3:43" s="144" customFormat="1" ht="18" customHeight="1" x14ac:dyDescent="0.15">
      <c r="C151" s="152"/>
      <c r="D151" s="147"/>
      <c r="AQ151" s="135"/>
    </row>
    <row r="152" spans="3:43" s="144" customFormat="1" ht="18" customHeight="1" x14ac:dyDescent="0.15">
      <c r="AQ152" s="135"/>
    </row>
    <row r="153" spans="3:43" s="144" customFormat="1" ht="18" customHeight="1" x14ac:dyDescent="0.15">
      <c r="AQ153" s="135"/>
    </row>
    <row r="154" spans="3:43" s="144" customFormat="1" ht="18" customHeight="1" x14ac:dyDescent="0.15">
      <c r="AQ154" s="135"/>
    </row>
    <row r="155" spans="3:43" s="144" customFormat="1" ht="18" customHeight="1" x14ac:dyDescent="0.15">
      <c r="AQ155" s="135"/>
    </row>
    <row r="156" spans="3:43" s="144" customFormat="1" ht="18" customHeight="1" x14ac:dyDescent="0.15">
      <c r="AQ156" s="135"/>
    </row>
    <row r="157" spans="3:43" s="144" customFormat="1" ht="18" customHeight="1" x14ac:dyDescent="0.15">
      <c r="AQ157" s="135"/>
    </row>
    <row r="158" spans="3:43" s="144" customFormat="1" ht="18" customHeight="1" x14ac:dyDescent="0.15">
      <c r="AQ158" s="135"/>
    </row>
    <row r="159" spans="3:43" s="144" customFormat="1" ht="18" customHeight="1" x14ac:dyDescent="0.15">
      <c r="AQ159" s="135"/>
    </row>
    <row r="160" spans="3:43" s="144" customFormat="1" ht="18" customHeight="1" x14ac:dyDescent="0.15">
      <c r="AQ160" s="135"/>
    </row>
    <row r="161" spans="43:43" s="144" customFormat="1" ht="18" customHeight="1" x14ac:dyDescent="0.15">
      <c r="AQ161" s="135"/>
    </row>
    <row r="162" spans="43:43" s="144" customFormat="1" ht="18" customHeight="1" x14ac:dyDescent="0.15">
      <c r="AQ162" s="135"/>
    </row>
    <row r="163" spans="43:43" s="144" customFormat="1" ht="18" customHeight="1" x14ac:dyDescent="0.15">
      <c r="AQ163" s="135"/>
    </row>
    <row r="164" spans="43:43" s="144" customFormat="1" ht="18" customHeight="1" x14ac:dyDescent="0.15">
      <c r="AQ164" s="135"/>
    </row>
    <row r="165" spans="43:43" s="144" customFormat="1" ht="18" customHeight="1" x14ac:dyDescent="0.15">
      <c r="AQ165" s="135"/>
    </row>
    <row r="166" spans="43:43" s="144" customFormat="1" ht="18" customHeight="1" x14ac:dyDescent="0.15">
      <c r="AQ166" s="135"/>
    </row>
    <row r="167" spans="43:43" s="144" customFormat="1" ht="18" customHeight="1" x14ac:dyDescent="0.15">
      <c r="AQ167" s="135"/>
    </row>
    <row r="168" spans="43:43" s="144" customFormat="1" ht="18" customHeight="1" x14ac:dyDescent="0.15">
      <c r="AQ168" s="135"/>
    </row>
    <row r="169" spans="43:43" s="144" customFormat="1" ht="18" customHeight="1" x14ac:dyDescent="0.15">
      <c r="AQ169" s="135"/>
    </row>
    <row r="170" spans="43:43" s="144" customFormat="1" ht="18" customHeight="1" x14ac:dyDescent="0.15">
      <c r="AQ170" s="135"/>
    </row>
    <row r="171" spans="43:43" s="144" customFormat="1" ht="18" customHeight="1" x14ac:dyDescent="0.15">
      <c r="AQ171" s="135"/>
    </row>
    <row r="172" spans="43:43" s="144" customFormat="1" ht="18" customHeight="1" x14ac:dyDescent="0.15">
      <c r="AQ172" s="135"/>
    </row>
    <row r="173" spans="43:43" s="144" customFormat="1" ht="18" customHeight="1" x14ac:dyDescent="0.15">
      <c r="AQ173" s="135"/>
    </row>
    <row r="174" spans="43:43" s="144" customFormat="1" ht="18" customHeight="1" x14ac:dyDescent="0.15">
      <c r="AQ174" s="135"/>
    </row>
    <row r="175" spans="43:43" s="144" customFormat="1" ht="18" customHeight="1" x14ac:dyDescent="0.15">
      <c r="AQ175" s="135"/>
    </row>
    <row r="176" spans="43:43" s="144" customFormat="1" ht="18" customHeight="1" x14ac:dyDescent="0.15">
      <c r="AQ176" s="135"/>
    </row>
    <row r="177" spans="43:43" s="144" customFormat="1" ht="18" customHeight="1" x14ac:dyDescent="0.15">
      <c r="AQ177" s="135"/>
    </row>
    <row r="178" spans="43:43" s="144" customFormat="1" ht="18" customHeight="1" x14ac:dyDescent="0.15">
      <c r="AQ178" s="135"/>
    </row>
    <row r="179" spans="43:43" s="144" customFormat="1" ht="18" customHeight="1" x14ac:dyDescent="0.15">
      <c r="AQ179" s="135"/>
    </row>
    <row r="180" spans="43:43" s="144" customFormat="1" ht="18" customHeight="1" x14ac:dyDescent="0.15">
      <c r="AQ180" s="135"/>
    </row>
    <row r="181" spans="43:43" s="144" customFormat="1" ht="18" customHeight="1" x14ac:dyDescent="0.15">
      <c r="AQ181" s="135"/>
    </row>
    <row r="182" spans="43:43" s="144" customFormat="1" ht="18" customHeight="1" x14ac:dyDescent="0.15">
      <c r="AQ182" s="135"/>
    </row>
    <row r="183" spans="43:43" s="144" customFormat="1" ht="18" customHeight="1" x14ac:dyDescent="0.15">
      <c r="AQ183" s="135"/>
    </row>
    <row r="184" spans="43:43" s="144" customFormat="1" ht="18" customHeight="1" x14ac:dyDescent="0.15">
      <c r="AQ184" s="135"/>
    </row>
    <row r="185" spans="43:43" s="144" customFormat="1" ht="18" customHeight="1" x14ac:dyDescent="0.15">
      <c r="AQ185" s="135"/>
    </row>
    <row r="186" spans="43:43" s="144" customFormat="1" ht="18" customHeight="1" x14ac:dyDescent="0.15">
      <c r="AQ186" s="135"/>
    </row>
    <row r="187" spans="43:43" s="144" customFormat="1" ht="18" customHeight="1" x14ac:dyDescent="0.15">
      <c r="AQ187" s="135"/>
    </row>
    <row r="188" spans="43:43" s="144" customFormat="1" ht="18" customHeight="1" x14ac:dyDescent="0.15">
      <c r="AQ188" s="135"/>
    </row>
    <row r="189" spans="43:43" s="144" customFormat="1" ht="18" customHeight="1" x14ac:dyDescent="0.15">
      <c r="AQ189" s="135"/>
    </row>
    <row r="190" spans="43:43" s="144" customFormat="1" ht="18" customHeight="1" x14ac:dyDescent="0.15">
      <c r="AQ190" s="135"/>
    </row>
    <row r="191" spans="43:43" s="144" customFormat="1" ht="18" customHeight="1" x14ac:dyDescent="0.15">
      <c r="AQ191" s="135"/>
    </row>
    <row r="192" spans="43:43" s="144" customFormat="1" ht="18" customHeight="1" x14ac:dyDescent="0.15">
      <c r="AQ192" s="135"/>
    </row>
    <row r="193" spans="43:43" s="144" customFormat="1" ht="18" customHeight="1" x14ac:dyDescent="0.15">
      <c r="AQ193" s="135"/>
    </row>
    <row r="194" spans="43:43" s="144" customFormat="1" ht="18" customHeight="1" x14ac:dyDescent="0.15">
      <c r="AQ194" s="135"/>
    </row>
    <row r="195" spans="43:43" s="144" customFormat="1" ht="18" customHeight="1" x14ac:dyDescent="0.15">
      <c r="AQ195" s="135"/>
    </row>
    <row r="196" spans="43:43" s="144" customFormat="1" ht="18" customHeight="1" x14ac:dyDescent="0.15">
      <c r="AQ196" s="135"/>
    </row>
    <row r="197" spans="43:43" s="144" customFormat="1" ht="18" customHeight="1" x14ac:dyDescent="0.15">
      <c r="AQ197" s="135"/>
    </row>
    <row r="198" spans="43:43" s="144" customFormat="1" ht="18" customHeight="1" x14ac:dyDescent="0.15">
      <c r="AQ198" s="135"/>
    </row>
    <row r="199" spans="43:43" s="144" customFormat="1" ht="18" customHeight="1" x14ac:dyDescent="0.15">
      <c r="AQ199" s="135"/>
    </row>
    <row r="200" spans="43:43" s="144" customFormat="1" ht="18" customHeight="1" x14ac:dyDescent="0.15">
      <c r="AQ200" s="135"/>
    </row>
    <row r="201" spans="43:43" s="144" customFormat="1" ht="18" customHeight="1" x14ac:dyDescent="0.15">
      <c r="AQ201" s="135"/>
    </row>
    <row r="202" spans="43:43" s="144" customFormat="1" ht="18" customHeight="1" x14ac:dyDescent="0.15">
      <c r="AQ202" s="135"/>
    </row>
    <row r="203" spans="43:43" s="144" customFormat="1" ht="18" customHeight="1" x14ac:dyDescent="0.15">
      <c r="AQ203" s="135"/>
    </row>
    <row r="204" spans="43:43" s="144" customFormat="1" ht="18" customHeight="1" x14ac:dyDescent="0.15">
      <c r="AQ204" s="135"/>
    </row>
    <row r="205" spans="43:43" s="144" customFormat="1" ht="18" customHeight="1" x14ac:dyDescent="0.15">
      <c r="AQ205" s="135"/>
    </row>
    <row r="206" spans="43:43" s="144" customFormat="1" ht="18" customHeight="1" x14ac:dyDescent="0.15">
      <c r="AQ206" s="135"/>
    </row>
    <row r="207" spans="43:43" s="144" customFormat="1" ht="18" customHeight="1" x14ac:dyDescent="0.15">
      <c r="AQ207" s="135"/>
    </row>
    <row r="208" spans="43:43" s="144" customFormat="1" ht="18" customHeight="1" x14ac:dyDescent="0.15">
      <c r="AQ208" s="135"/>
    </row>
    <row r="209" spans="43:43" s="144" customFormat="1" ht="18" customHeight="1" x14ac:dyDescent="0.15">
      <c r="AQ209" s="135"/>
    </row>
    <row r="210" spans="43:43" s="144" customFormat="1" ht="18" customHeight="1" x14ac:dyDescent="0.15">
      <c r="AQ210" s="135"/>
    </row>
    <row r="211" spans="43:43" s="144" customFormat="1" ht="18" customHeight="1" x14ac:dyDescent="0.15">
      <c r="AQ211" s="135"/>
    </row>
    <row r="212" spans="43:43" s="144" customFormat="1" ht="18" customHeight="1" x14ac:dyDescent="0.15">
      <c r="AQ212" s="135"/>
    </row>
    <row r="213" spans="43:43" s="144" customFormat="1" ht="18" customHeight="1" x14ac:dyDescent="0.15">
      <c r="AQ213" s="135"/>
    </row>
    <row r="214" spans="43:43" s="144" customFormat="1" ht="18" customHeight="1" x14ac:dyDescent="0.15">
      <c r="AQ214" s="135"/>
    </row>
    <row r="215" spans="43:43" s="144" customFormat="1" ht="18" customHeight="1" x14ac:dyDescent="0.15">
      <c r="AQ215" s="135"/>
    </row>
    <row r="216" spans="43:43" s="144" customFormat="1" ht="18" customHeight="1" x14ac:dyDescent="0.15">
      <c r="AQ216" s="135"/>
    </row>
    <row r="217" spans="43:43" s="144" customFormat="1" ht="18" customHeight="1" x14ac:dyDescent="0.15">
      <c r="AQ217" s="135"/>
    </row>
    <row r="218" spans="43:43" s="144" customFormat="1" ht="18" customHeight="1" x14ac:dyDescent="0.15">
      <c r="AQ218" s="135"/>
    </row>
    <row r="219" spans="43:43" s="144" customFormat="1" ht="18" customHeight="1" x14ac:dyDescent="0.15">
      <c r="AQ219" s="135"/>
    </row>
    <row r="220" spans="43:43" s="144" customFormat="1" ht="18" customHeight="1" x14ac:dyDescent="0.15">
      <c r="AQ220" s="135"/>
    </row>
    <row r="221" spans="43:43" s="144" customFormat="1" ht="18" customHeight="1" x14ac:dyDescent="0.15">
      <c r="AQ221" s="135"/>
    </row>
    <row r="222" spans="43:43" s="144" customFormat="1" ht="18" customHeight="1" x14ac:dyDescent="0.15">
      <c r="AQ222" s="135"/>
    </row>
    <row r="223" spans="43:43" s="144" customFormat="1" ht="18" customHeight="1" x14ac:dyDescent="0.15">
      <c r="AQ223" s="135"/>
    </row>
    <row r="224" spans="43:43" s="144" customFormat="1" ht="18" customHeight="1" x14ac:dyDescent="0.15">
      <c r="AQ224" s="135"/>
    </row>
    <row r="225" spans="1:43" s="144" customFormat="1" ht="18" customHeight="1" x14ac:dyDescent="0.15">
      <c r="AQ225" s="135"/>
    </row>
    <row r="226" spans="1:43" s="144" customFormat="1" ht="18" customHeight="1" x14ac:dyDescent="0.15">
      <c r="AQ226" s="135"/>
    </row>
    <row r="227" spans="1:43" s="144" customFormat="1" ht="18" customHeight="1" x14ac:dyDescent="0.15">
      <c r="AQ227" s="135"/>
    </row>
    <row r="228" spans="1:43" s="144" customFormat="1" ht="18" customHeight="1" x14ac:dyDescent="0.15">
      <c r="AQ228" s="135"/>
    </row>
    <row r="229" spans="1:43" s="144" customFormat="1" ht="18" customHeight="1" x14ac:dyDescent="0.15">
      <c r="AQ229" s="135"/>
    </row>
    <row r="230" spans="1:43" s="144" customFormat="1" ht="18" customHeight="1" x14ac:dyDescent="0.15">
      <c r="AQ230" s="135"/>
    </row>
    <row r="231" spans="1:43" s="144" customFormat="1" ht="18" customHeight="1" x14ac:dyDescent="0.15">
      <c r="AQ231" s="135"/>
    </row>
    <row r="232" spans="1:43" s="144" customFormat="1" ht="18" customHeight="1" x14ac:dyDescent="0.15">
      <c r="AQ232" s="135"/>
    </row>
    <row r="233" spans="1:43" s="144" customFormat="1" ht="18" customHeight="1" x14ac:dyDescent="0.15">
      <c r="AQ233" s="135"/>
    </row>
    <row r="234" spans="1:43" s="144" customFormat="1" ht="18" customHeight="1" x14ac:dyDescent="0.15">
      <c r="AQ234" s="135"/>
    </row>
    <row r="235" spans="1:43" s="144" customFormat="1" ht="18" customHeight="1" x14ac:dyDescent="0.15">
      <c r="AQ235" s="135"/>
    </row>
    <row r="236" spans="1:43" s="144" customFormat="1" ht="18" customHeight="1" x14ac:dyDescent="0.15">
      <c r="AQ236" s="135"/>
    </row>
    <row r="237" spans="1:43" s="144" customFormat="1" ht="18" customHeight="1" x14ac:dyDescent="0.15">
      <c r="AQ237" s="135"/>
    </row>
    <row r="238" spans="1:43" s="144" customFormat="1" ht="18" customHeight="1" x14ac:dyDescent="0.15">
      <c r="A238" s="134"/>
      <c r="B238" s="134"/>
      <c r="C238" s="134"/>
      <c r="D238" s="134"/>
      <c r="E238" s="134"/>
      <c r="F238" s="134"/>
      <c r="G238" s="134"/>
      <c r="H238" s="134"/>
      <c r="I238" s="134"/>
      <c r="J238" s="134"/>
      <c r="K238" s="134"/>
      <c r="L238" s="134"/>
      <c r="M238" s="134"/>
      <c r="N238" s="134"/>
      <c r="O238" s="134"/>
      <c r="P238" s="134"/>
      <c r="Q238" s="134"/>
      <c r="R238" s="134"/>
      <c r="S238" s="134"/>
      <c r="T238" s="134"/>
      <c r="U238" s="134"/>
      <c r="V238" s="134"/>
      <c r="W238" s="134"/>
      <c r="X238" s="134"/>
      <c r="Y238" s="134"/>
      <c r="Z238" s="134"/>
      <c r="AA238" s="134"/>
      <c r="AB238" s="134"/>
      <c r="AC238" s="134"/>
      <c r="AD238" s="134"/>
      <c r="AE238" s="134"/>
      <c r="AF238" s="134"/>
      <c r="AG238" s="134"/>
      <c r="AH238" s="134"/>
      <c r="AI238" s="134"/>
      <c r="AJ238" s="134"/>
      <c r="AK238" s="134"/>
      <c r="AL238" s="134"/>
      <c r="AM238" s="134"/>
      <c r="AN238" s="134"/>
      <c r="AO238" s="134"/>
      <c r="AP238" s="134"/>
      <c r="AQ238" s="135"/>
    </row>
    <row r="239" spans="1:43" s="144" customFormat="1" ht="18" customHeight="1" x14ac:dyDescent="0.15">
      <c r="A239" s="134"/>
      <c r="B239" s="134"/>
      <c r="C239" s="134"/>
      <c r="D239" s="134"/>
      <c r="E239" s="134"/>
      <c r="F239" s="134"/>
      <c r="G239" s="134"/>
      <c r="H239" s="134"/>
      <c r="I239" s="134"/>
      <c r="J239" s="134"/>
      <c r="K239" s="134"/>
      <c r="L239" s="134"/>
      <c r="M239" s="134"/>
      <c r="N239" s="134"/>
      <c r="O239" s="134"/>
      <c r="P239" s="134"/>
      <c r="Q239" s="134"/>
      <c r="R239" s="134"/>
      <c r="S239" s="134"/>
      <c r="T239" s="134"/>
      <c r="U239" s="134"/>
      <c r="V239" s="134"/>
      <c r="W239" s="134"/>
      <c r="X239" s="134"/>
      <c r="Y239" s="134"/>
      <c r="Z239" s="134"/>
      <c r="AA239" s="134"/>
      <c r="AB239" s="134"/>
      <c r="AC239" s="134"/>
      <c r="AD239" s="134"/>
      <c r="AE239" s="134"/>
      <c r="AF239" s="134"/>
      <c r="AG239" s="134"/>
      <c r="AH239" s="134"/>
      <c r="AI239" s="134"/>
      <c r="AJ239" s="134"/>
      <c r="AK239" s="134"/>
      <c r="AL239" s="134"/>
      <c r="AM239" s="134"/>
      <c r="AN239" s="134"/>
      <c r="AO239" s="134"/>
      <c r="AP239" s="134"/>
      <c r="AQ239" s="135"/>
    </row>
    <row r="240" spans="1:43" s="144" customFormat="1" ht="18" customHeight="1" x14ac:dyDescent="0.15">
      <c r="A240" s="134"/>
      <c r="B240" s="134"/>
      <c r="C240" s="134"/>
      <c r="D240" s="134"/>
      <c r="E240" s="134"/>
      <c r="F240" s="134"/>
      <c r="G240" s="134"/>
      <c r="H240" s="134"/>
      <c r="I240" s="134"/>
      <c r="J240" s="134"/>
      <c r="K240" s="134"/>
      <c r="L240" s="134"/>
      <c r="M240" s="134"/>
      <c r="N240" s="134"/>
      <c r="O240" s="134"/>
      <c r="P240" s="134"/>
      <c r="Q240" s="134"/>
      <c r="R240" s="134"/>
      <c r="S240" s="134"/>
      <c r="T240" s="134"/>
      <c r="U240" s="134"/>
      <c r="V240" s="134"/>
      <c r="W240" s="134"/>
      <c r="X240" s="134"/>
      <c r="Y240" s="134"/>
      <c r="Z240" s="134"/>
      <c r="AA240" s="134"/>
      <c r="AB240" s="134"/>
      <c r="AC240" s="134"/>
      <c r="AD240" s="134"/>
      <c r="AE240" s="134"/>
      <c r="AF240" s="134"/>
      <c r="AG240" s="134"/>
      <c r="AH240" s="134"/>
      <c r="AI240" s="134"/>
      <c r="AJ240" s="134"/>
      <c r="AK240" s="134"/>
      <c r="AL240" s="134"/>
      <c r="AM240" s="134"/>
      <c r="AN240" s="134"/>
      <c r="AO240" s="134"/>
      <c r="AP240" s="134"/>
      <c r="AQ240" s="135"/>
    </row>
    <row r="241" spans="1:46" s="144" customFormat="1" ht="18" customHeight="1" x14ac:dyDescent="0.15">
      <c r="A241" s="134"/>
      <c r="B241" s="134"/>
      <c r="C241" s="134"/>
      <c r="D241" s="134"/>
      <c r="E241" s="134"/>
      <c r="F241" s="134"/>
      <c r="G241" s="134"/>
      <c r="H241" s="134"/>
      <c r="I241" s="134"/>
      <c r="J241" s="134"/>
      <c r="K241" s="134"/>
      <c r="L241" s="134"/>
      <c r="M241" s="134"/>
      <c r="N241" s="134"/>
      <c r="O241" s="134"/>
      <c r="P241" s="134"/>
      <c r="Q241" s="134"/>
      <c r="R241" s="134"/>
      <c r="S241" s="134"/>
      <c r="T241" s="134"/>
      <c r="U241" s="134"/>
      <c r="V241" s="134"/>
      <c r="W241" s="134"/>
      <c r="X241" s="134"/>
      <c r="Y241" s="134"/>
      <c r="Z241" s="134"/>
      <c r="AA241" s="134"/>
      <c r="AB241" s="134"/>
      <c r="AC241" s="134"/>
      <c r="AD241" s="134"/>
      <c r="AE241" s="134"/>
      <c r="AF241" s="134"/>
      <c r="AG241" s="134"/>
      <c r="AH241" s="134"/>
      <c r="AI241" s="134"/>
      <c r="AJ241" s="134"/>
      <c r="AK241" s="134"/>
      <c r="AL241" s="134"/>
      <c r="AM241" s="134"/>
      <c r="AN241" s="134"/>
      <c r="AO241" s="134"/>
      <c r="AP241" s="134"/>
      <c r="AQ241" s="135"/>
    </row>
    <row r="242" spans="1:46" s="144" customFormat="1" ht="18" customHeight="1" x14ac:dyDescent="0.15">
      <c r="A242" s="134"/>
      <c r="B242" s="134"/>
      <c r="C242" s="134"/>
      <c r="D242" s="134"/>
      <c r="E242" s="134"/>
      <c r="F242" s="134"/>
      <c r="G242" s="134"/>
      <c r="H242" s="134"/>
      <c r="I242" s="134"/>
      <c r="J242" s="134"/>
      <c r="K242" s="134"/>
      <c r="L242" s="134"/>
      <c r="M242" s="134"/>
      <c r="N242" s="134"/>
      <c r="O242" s="134"/>
      <c r="P242" s="134"/>
      <c r="Q242" s="134"/>
      <c r="R242" s="134"/>
      <c r="S242" s="134"/>
      <c r="T242" s="134"/>
      <c r="U242" s="134"/>
      <c r="V242" s="134"/>
      <c r="W242" s="134"/>
      <c r="X242" s="134"/>
      <c r="Y242" s="134"/>
      <c r="Z242" s="134"/>
      <c r="AA242" s="134"/>
      <c r="AB242" s="134"/>
      <c r="AC242" s="134"/>
      <c r="AD242" s="134"/>
      <c r="AE242" s="134"/>
      <c r="AF242" s="134"/>
      <c r="AG242" s="134"/>
      <c r="AH242" s="134"/>
      <c r="AI242" s="134"/>
      <c r="AJ242" s="134"/>
      <c r="AK242" s="134"/>
      <c r="AL242" s="134"/>
      <c r="AM242" s="134"/>
      <c r="AN242" s="134"/>
      <c r="AO242" s="134"/>
      <c r="AP242" s="134"/>
      <c r="AQ242" s="135"/>
    </row>
    <row r="243" spans="1:46" s="144" customFormat="1" ht="18" customHeight="1" x14ac:dyDescent="0.15">
      <c r="A243" s="134"/>
      <c r="B243" s="134"/>
      <c r="C243" s="134"/>
      <c r="D243" s="134"/>
      <c r="E243" s="134"/>
      <c r="F243" s="134"/>
      <c r="G243" s="134"/>
      <c r="H243" s="134"/>
      <c r="I243" s="134"/>
      <c r="J243" s="134"/>
      <c r="K243" s="134"/>
      <c r="L243" s="134"/>
      <c r="M243" s="134"/>
      <c r="N243" s="134"/>
      <c r="O243" s="134"/>
      <c r="P243" s="134"/>
      <c r="Q243" s="134"/>
      <c r="R243" s="134"/>
      <c r="S243" s="134"/>
      <c r="T243" s="134"/>
      <c r="U243" s="134"/>
      <c r="V243" s="134"/>
      <c r="W243" s="134"/>
      <c r="X243" s="134"/>
      <c r="Y243" s="134"/>
      <c r="Z243" s="134"/>
      <c r="AA243" s="134"/>
      <c r="AB243" s="134"/>
      <c r="AC243" s="134"/>
      <c r="AD243" s="134"/>
      <c r="AE243" s="134"/>
      <c r="AF243" s="134"/>
      <c r="AG243" s="134"/>
      <c r="AH243" s="134"/>
      <c r="AI243" s="134"/>
      <c r="AJ243" s="134"/>
      <c r="AK243" s="134"/>
      <c r="AL243" s="134"/>
      <c r="AM243" s="134"/>
      <c r="AN243" s="134"/>
      <c r="AO243" s="134"/>
      <c r="AP243" s="134"/>
      <c r="AQ243" s="135"/>
      <c r="AR243" s="134"/>
      <c r="AS243" s="134"/>
      <c r="AT243" s="134"/>
    </row>
  </sheetData>
  <dataConsolidate/>
  <customSheetViews>
    <customSheetView guid="{62777320-11E7-11D4-8B3D-00E098726125}" scale="75" showRuler="0">
      <selection activeCell="F9" sqref="F9"/>
      <pageMargins left="0.74803149606299213" right="0.74803149606299213" top="0.98425196850393704" bottom="0.98425196850393704" header="0.51181102362204722" footer="0.51181102362204722"/>
      <printOptions horizontalCentered="1" verticalCentered="1"/>
      <pageSetup paperSize="9" scale="85" orientation="portrait"/>
      <headerFooter alignWithMargins="0"/>
    </customSheetView>
    <customSheetView guid="{33FE80C0-0EDF-11D4-8B3D-001060002050}" scale="75" showPageBreaks="1" showRuler="0">
      <selection activeCell="F9" sqref="F9"/>
      <pageMargins left="0.74803149606299213" right="0.74803149606299213" top="0.98425196850393704" bottom="0.98425196850393704" header="0.51181102362204722" footer="0.51181102362204722"/>
      <printOptions horizontalCentered="1" verticalCentered="1"/>
      <pageSetup paperSize="9" scale="85" orientation="portrait"/>
      <headerFooter alignWithMargins="0"/>
    </customSheetView>
  </customSheetViews>
  <mergeCells count="13">
    <mergeCell ref="AM3:AP3"/>
    <mergeCell ref="G3:J3"/>
    <mergeCell ref="K3:N3"/>
    <mergeCell ref="O3:R3"/>
    <mergeCell ref="W3:Z3"/>
    <mergeCell ref="AA3:AD3"/>
    <mergeCell ref="AE3:AH3"/>
    <mergeCell ref="AI3:AL3"/>
    <mergeCell ref="C67:D67"/>
    <mergeCell ref="A3:A4"/>
    <mergeCell ref="C3:F3"/>
    <mergeCell ref="B3:B4"/>
    <mergeCell ref="S3:V3"/>
  </mergeCells>
  <phoneticPr fontId="2" type="noConversion"/>
  <conditionalFormatting sqref="B5">
    <cfRule type="cellIs" dxfId="42" priority="27" stopIfTrue="1" operator="notEqual">
      <formula>$B$14</formula>
    </cfRule>
  </conditionalFormatting>
  <conditionalFormatting sqref="B15">
    <cfRule type="cellIs" dxfId="41" priority="26" stopIfTrue="1" operator="notEqual">
      <formula>$B$69</formula>
    </cfRule>
  </conditionalFormatting>
  <conditionalFormatting sqref="B22">
    <cfRule type="cellIs" dxfId="40" priority="25" stopIfTrue="1" operator="notEqual">
      <formula>$B$81</formula>
    </cfRule>
  </conditionalFormatting>
  <conditionalFormatting sqref="B27">
    <cfRule type="cellIs" dxfId="39" priority="24" stopIfTrue="1" operator="notEqual">
      <formula>$B$86</formula>
    </cfRule>
  </conditionalFormatting>
  <conditionalFormatting sqref="B31">
    <cfRule type="cellIs" dxfId="38" priority="23" stopIfTrue="1" operator="notEqual">
      <formula>$B$108</formula>
    </cfRule>
  </conditionalFormatting>
  <conditionalFormatting sqref="B32">
    <cfRule type="cellIs" dxfId="37" priority="22" stopIfTrue="1" operator="notEqual">
      <formula>$B$109</formula>
    </cfRule>
  </conditionalFormatting>
  <conditionalFormatting sqref="B33">
    <cfRule type="cellIs" dxfId="36" priority="21" stopIfTrue="1" operator="notEqual">
      <formula>$B$110</formula>
    </cfRule>
  </conditionalFormatting>
  <conditionalFormatting sqref="B14">
    <cfRule type="cellIs" dxfId="35" priority="2" stopIfTrue="1" operator="notEqual">
      <formula>$B$114</formula>
    </cfRule>
  </conditionalFormatting>
  <conditionalFormatting sqref="B34">
    <cfRule type="cellIs" dxfId="34" priority="19" stopIfTrue="1" operator="notEqual">
      <formula>$B$111</formula>
    </cfRule>
  </conditionalFormatting>
  <conditionalFormatting sqref="B35">
    <cfRule type="cellIs" dxfId="33" priority="18" stopIfTrue="1" operator="notEqual">
      <formula>$B$112</formula>
    </cfRule>
  </conditionalFormatting>
  <conditionalFormatting sqref="B36">
    <cfRule type="cellIs" dxfId="32" priority="17" stopIfTrue="1" operator="notEqual">
      <formula>$B$113</formula>
    </cfRule>
  </conditionalFormatting>
  <conditionalFormatting sqref="B43:B65">
    <cfRule type="cellIs" dxfId="31" priority="16" stopIfTrue="1" operator="notEqual">
      <formula>1</formula>
    </cfRule>
  </conditionalFormatting>
  <conditionalFormatting sqref="B16">
    <cfRule type="cellIs" dxfId="30" priority="15" stopIfTrue="1" operator="notEqual">
      <formula>$B$70</formula>
    </cfRule>
  </conditionalFormatting>
  <conditionalFormatting sqref="B17">
    <cfRule type="cellIs" dxfId="29" priority="14" stopIfTrue="1" operator="notEqual">
      <formula>$B$71</formula>
    </cfRule>
  </conditionalFormatting>
  <conditionalFormatting sqref="B18">
    <cfRule type="cellIs" dxfId="28" priority="13" stopIfTrue="1" operator="notEqual">
      <formula>$B$72</formula>
    </cfRule>
  </conditionalFormatting>
  <conditionalFormatting sqref="B19">
    <cfRule type="cellIs" dxfId="27" priority="12" stopIfTrue="1" operator="notEqual">
      <formula>$B$73</formula>
    </cfRule>
  </conditionalFormatting>
  <conditionalFormatting sqref="B20">
    <cfRule type="cellIs" dxfId="26" priority="11" stopIfTrue="1" operator="notEqual">
      <formula>$B$77</formula>
    </cfRule>
  </conditionalFormatting>
  <conditionalFormatting sqref="B21">
    <cfRule type="cellIs" dxfId="25" priority="10" stopIfTrue="1" operator="notEqual">
      <formula>$B$80</formula>
    </cfRule>
  </conditionalFormatting>
  <conditionalFormatting sqref="B23">
    <cfRule type="cellIs" dxfId="24" priority="9" stopIfTrue="1" operator="notEqual">
      <formula>$B$82</formula>
    </cfRule>
  </conditionalFormatting>
  <conditionalFormatting sqref="B24">
    <cfRule type="cellIs" dxfId="23" priority="8" stopIfTrue="1" operator="notEqual">
      <formula>$B$83</formula>
    </cfRule>
  </conditionalFormatting>
  <conditionalFormatting sqref="B25">
    <cfRule type="cellIs" dxfId="22" priority="7" stopIfTrue="1" operator="notEqual">
      <formula>$B$84</formula>
    </cfRule>
  </conditionalFormatting>
  <conditionalFormatting sqref="B26">
    <cfRule type="cellIs" dxfId="21" priority="6" stopIfTrue="1" operator="notEqual">
      <formula>$B$85</formula>
    </cfRule>
  </conditionalFormatting>
  <conditionalFormatting sqref="B28">
    <cfRule type="cellIs" dxfId="20" priority="5" stopIfTrue="1" operator="notEqual">
      <formula>$B$87</formula>
    </cfRule>
  </conditionalFormatting>
  <conditionalFormatting sqref="B29">
    <cfRule type="cellIs" dxfId="19" priority="4" stopIfTrue="1" operator="notEqual">
      <formula>$B$106</formula>
    </cfRule>
  </conditionalFormatting>
  <conditionalFormatting sqref="B30">
    <cfRule type="cellIs" dxfId="18" priority="3" stopIfTrue="1" operator="notEqual">
      <formula>$B$107</formula>
    </cfRule>
  </conditionalFormatting>
  <conditionalFormatting sqref="B42">
    <cfRule type="cellIs" dxfId="17" priority="1" stopIfTrue="1" operator="notEqual">
      <formula>1</formula>
    </cfRule>
  </conditionalFormatting>
  <printOptions horizontalCentered="1" verticalCentered="1"/>
  <pageMargins left="0.42" right="0.74803149606299213" top="0.63" bottom="0.98425196850393704" header="0.51181102362204722" footer="0.51181102362204722"/>
  <pageSetup paperSize="9" scale="2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outlinePr summaryBelow="0" summaryRight="0"/>
  </sheetPr>
  <dimension ref="A1:AQ34"/>
  <sheetViews>
    <sheetView view="pageBreakPreview" zoomScaleNormal="100" zoomScaleSheetLayoutView="100" workbookViewId="0">
      <pane xSplit="1" ySplit="4" topLeftCell="B14" activePane="bottomRight" state="frozen"/>
      <selection activeCell="C6" sqref="C6"/>
      <selection pane="topRight" activeCell="C6" sqref="C6"/>
      <selection pane="bottomLeft" activeCell="C6" sqref="C6"/>
      <selection pane="bottomRight" activeCell="K20" sqref="K20"/>
    </sheetView>
  </sheetViews>
  <sheetFormatPr defaultColWidth="11" defaultRowHeight="18" customHeight="1" outlineLevelRow="1" x14ac:dyDescent="0.15"/>
  <cols>
    <col min="1" max="1" width="22.125" style="270" customWidth="1"/>
    <col min="2" max="17" width="13.625" style="135" customWidth="1"/>
    <col min="18" max="41" width="13.625" style="135" hidden="1" customWidth="1"/>
    <col min="42" max="42" width="13.625" style="270" customWidth="1"/>
    <col min="43" max="44" width="11" style="270" customWidth="1"/>
    <col min="45" max="16384" width="11" style="270"/>
  </cols>
  <sheetData>
    <row r="1" spans="1:43" s="164" customFormat="1" ht="18" customHeight="1" x14ac:dyDescent="0.15">
      <c r="A1" s="236" t="s">
        <v>624</v>
      </c>
      <c r="B1" s="236" t="s">
        <v>12</v>
      </c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236"/>
      <c r="Z1" s="236"/>
      <c r="AA1" s="236"/>
      <c r="AB1" s="236"/>
      <c r="AC1" s="236"/>
      <c r="AD1" s="236"/>
      <c r="AE1" s="236"/>
      <c r="AF1" s="236"/>
      <c r="AG1" s="236"/>
      <c r="AH1" s="236"/>
      <c r="AI1" s="236"/>
      <c r="AJ1" s="236"/>
      <c r="AK1" s="236"/>
      <c r="AL1" s="236"/>
      <c r="AM1" s="236"/>
      <c r="AN1" s="236"/>
      <c r="AO1" s="236"/>
      <c r="AP1" s="266"/>
    </row>
    <row r="2" spans="1:43" s="164" customFormat="1" ht="18" customHeight="1" x14ac:dyDescent="0.15">
      <c r="A2" s="635" t="s">
        <v>8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Z2" s="236"/>
      <c r="AA2" s="236"/>
      <c r="AB2" s="236"/>
      <c r="AC2" s="236"/>
      <c r="AD2" s="236"/>
      <c r="AE2" s="236"/>
      <c r="AF2" s="236"/>
      <c r="AG2" s="236"/>
      <c r="AH2" s="236"/>
      <c r="AI2" s="236"/>
      <c r="AJ2" s="236"/>
      <c r="AK2" s="236"/>
      <c r="AL2" s="236"/>
      <c r="AM2" s="236"/>
      <c r="AN2" s="236"/>
      <c r="AO2" s="236"/>
      <c r="AP2" s="266"/>
    </row>
    <row r="3" spans="1:43" s="688" customFormat="1" ht="18" customHeight="1" x14ac:dyDescent="0.15">
      <c r="A3" s="819" t="s">
        <v>496</v>
      </c>
      <c r="B3" s="821" t="str">
        <f>'主表1（成本）'!C3</f>
        <v>2021年</v>
      </c>
      <c r="C3" s="822"/>
      <c r="D3" s="822"/>
      <c r="E3" s="823"/>
      <c r="F3" s="821" t="str">
        <f>'主表1（成本）'!G3</f>
        <v>2022年</v>
      </c>
      <c r="G3" s="822"/>
      <c r="H3" s="822"/>
      <c r="I3" s="823"/>
      <c r="J3" s="821" t="str">
        <f>'主表1（成本）'!K3</f>
        <v>2023年</v>
      </c>
      <c r="K3" s="822"/>
      <c r="L3" s="822"/>
      <c r="M3" s="823"/>
      <c r="N3" s="821" t="str">
        <f>'主表1（成本）'!O3</f>
        <v>2024年</v>
      </c>
      <c r="O3" s="822"/>
      <c r="P3" s="822"/>
      <c r="Q3" s="823"/>
      <c r="R3" s="821" t="str">
        <f>'主表1（成本）'!S3</f>
        <v>2025年</v>
      </c>
      <c r="S3" s="822"/>
      <c r="T3" s="822"/>
      <c r="U3" s="823"/>
      <c r="V3" s="821" t="str">
        <f>'主表1（成本）'!W3</f>
        <v>2026年</v>
      </c>
      <c r="W3" s="822"/>
      <c r="X3" s="822"/>
      <c r="Y3" s="823"/>
      <c r="Z3" s="821" t="str">
        <f>'主表1（成本）'!AA3</f>
        <v>2027年</v>
      </c>
      <c r="AA3" s="822"/>
      <c r="AB3" s="822"/>
      <c r="AC3" s="823"/>
      <c r="AD3" s="821" t="str">
        <f>'主表1（成本）'!AE3</f>
        <v>2028年</v>
      </c>
      <c r="AE3" s="822"/>
      <c r="AF3" s="822"/>
      <c r="AG3" s="823"/>
      <c r="AH3" s="821" t="str">
        <f>'主表1（成本）'!AI3</f>
        <v>2029年</v>
      </c>
      <c r="AI3" s="822"/>
      <c r="AJ3" s="822"/>
      <c r="AK3" s="823"/>
      <c r="AL3" s="821" t="str">
        <f>'主表1（成本）'!AM3</f>
        <v>2030年</v>
      </c>
      <c r="AM3" s="822"/>
      <c r="AN3" s="822"/>
      <c r="AO3" s="823"/>
      <c r="AP3" s="824" t="s">
        <v>519</v>
      </c>
    </row>
    <row r="4" spans="1:43" s="688" customFormat="1" ht="18" customHeight="1" x14ac:dyDescent="0.15">
      <c r="A4" s="819"/>
      <c r="B4" s="533" t="str">
        <f>'主表1（成本）'!C4</f>
        <v>Q1</v>
      </c>
      <c r="C4" s="534" t="str">
        <f>'主表1（成本）'!D4</f>
        <v>Q2</v>
      </c>
      <c r="D4" s="534" t="str">
        <f>'主表1（成本）'!E4</f>
        <v>Q3</v>
      </c>
      <c r="E4" s="535" t="str">
        <f>'主表1（成本）'!F4</f>
        <v>Q4</v>
      </c>
      <c r="F4" s="533" t="str">
        <f>'主表1（成本）'!G4</f>
        <v>Q1</v>
      </c>
      <c r="G4" s="534" t="str">
        <f>'主表1（成本）'!H4</f>
        <v>Q2</v>
      </c>
      <c r="H4" s="534" t="str">
        <f>'主表1（成本）'!I4</f>
        <v>Q3</v>
      </c>
      <c r="I4" s="535" t="str">
        <f>'主表1（成本）'!J4</f>
        <v>Q4</v>
      </c>
      <c r="J4" s="533" t="str">
        <f>'主表1（成本）'!K4</f>
        <v>Q1</v>
      </c>
      <c r="K4" s="534" t="str">
        <f>'主表1（成本）'!L4</f>
        <v>Q2</v>
      </c>
      <c r="L4" s="534" t="str">
        <f>'主表1（成本）'!M4</f>
        <v>Q3</v>
      </c>
      <c r="M4" s="535" t="str">
        <f>'主表1（成本）'!N4</f>
        <v>Q4</v>
      </c>
      <c r="N4" s="533" t="str">
        <f>'主表1（成本）'!O4</f>
        <v>Q1</v>
      </c>
      <c r="O4" s="534" t="str">
        <f>'主表1（成本）'!P4</f>
        <v>Q2</v>
      </c>
      <c r="P4" s="534" t="str">
        <f>'主表1（成本）'!Q4</f>
        <v>Q3</v>
      </c>
      <c r="Q4" s="535" t="str">
        <f>'主表1（成本）'!R4</f>
        <v>Q4</v>
      </c>
      <c r="R4" s="533" t="str">
        <f>'主表1（成本）'!S4</f>
        <v>Q1</v>
      </c>
      <c r="S4" s="534" t="str">
        <f>'主表1（成本）'!T4</f>
        <v>Q2</v>
      </c>
      <c r="T4" s="534" t="str">
        <f>'主表1（成本）'!U4</f>
        <v>Q3</v>
      </c>
      <c r="U4" s="535" t="str">
        <f>'主表1（成本）'!V4</f>
        <v>Q4</v>
      </c>
      <c r="V4" s="533" t="str">
        <f>'主表1（成本）'!W4</f>
        <v>Q1</v>
      </c>
      <c r="W4" s="534" t="str">
        <f>'主表1（成本）'!X4</f>
        <v>Q2</v>
      </c>
      <c r="X4" s="534" t="str">
        <f>'主表1（成本）'!Y4</f>
        <v>Q3</v>
      </c>
      <c r="Y4" s="535" t="str">
        <f>'主表1（成本）'!Z4</f>
        <v>Q4</v>
      </c>
      <c r="Z4" s="533" t="str">
        <f>'主表1（成本）'!AA4</f>
        <v>Q1</v>
      </c>
      <c r="AA4" s="534" t="str">
        <f>'主表1（成本）'!AB4</f>
        <v>Q2</v>
      </c>
      <c r="AB4" s="534" t="str">
        <f>'主表1（成本）'!AC4</f>
        <v>Q3</v>
      </c>
      <c r="AC4" s="535" t="str">
        <f>'主表1（成本）'!AD4</f>
        <v>Q4</v>
      </c>
      <c r="AD4" s="533" t="str">
        <f>'主表1（成本）'!AE4</f>
        <v>Q1</v>
      </c>
      <c r="AE4" s="534" t="str">
        <f>'主表1（成本）'!AF4</f>
        <v>Q2</v>
      </c>
      <c r="AF4" s="534" t="str">
        <f>'主表1（成本）'!AG4</f>
        <v>Q3</v>
      </c>
      <c r="AG4" s="535" t="str">
        <f>'主表1（成本）'!AH4</f>
        <v>Q4</v>
      </c>
      <c r="AH4" s="533" t="str">
        <f>'主表1（成本）'!AI4</f>
        <v>Q1</v>
      </c>
      <c r="AI4" s="534" t="str">
        <f>'主表1（成本）'!AJ4</f>
        <v>Q2</v>
      </c>
      <c r="AJ4" s="534" t="str">
        <f>'主表1（成本）'!AK4</f>
        <v>Q3</v>
      </c>
      <c r="AK4" s="535" t="str">
        <f>'主表1（成本）'!AL4</f>
        <v>Q4</v>
      </c>
      <c r="AL4" s="533" t="str">
        <f>'主表1（成本）'!AM4</f>
        <v>Q1</v>
      </c>
      <c r="AM4" s="534" t="str">
        <f>'主表1（成本）'!AN4</f>
        <v>Q2</v>
      </c>
      <c r="AN4" s="534" t="str">
        <f>'主表1（成本）'!AO4</f>
        <v>Q3</v>
      </c>
      <c r="AO4" s="535" t="str">
        <f>'主表1（成本）'!AP4</f>
        <v>Q4</v>
      </c>
      <c r="AP4" s="824"/>
    </row>
    <row r="5" spans="1:43" ht="18" customHeight="1" x14ac:dyDescent="0.15">
      <c r="A5" s="235" t="s">
        <v>13</v>
      </c>
      <c r="B5" s="267">
        <f>SUM(B6:B8)</f>
        <v>0</v>
      </c>
      <c r="C5" s="267">
        <f t="shared" ref="C5:AO5" si="0">SUM(C6:C8)</f>
        <v>0</v>
      </c>
      <c r="D5" s="267">
        <f t="shared" si="0"/>
        <v>0</v>
      </c>
      <c r="E5" s="267">
        <f t="shared" si="0"/>
        <v>50164</v>
      </c>
      <c r="F5" s="267">
        <f t="shared" si="0"/>
        <v>49703</v>
      </c>
      <c r="G5" s="267">
        <f t="shared" si="0"/>
        <v>59154</v>
      </c>
      <c r="H5" s="267">
        <f t="shared" si="0"/>
        <v>57349</v>
      </c>
      <c r="I5" s="267">
        <f t="shared" si="0"/>
        <v>43045</v>
      </c>
      <c r="J5" s="267">
        <f t="shared" si="0"/>
        <v>37567</v>
      </c>
      <c r="K5" s="267">
        <f t="shared" si="0"/>
        <v>23767</v>
      </c>
      <c r="L5" s="267">
        <f t="shared" si="0"/>
        <v>14716</v>
      </c>
      <c r="M5" s="267">
        <f t="shared" si="0"/>
        <v>13090</v>
      </c>
      <c r="N5" s="267">
        <f t="shared" si="0"/>
        <v>5068</v>
      </c>
      <c r="O5" s="267">
        <f t="shared" si="0"/>
        <v>498</v>
      </c>
      <c r="P5" s="267">
        <f t="shared" si="0"/>
        <v>0</v>
      </c>
      <c r="Q5" s="267">
        <f t="shared" si="0"/>
        <v>0</v>
      </c>
      <c r="R5" s="267">
        <f t="shared" si="0"/>
        <v>0</v>
      </c>
      <c r="S5" s="267">
        <f t="shared" si="0"/>
        <v>0</v>
      </c>
      <c r="T5" s="267">
        <f t="shared" si="0"/>
        <v>0</v>
      </c>
      <c r="U5" s="267">
        <f t="shared" si="0"/>
        <v>0</v>
      </c>
      <c r="V5" s="267">
        <f t="shared" ref="V5:AK5" si="1">SUM(V6:V8)</f>
        <v>0</v>
      </c>
      <c r="W5" s="267">
        <f t="shared" si="1"/>
        <v>0</v>
      </c>
      <c r="X5" s="267">
        <f t="shared" si="1"/>
        <v>0</v>
      </c>
      <c r="Y5" s="267">
        <f t="shared" si="1"/>
        <v>0</v>
      </c>
      <c r="Z5" s="267">
        <f t="shared" si="1"/>
        <v>0</v>
      </c>
      <c r="AA5" s="267">
        <f t="shared" si="1"/>
        <v>0</v>
      </c>
      <c r="AB5" s="267">
        <f t="shared" si="1"/>
        <v>0</v>
      </c>
      <c r="AC5" s="267">
        <f t="shared" si="1"/>
        <v>0</v>
      </c>
      <c r="AD5" s="267">
        <f t="shared" si="1"/>
        <v>0</v>
      </c>
      <c r="AE5" s="267">
        <f t="shared" si="1"/>
        <v>0</v>
      </c>
      <c r="AF5" s="267">
        <f t="shared" si="1"/>
        <v>0</v>
      </c>
      <c r="AG5" s="267">
        <f t="shared" si="1"/>
        <v>0</v>
      </c>
      <c r="AH5" s="267">
        <f t="shared" si="1"/>
        <v>0</v>
      </c>
      <c r="AI5" s="267">
        <f t="shared" si="1"/>
        <v>0</v>
      </c>
      <c r="AJ5" s="267">
        <f t="shared" si="1"/>
        <v>0</v>
      </c>
      <c r="AK5" s="267">
        <f t="shared" si="1"/>
        <v>0</v>
      </c>
      <c r="AL5" s="267">
        <f t="shared" si="0"/>
        <v>0</v>
      </c>
      <c r="AM5" s="267">
        <f t="shared" si="0"/>
        <v>0</v>
      </c>
      <c r="AN5" s="267">
        <f t="shared" si="0"/>
        <v>0</v>
      </c>
      <c r="AO5" s="267">
        <f t="shared" si="0"/>
        <v>0</v>
      </c>
      <c r="AP5" s="267">
        <f t="shared" ref="AP5:AP15" si="2">SUM(B5:AO5)</f>
        <v>354121</v>
      </c>
    </row>
    <row r="6" spans="1:43" ht="18" customHeight="1" outlineLevel="1" x14ac:dyDescent="0.15">
      <c r="A6" s="268" t="s">
        <v>2</v>
      </c>
      <c r="B6" s="269">
        <f>'底表1（销售计划）'!D111</f>
        <v>0</v>
      </c>
      <c r="C6" s="269">
        <f>'底表1（销售计划）'!E111</f>
        <v>0</v>
      </c>
      <c r="D6" s="269">
        <f>'底表1（销售计划）'!F111</f>
        <v>0</v>
      </c>
      <c r="E6" s="269">
        <f>'底表1（销售计划）'!G111</f>
        <v>50164</v>
      </c>
      <c r="F6" s="269">
        <f>'底表1（销售计划）'!H111</f>
        <v>49703</v>
      </c>
      <c r="G6" s="269">
        <f>'底表1（销售计划）'!I111</f>
        <v>59154</v>
      </c>
      <c r="H6" s="269">
        <f>'底表1（销售计划）'!J111</f>
        <v>57349</v>
      </c>
      <c r="I6" s="269">
        <f>'底表1（销售计划）'!K111</f>
        <v>43045</v>
      </c>
      <c r="J6" s="269">
        <f>'底表1（销售计划）'!L111</f>
        <v>37567</v>
      </c>
      <c r="K6" s="269">
        <f>'底表1（销售计划）'!M111</f>
        <v>23767</v>
      </c>
      <c r="L6" s="269">
        <f>'底表1（销售计划）'!N111</f>
        <v>14716</v>
      </c>
      <c r="M6" s="269">
        <f>'底表1（销售计划）'!O111</f>
        <v>13090</v>
      </c>
      <c r="N6" s="269">
        <f>'底表1（销售计划）'!P111</f>
        <v>5068</v>
      </c>
      <c r="O6" s="269">
        <f>'底表1（销售计划）'!Q111</f>
        <v>498</v>
      </c>
      <c r="P6" s="269">
        <f>'底表1（销售计划）'!R111</f>
        <v>0</v>
      </c>
      <c r="Q6" s="269">
        <f>'底表1（销售计划）'!S111</f>
        <v>0</v>
      </c>
      <c r="R6" s="269">
        <f>'底表1（销售计划）'!T111</f>
        <v>0</v>
      </c>
      <c r="S6" s="269">
        <f>'底表1（销售计划）'!U111</f>
        <v>0</v>
      </c>
      <c r="T6" s="269">
        <f>'底表1（销售计划）'!V111</f>
        <v>0</v>
      </c>
      <c r="U6" s="269">
        <f>'底表1（销售计划）'!W111</f>
        <v>0</v>
      </c>
      <c r="V6" s="269">
        <f>'底表1（销售计划）'!X111</f>
        <v>0</v>
      </c>
      <c r="W6" s="269">
        <f>'底表1（销售计划）'!Y111</f>
        <v>0</v>
      </c>
      <c r="X6" s="269">
        <f>'底表1（销售计划）'!Z111</f>
        <v>0</v>
      </c>
      <c r="Y6" s="269">
        <f>'底表1（销售计划）'!AA111</f>
        <v>0</v>
      </c>
      <c r="Z6" s="269">
        <f>'底表1（销售计划）'!AB111</f>
        <v>0</v>
      </c>
      <c r="AA6" s="269">
        <f>'底表1（销售计划）'!AC111</f>
        <v>0</v>
      </c>
      <c r="AB6" s="269">
        <f>'底表1（销售计划）'!AD111</f>
        <v>0</v>
      </c>
      <c r="AC6" s="269">
        <f>'底表1（销售计划）'!AE111</f>
        <v>0</v>
      </c>
      <c r="AD6" s="269">
        <f>'底表1（销售计划）'!AF111</f>
        <v>0</v>
      </c>
      <c r="AE6" s="269">
        <f>'底表1（销售计划）'!AG111</f>
        <v>0</v>
      </c>
      <c r="AF6" s="269">
        <f>'底表1（销售计划）'!AH111</f>
        <v>0</v>
      </c>
      <c r="AG6" s="269">
        <f>'底表1（销售计划）'!AI111</f>
        <v>0</v>
      </c>
      <c r="AH6" s="269">
        <f>'底表1（销售计划）'!AJ111</f>
        <v>0</v>
      </c>
      <c r="AI6" s="269">
        <f>'底表1（销售计划）'!AK111</f>
        <v>0</v>
      </c>
      <c r="AJ6" s="269">
        <f>'底表1（销售计划）'!AL111</f>
        <v>0</v>
      </c>
      <c r="AK6" s="269">
        <f>'底表1（销售计划）'!AM111</f>
        <v>0</v>
      </c>
      <c r="AL6" s="269">
        <f>'底表1（销售计划）'!AN111</f>
        <v>0</v>
      </c>
      <c r="AM6" s="269">
        <f>'底表1（销售计划）'!AO111</f>
        <v>0</v>
      </c>
      <c r="AN6" s="269">
        <f>'底表1（销售计划）'!AP111</f>
        <v>0</v>
      </c>
      <c r="AO6" s="269">
        <f>'底表1（销售计划）'!AQ111</f>
        <v>0</v>
      </c>
      <c r="AP6" s="250">
        <f t="shared" si="2"/>
        <v>354121</v>
      </c>
      <c r="AQ6" s="689"/>
    </row>
    <row r="7" spans="1:43" ht="18" customHeight="1" outlineLevel="1" x14ac:dyDescent="0.15">
      <c r="A7" s="268" t="s">
        <v>10</v>
      </c>
      <c r="B7" s="250"/>
      <c r="C7" s="250"/>
      <c r="D7" s="250"/>
      <c r="E7" s="250"/>
      <c r="F7" s="250"/>
      <c r="G7" s="250"/>
      <c r="H7" s="250"/>
      <c r="I7" s="250"/>
      <c r="J7" s="250"/>
      <c r="K7" s="250"/>
      <c r="L7" s="250"/>
      <c r="M7" s="250"/>
      <c r="N7" s="250"/>
      <c r="O7" s="250"/>
      <c r="P7" s="250"/>
      <c r="Q7" s="250"/>
      <c r="R7" s="250"/>
      <c r="S7" s="250"/>
      <c r="T7" s="250"/>
      <c r="U7" s="250"/>
      <c r="V7" s="250"/>
      <c r="W7" s="250"/>
      <c r="X7" s="250"/>
      <c r="Y7" s="250"/>
      <c r="Z7" s="250"/>
      <c r="AA7" s="250"/>
      <c r="AB7" s="250"/>
      <c r="AC7" s="250"/>
      <c r="AD7" s="250"/>
      <c r="AE7" s="250"/>
      <c r="AF7" s="250"/>
      <c r="AG7" s="250"/>
      <c r="AH7" s="250"/>
      <c r="AI7" s="250"/>
      <c r="AJ7" s="250"/>
      <c r="AK7" s="250"/>
      <c r="AL7" s="250"/>
      <c r="AM7" s="250"/>
      <c r="AN7" s="250"/>
      <c r="AO7" s="250"/>
      <c r="AP7" s="250">
        <f t="shared" si="2"/>
        <v>0</v>
      </c>
    </row>
    <row r="8" spans="1:43" ht="18" customHeight="1" outlineLevel="1" x14ac:dyDescent="0.15">
      <c r="A8" s="268" t="s">
        <v>14</v>
      </c>
      <c r="B8" s="250"/>
      <c r="C8" s="250"/>
      <c r="D8" s="250"/>
      <c r="E8" s="250"/>
      <c r="F8" s="250"/>
      <c r="G8" s="250"/>
      <c r="H8" s="250"/>
      <c r="I8" s="250"/>
      <c r="J8" s="250"/>
      <c r="K8" s="250"/>
      <c r="L8" s="250"/>
      <c r="M8" s="250"/>
      <c r="N8" s="250"/>
      <c r="O8" s="250"/>
      <c r="P8" s="250"/>
      <c r="Q8" s="250"/>
      <c r="R8" s="250"/>
      <c r="S8" s="250"/>
      <c r="T8" s="250"/>
      <c r="U8" s="250"/>
      <c r="V8" s="250"/>
      <c r="W8" s="250"/>
      <c r="X8" s="250"/>
      <c r="Y8" s="250"/>
      <c r="Z8" s="250"/>
      <c r="AA8" s="250"/>
      <c r="AB8" s="250"/>
      <c r="AC8" s="250"/>
      <c r="AD8" s="250"/>
      <c r="AE8" s="250"/>
      <c r="AF8" s="250"/>
      <c r="AG8" s="250"/>
      <c r="AH8" s="250"/>
      <c r="AI8" s="250"/>
      <c r="AJ8" s="250"/>
      <c r="AK8" s="250"/>
      <c r="AL8" s="250"/>
      <c r="AM8" s="250"/>
      <c r="AN8" s="250"/>
      <c r="AO8" s="250"/>
      <c r="AP8" s="250">
        <f t="shared" si="2"/>
        <v>0</v>
      </c>
    </row>
    <row r="9" spans="1:43" ht="18" customHeight="1" x14ac:dyDescent="0.15">
      <c r="A9" s="235" t="s">
        <v>15</v>
      </c>
      <c r="B9" s="267">
        <f t="shared" ref="B9:AO9" si="3">SUM(B10:B14)</f>
        <v>0</v>
      </c>
      <c r="C9" s="267">
        <f t="shared" si="3"/>
        <v>179014</v>
      </c>
      <c r="D9" s="267">
        <f t="shared" si="3"/>
        <v>24438</v>
      </c>
      <c r="E9" s="267">
        <f t="shared" si="3"/>
        <v>17080</v>
      </c>
      <c r="F9" s="267">
        <f t="shared" si="3"/>
        <v>12550</v>
      </c>
      <c r="G9" s="267">
        <f t="shared" si="3"/>
        <v>13315</v>
      </c>
      <c r="H9" s="267">
        <f t="shared" si="3"/>
        <v>13167</v>
      </c>
      <c r="I9" s="267">
        <f t="shared" si="3"/>
        <v>16461</v>
      </c>
      <c r="J9" s="267">
        <f t="shared" si="3"/>
        <v>9863</v>
      </c>
      <c r="K9" s="267">
        <f t="shared" si="3"/>
        <v>8748</v>
      </c>
      <c r="L9" s="267">
        <f t="shared" si="3"/>
        <v>6307</v>
      </c>
      <c r="M9" s="267">
        <f t="shared" si="3"/>
        <v>9079</v>
      </c>
      <c r="N9" s="267">
        <f t="shared" si="3"/>
        <v>4675</v>
      </c>
      <c r="O9" s="267">
        <f t="shared" si="3"/>
        <v>-3505</v>
      </c>
      <c r="P9" s="267">
        <f t="shared" si="3"/>
        <v>0</v>
      </c>
      <c r="Q9" s="267">
        <f t="shared" si="3"/>
        <v>0</v>
      </c>
      <c r="R9" s="267">
        <f t="shared" si="3"/>
        <v>0</v>
      </c>
      <c r="S9" s="267">
        <f t="shared" si="3"/>
        <v>0</v>
      </c>
      <c r="T9" s="267">
        <f t="shared" si="3"/>
        <v>0</v>
      </c>
      <c r="U9" s="267">
        <f t="shared" si="3"/>
        <v>0</v>
      </c>
      <c r="V9" s="267">
        <f t="shared" ref="V9:AK9" si="4">SUM(V10:V14)</f>
        <v>0</v>
      </c>
      <c r="W9" s="267">
        <f t="shared" si="4"/>
        <v>0</v>
      </c>
      <c r="X9" s="267">
        <f t="shared" si="4"/>
        <v>0</v>
      </c>
      <c r="Y9" s="267">
        <f t="shared" si="4"/>
        <v>0</v>
      </c>
      <c r="Z9" s="267">
        <f t="shared" si="4"/>
        <v>0</v>
      </c>
      <c r="AA9" s="267">
        <f t="shared" si="4"/>
        <v>0</v>
      </c>
      <c r="AB9" s="267">
        <f t="shared" si="4"/>
        <v>0</v>
      </c>
      <c r="AC9" s="267">
        <f t="shared" si="4"/>
        <v>0</v>
      </c>
      <c r="AD9" s="267">
        <f t="shared" si="4"/>
        <v>0</v>
      </c>
      <c r="AE9" s="267">
        <f t="shared" si="4"/>
        <v>0</v>
      </c>
      <c r="AF9" s="267">
        <f t="shared" si="4"/>
        <v>0</v>
      </c>
      <c r="AG9" s="267">
        <f t="shared" si="4"/>
        <v>0</v>
      </c>
      <c r="AH9" s="267">
        <f t="shared" si="4"/>
        <v>0</v>
      </c>
      <c r="AI9" s="267">
        <f t="shared" si="4"/>
        <v>0</v>
      </c>
      <c r="AJ9" s="267">
        <f t="shared" si="4"/>
        <v>0</v>
      </c>
      <c r="AK9" s="267">
        <f t="shared" si="4"/>
        <v>0</v>
      </c>
      <c r="AL9" s="267">
        <f t="shared" si="3"/>
        <v>0</v>
      </c>
      <c r="AM9" s="267">
        <f t="shared" si="3"/>
        <v>0</v>
      </c>
      <c r="AN9" s="267">
        <f t="shared" si="3"/>
        <v>0</v>
      </c>
      <c r="AO9" s="267">
        <f t="shared" si="3"/>
        <v>0</v>
      </c>
      <c r="AP9" s="267">
        <f t="shared" si="2"/>
        <v>311192</v>
      </c>
    </row>
    <row r="10" spans="1:43" ht="18" customHeight="1" outlineLevel="1" x14ac:dyDescent="0.15">
      <c r="A10" s="268" t="s">
        <v>16</v>
      </c>
      <c r="B10" s="250">
        <f>ROUND('主表1（成本）'!C39*$B$24,0)</f>
        <v>0</v>
      </c>
      <c r="C10" s="250">
        <f>ROUND('主表1（成本）'!D39*$B$24,0)</f>
        <v>179014</v>
      </c>
      <c r="D10" s="250">
        <f>ROUND('主表1（成本）'!E39*$B$24,0)</f>
        <v>24438</v>
      </c>
      <c r="E10" s="250">
        <f>ROUND('主表1（成本）'!F39*$B$24,0)</f>
        <v>14028</v>
      </c>
      <c r="F10" s="250">
        <f>ROUND('主表1（成本）'!G39*$B$24,0)</f>
        <v>9527</v>
      </c>
      <c r="G10" s="250">
        <f>ROUND('主表1（成本）'!H39*$B$24,0)</f>
        <v>9716</v>
      </c>
      <c r="H10" s="250">
        <f>ROUND('主表1（成本）'!I39*$B$24,0)</f>
        <v>9680</v>
      </c>
      <c r="I10" s="250">
        <f>ROUND('主表1（成本）'!J39*$B$24,0)</f>
        <v>9394</v>
      </c>
      <c r="J10" s="250">
        <f>ROUND('主表1（成本）'!K39*$B$24,0)</f>
        <v>7578</v>
      </c>
      <c r="K10" s="250">
        <f>ROUND('主表1（成本）'!L39*$B$24,0)</f>
        <v>7302</v>
      </c>
      <c r="L10" s="250">
        <f>ROUND('主表1（成本）'!M39*$B$24,0)</f>
        <v>5413</v>
      </c>
      <c r="M10" s="250">
        <f>ROUND('主表1（成本）'!N39*$B$24,0)</f>
        <v>5381</v>
      </c>
      <c r="N10" s="250">
        <f>ROUND('主表1（成本）'!O39*$B$24,0)</f>
        <v>4367</v>
      </c>
      <c r="O10" s="250">
        <f>ROUND('主表1（成本）'!P39*$B$24,0)</f>
        <v>4285</v>
      </c>
      <c r="P10" s="250">
        <f>ROUND('主表1（成本）'!Q39*$B$24,0)</f>
        <v>0</v>
      </c>
      <c r="Q10" s="250">
        <f>ROUND('主表1（成本）'!R39*$B$24,0)</f>
        <v>0</v>
      </c>
      <c r="R10" s="250">
        <f>ROUND('主表1（成本）'!S39*$B$24,0)</f>
        <v>0</v>
      </c>
      <c r="S10" s="250">
        <f>ROUND('主表1（成本）'!T39*$B$24,0)</f>
        <v>0</v>
      </c>
      <c r="T10" s="250">
        <f>ROUND('主表1（成本）'!U39*$B$24,0)</f>
        <v>0</v>
      </c>
      <c r="U10" s="250">
        <f>ROUND('主表1（成本）'!V39*$B$24,0)</f>
        <v>0</v>
      </c>
      <c r="V10" s="250">
        <f>ROUND('主表1（成本）'!W39*$B$24,0)</f>
        <v>0</v>
      </c>
      <c r="W10" s="250">
        <f>ROUND('主表1（成本）'!X39*$B$24,0)</f>
        <v>0</v>
      </c>
      <c r="X10" s="250">
        <f>ROUND('主表1（成本）'!Y39*$B$24,0)</f>
        <v>0</v>
      </c>
      <c r="Y10" s="250">
        <f>ROUND('主表1（成本）'!Z39*$B$24,0)</f>
        <v>0</v>
      </c>
      <c r="Z10" s="250">
        <f>ROUND('主表1（成本）'!AA39*$B$24,0)</f>
        <v>0</v>
      </c>
      <c r="AA10" s="250">
        <f>ROUND('主表1（成本）'!AB39*$B$24,0)</f>
        <v>0</v>
      </c>
      <c r="AB10" s="250">
        <f>ROUND('主表1（成本）'!AC39*$B$24,0)</f>
        <v>0</v>
      </c>
      <c r="AC10" s="250">
        <f>ROUND('主表1（成本）'!AD39*$B$24,0)</f>
        <v>0</v>
      </c>
      <c r="AD10" s="250">
        <f>ROUND('主表1（成本）'!AE39*$B$24,0)</f>
        <v>0</v>
      </c>
      <c r="AE10" s="250">
        <f>ROUND('主表1（成本）'!AF39*$B$24,0)</f>
        <v>0</v>
      </c>
      <c r="AF10" s="250">
        <f>ROUND('主表1（成本）'!AG39*$B$24,0)</f>
        <v>0</v>
      </c>
      <c r="AG10" s="250">
        <f>ROUND('主表1（成本）'!AH39*$B$24,0)</f>
        <v>0</v>
      </c>
      <c r="AH10" s="250">
        <f>ROUND('主表1（成本）'!AI39*$B$24,0)</f>
        <v>0</v>
      </c>
      <c r="AI10" s="250">
        <f>ROUND('主表1（成本）'!AJ39*$B$24,0)</f>
        <v>0</v>
      </c>
      <c r="AJ10" s="250">
        <f>ROUND('主表1（成本）'!AK39*$B$24,0)</f>
        <v>0</v>
      </c>
      <c r="AK10" s="250">
        <f>ROUND('主表1（成本）'!AL39*$B$24,0)</f>
        <v>0</v>
      </c>
      <c r="AL10" s="250">
        <f>ROUND('主表1（成本）'!AM39*$B$24,0)</f>
        <v>0</v>
      </c>
      <c r="AM10" s="250">
        <f>ROUND('主表1（成本）'!AN39*$B$24,0)</f>
        <v>0</v>
      </c>
      <c r="AN10" s="250">
        <f>ROUND('主表1（成本）'!AO39*$B$24,0)</f>
        <v>0</v>
      </c>
      <c r="AO10" s="250">
        <f>ROUND('主表1（成本）'!AP39*$B$24,0)</f>
        <v>0</v>
      </c>
      <c r="AP10" s="250">
        <f t="shared" si="2"/>
        <v>290123</v>
      </c>
    </row>
    <row r="11" spans="1:43" ht="18" customHeight="1" outlineLevel="1" x14ac:dyDescent="0.15">
      <c r="A11" s="268" t="s">
        <v>17</v>
      </c>
      <c r="B11" s="250"/>
      <c r="C11" s="250"/>
      <c r="D11" s="250"/>
      <c r="E11" s="250"/>
      <c r="F11" s="250"/>
      <c r="G11" s="250"/>
      <c r="H11" s="250"/>
      <c r="I11" s="250"/>
      <c r="J11" s="250"/>
      <c r="K11" s="250"/>
      <c r="L11" s="250"/>
      <c r="M11" s="250"/>
      <c r="N11" s="250"/>
      <c r="O11" s="250"/>
      <c r="P11" s="250"/>
      <c r="Q11" s="250"/>
      <c r="R11" s="250"/>
      <c r="S11" s="250"/>
      <c r="T11" s="250"/>
      <c r="U11" s="250"/>
      <c r="V11" s="250"/>
      <c r="W11" s="250"/>
      <c r="X11" s="250"/>
      <c r="Y11" s="250"/>
      <c r="Z11" s="250"/>
      <c r="AA11" s="250"/>
      <c r="AB11" s="250"/>
      <c r="AC11" s="250"/>
      <c r="AD11" s="250"/>
      <c r="AE11" s="250"/>
      <c r="AF11" s="250"/>
      <c r="AG11" s="250"/>
      <c r="AH11" s="250"/>
      <c r="AI11" s="250"/>
      <c r="AJ11" s="250"/>
      <c r="AK11" s="250"/>
      <c r="AL11" s="250"/>
      <c r="AM11" s="250"/>
      <c r="AN11" s="250"/>
      <c r="AO11" s="250"/>
      <c r="AP11" s="250">
        <f t="shared" si="2"/>
        <v>0</v>
      </c>
    </row>
    <row r="12" spans="1:43" ht="18" customHeight="1" outlineLevel="1" x14ac:dyDescent="0.15">
      <c r="A12" s="268" t="s">
        <v>139</v>
      </c>
      <c r="B12" s="250">
        <f>ROUND('底表1（销售计划）'!D128,0)</f>
        <v>0</v>
      </c>
      <c r="C12" s="250">
        <f>ROUND('底表1（销售计划）'!E128,0)</f>
        <v>0</v>
      </c>
      <c r="D12" s="250">
        <f>ROUND('底表1（销售计划）'!F128,0)</f>
        <v>0</v>
      </c>
      <c r="E12" s="250">
        <f>ROUND('底表1（销售计划）'!G128,0)</f>
        <v>1547</v>
      </c>
      <c r="F12" s="250">
        <f>ROUND('底表1（销售计划）'!H128,0)</f>
        <v>1532</v>
      </c>
      <c r="G12" s="250">
        <f>ROUND('底表1（销售计划）'!I128,0)</f>
        <v>1824</v>
      </c>
      <c r="H12" s="250">
        <f>ROUND('底表1（销售计划）'!J128,0)</f>
        <v>1767</v>
      </c>
      <c r="I12" s="250">
        <f>ROUND('底表1（销售计划）'!K128,0)</f>
        <v>1328</v>
      </c>
      <c r="J12" s="250">
        <f>ROUND('底表1（销售计划）'!L128,0)</f>
        <v>1158</v>
      </c>
      <c r="K12" s="250">
        <f>ROUND('底表1（销售计划）'!M128,0)</f>
        <v>733</v>
      </c>
      <c r="L12" s="250">
        <f>ROUND('底表1（销售计划）'!N128,0)</f>
        <v>453</v>
      </c>
      <c r="M12" s="250">
        <f>ROUND('底表1（销售计划）'!O128,0)</f>
        <v>403</v>
      </c>
      <c r="N12" s="250">
        <f>ROUND('底表1（销售计划）'!P128,0)</f>
        <v>156</v>
      </c>
      <c r="O12" s="250">
        <f>ROUND('底表1（销售计划）'!Q128,0)</f>
        <v>15</v>
      </c>
      <c r="P12" s="250">
        <f>ROUND('底表1（销售计划）'!R128,0)</f>
        <v>0</v>
      </c>
      <c r="Q12" s="250">
        <f>ROUND('底表1（销售计划）'!S128,0)</f>
        <v>0</v>
      </c>
      <c r="R12" s="250">
        <f>ROUND('底表1（销售计划）'!T128,0)</f>
        <v>0</v>
      </c>
      <c r="S12" s="250">
        <f>ROUND('底表1（销售计划）'!U128,0)</f>
        <v>0</v>
      </c>
      <c r="T12" s="250">
        <f>ROUND('底表1（销售计划）'!V128,0)</f>
        <v>0</v>
      </c>
      <c r="U12" s="250">
        <f>ROUND('底表1（销售计划）'!W128,0)</f>
        <v>0</v>
      </c>
      <c r="V12" s="250">
        <f>ROUND('底表1（销售计划）'!X128,0)</f>
        <v>0</v>
      </c>
      <c r="W12" s="250">
        <f>ROUND('底表1（销售计划）'!Y128,0)</f>
        <v>0</v>
      </c>
      <c r="X12" s="250">
        <f>ROUND('底表1（销售计划）'!Z128,0)</f>
        <v>0</v>
      </c>
      <c r="Y12" s="250">
        <f>ROUND('底表1（销售计划）'!AA128,0)</f>
        <v>0</v>
      </c>
      <c r="Z12" s="250">
        <f>ROUND('底表1（销售计划）'!AB128,0)</f>
        <v>0</v>
      </c>
      <c r="AA12" s="250">
        <f>ROUND('底表1（销售计划）'!AC128,0)</f>
        <v>0</v>
      </c>
      <c r="AB12" s="250">
        <f>ROUND('底表1（销售计划）'!AD128,0)</f>
        <v>0</v>
      </c>
      <c r="AC12" s="250">
        <f>ROUND('底表1（销售计划）'!AE128,0)</f>
        <v>0</v>
      </c>
      <c r="AD12" s="250">
        <f>ROUND('底表1（销售计划）'!AF128,0)</f>
        <v>0</v>
      </c>
      <c r="AE12" s="250">
        <f>ROUND('底表1（销售计划）'!AG128,0)</f>
        <v>0</v>
      </c>
      <c r="AF12" s="250">
        <f>ROUND('底表1（销售计划）'!AH128,0)</f>
        <v>0</v>
      </c>
      <c r="AG12" s="250">
        <f>ROUND('底表1（销售计划）'!AI128,0)</f>
        <v>0</v>
      </c>
      <c r="AH12" s="250">
        <f>ROUND('底表1（销售计划）'!AJ128,0)</f>
        <v>0</v>
      </c>
      <c r="AI12" s="250">
        <f>ROUND('底表1（销售计划）'!AK128,0)</f>
        <v>0</v>
      </c>
      <c r="AJ12" s="250">
        <f>ROUND('底表1（销售计划）'!AL128,0)</f>
        <v>0</v>
      </c>
      <c r="AK12" s="250">
        <f>ROUND('底表1（销售计划）'!AM128,0)</f>
        <v>0</v>
      </c>
      <c r="AL12" s="250">
        <f>ROUND('底表1（销售计划）'!AN128,0)</f>
        <v>0</v>
      </c>
      <c r="AM12" s="250">
        <f>ROUND('底表1（销售计划）'!AO128,0)</f>
        <v>0</v>
      </c>
      <c r="AN12" s="250">
        <f>ROUND('底表1（销售计划）'!AP128,0)</f>
        <v>0</v>
      </c>
      <c r="AO12" s="250">
        <f>ROUND('底表1（销售计划）'!AQ128,0)</f>
        <v>0</v>
      </c>
      <c r="AP12" s="250">
        <f t="shared" si="2"/>
        <v>10916</v>
      </c>
      <c r="AQ12" s="689"/>
    </row>
    <row r="13" spans="1:43" ht="18" customHeight="1" outlineLevel="1" x14ac:dyDescent="0.15">
      <c r="A13" s="268" t="s">
        <v>19</v>
      </c>
      <c r="B13" s="250">
        <f>'主表3（损益表）'!D10</f>
        <v>0</v>
      </c>
      <c r="C13" s="250">
        <f>'主表3（损益表）'!E10</f>
        <v>0</v>
      </c>
      <c r="D13" s="250">
        <f>'主表3（损益表）'!F10</f>
        <v>0</v>
      </c>
      <c r="E13" s="250">
        <f>'主表3（损益表）'!G10</f>
        <v>1505</v>
      </c>
      <c r="F13" s="250">
        <f>'主表3（损益表）'!H10</f>
        <v>1491</v>
      </c>
      <c r="G13" s="250">
        <f>'主表3（损益表）'!I10</f>
        <v>1775</v>
      </c>
      <c r="H13" s="250">
        <f>'主表3（损益表）'!J10</f>
        <v>1720</v>
      </c>
      <c r="I13" s="250">
        <f>'主表3（损益表）'!K10</f>
        <v>1291</v>
      </c>
      <c r="J13" s="250">
        <f>'主表3（损益表）'!L10</f>
        <v>1127</v>
      </c>
      <c r="K13" s="250">
        <f>'主表3（损益表）'!M10</f>
        <v>713</v>
      </c>
      <c r="L13" s="250">
        <f>'主表3（损益表）'!N10</f>
        <v>441</v>
      </c>
      <c r="M13" s="250">
        <f>'主表3（损益表）'!O10</f>
        <v>393</v>
      </c>
      <c r="N13" s="250">
        <f>'主表3（损益表）'!P10</f>
        <v>152</v>
      </c>
      <c r="O13" s="250">
        <f>'主表3（损益表）'!Q10</f>
        <v>-10608</v>
      </c>
      <c r="P13" s="250">
        <f>'主表3（损益表）'!R10</f>
        <v>0</v>
      </c>
      <c r="Q13" s="250">
        <f>'主表3（损益表）'!S10</f>
        <v>0</v>
      </c>
      <c r="R13" s="250">
        <f>'主表3（损益表）'!T10</f>
        <v>0</v>
      </c>
      <c r="S13" s="250">
        <f>'主表3（损益表）'!U10</f>
        <v>0</v>
      </c>
      <c r="T13" s="250">
        <f>'主表3（损益表）'!V10</f>
        <v>0</v>
      </c>
      <c r="U13" s="250">
        <f>'主表3（损益表）'!W10</f>
        <v>0</v>
      </c>
      <c r="V13" s="250">
        <f>'主表3（损益表）'!X10</f>
        <v>0</v>
      </c>
      <c r="W13" s="250">
        <f>'主表3（损益表）'!Y10</f>
        <v>0</v>
      </c>
      <c r="X13" s="250">
        <f>'主表3（损益表）'!Z10</f>
        <v>0</v>
      </c>
      <c r="Y13" s="250">
        <f>'主表3（损益表）'!AA10</f>
        <v>0</v>
      </c>
      <c r="Z13" s="250">
        <f>'主表3（损益表）'!AB10</f>
        <v>0</v>
      </c>
      <c r="AA13" s="250">
        <f>'主表3（损益表）'!AC10</f>
        <v>0</v>
      </c>
      <c r="AB13" s="250">
        <f>'主表3（损益表）'!AD10</f>
        <v>0</v>
      </c>
      <c r="AC13" s="250">
        <f>'主表3（损益表）'!AE10</f>
        <v>0</v>
      </c>
      <c r="AD13" s="250">
        <f>'主表3（损益表）'!AF10</f>
        <v>0</v>
      </c>
      <c r="AE13" s="250">
        <f>'主表3（损益表）'!AG10</f>
        <v>0</v>
      </c>
      <c r="AF13" s="250">
        <f>'主表3（损益表）'!AH10</f>
        <v>0</v>
      </c>
      <c r="AG13" s="250">
        <f>'主表3（损益表）'!AI10</f>
        <v>0</v>
      </c>
      <c r="AH13" s="250">
        <f>'主表3（损益表）'!AJ10</f>
        <v>0</v>
      </c>
      <c r="AI13" s="250">
        <f>'主表3（损益表）'!AK10</f>
        <v>0</v>
      </c>
      <c r="AJ13" s="250">
        <f>'主表3（损益表）'!AL10</f>
        <v>0</v>
      </c>
      <c r="AK13" s="250">
        <f>'主表3（损益表）'!AM10</f>
        <v>0</v>
      </c>
      <c r="AL13" s="250">
        <f>'主表3（损益表）'!AN10</f>
        <v>0</v>
      </c>
      <c r="AM13" s="250">
        <f>'主表3（损益表）'!AO10</f>
        <v>0</v>
      </c>
      <c r="AN13" s="250">
        <f>'主表3（损益表）'!AP10</f>
        <v>0</v>
      </c>
      <c r="AO13" s="250">
        <f>'主表3（损益表）'!AQ10</f>
        <v>0</v>
      </c>
      <c r="AP13" s="250">
        <f t="shared" si="2"/>
        <v>0</v>
      </c>
    </row>
    <row r="14" spans="1:43" ht="18" customHeight="1" outlineLevel="1" x14ac:dyDescent="0.15">
      <c r="A14" s="268" t="s">
        <v>11</v>
      </c>
      <c r="B14" s="250">
        <f>'主表3（损益表）'!D15</f>
        <v>0</v>
      </c>
      <c r="C14" s="250">
        <f>'主表3（损益表）'!E15</f>
        <v>0</v>
      </c>
      <c r="D14" s="250">
        <f>'主表3（损益表）'!F15</f>
        <v>0</v>
      </c>
      <c r="E14" s="250">
        <f>'主表3（损益表）'!G15</f>
        <v>0</v>
      </c>
      <c r="F14" s="250">
        <f>'主表3（损益表）'!H15</f>
        <v>0</v>
      </c>
      <c r="G14" s="250">
        <f>'主表3（损益表）'!I15</f>
        <v>0</v>
      </c>
      <c r="H14" s="250">
        <f>'主表3（损益表）'!J15</f>
        <v>0</v>
      </c>
      <c r="I14" s="250">
        <f>'主表3（损益表）'!K15</f>
        <v>4448</v>
      </c>
      <c r="J14" s="250">
        <f>'主表3（损益表）'!L15</f>
        <v>0</v>
      </c>
      <c r="K14" s="250">
        <f>'主表3（损益表）'!M15</f>
        <v>0</v>
      </c>
      <c r="L14" s="250">
        <f>'主表3（损益表）'!N15</f>
        <v>0</v>
      </c>
      <c r="M14" s="250">
        <f>'主表3（损益表）'!O15</f>
        <v>2902</v>
      </c>
      <c r="N14" s="250">
        <f>'主表3（损益表）'!P15</f>
        <v>0</v>
      </c>
      <c r="O14" s="250">
        <f>'主表3（损益表）'!Q15</f>
        <v>2803</v>
      </c>
      <c r="P14" s="250">
        <f>'主表3（损益表）'!R15</f>
        <v>0</v>
      </c>
      <c r="Q14" s="250">
        <f>'主表3（损益表）'!S15</f>
        <v>0</v>
      </c>
      <c r="R14" s="250">
        <f>'主表3（损益表）'!T15</f>
        <v>0</v>
      </c>
      <c r="S14" s="250">
        <f>'主表3（损益表）'!U15</f>
        <v>0</v>
      </c>
      <c r="T14" s="250">
        <f>'主表3（损益表）'!V15</f>
        <v>0</v>
      </c>
      <c r="U14" s="250">
        <f>'主表3（损益表）'!W15</f>
        <v>0</v>
      </c>
      <c r="V14" s="250">
        <f>'主表3（损益表）'!X15</f>
        <v>0</v>
      </c>
      <c r="W14" s="250">
        <f>'主表3（损益表）'!Y15</f>
        <v>0</v>
      </c>
      <c r="X14" s="250">
        <f>'主表3（损益表）'!Z15</f>
        <v>0</v>
      </c>
      <c r="Y14" s="250">
        <f>'主表3（损益表）'!AA15</f>
        <v>0</v>
      </c>
      <c r="Z14" s="250">
        <f>'主表3（损益表）'!AB15</f>
        <v>0</v>
      </c>
      <c r="AA14" s="250">
        <f>'主表3（损益表）'!AC15</f>
        <v>0</v>
      </c>
      <c r="AB14" s="250">
        <f>'主表3（损益表）'!AD15</f>
        <v>0</v>
      </c>
      <c r="AC14" s="250">
        <f>'主表3（损益表）'!AE15</f>
        <v>0</v>
      </c>
      <c r="AD14" s="250">
        <f>'主表3（损益表）'!AF15</f>
        <v>0</v>
      </c>
      <c r="AE14" s="250">
        <f>'主表3（损益表）'!AG15</f>
        <v>0</v>
      </c>
      <c r="AF14" s="250">
        <f>'主表3（损益表）'!AH15</f>
        <v>0</v>
      </c>
      <c r="AG14" s="250">
        <f>'主表3（损益表）'!AI15</f>
        <v>0</v>
      </c>
      <c r="AH14" s="250">
        <f>'主表3（损益表）'!AJ15</f>
        <v>0</v>
      </c>
      <c r="AI14" s="250">
        <f>'主表3（损益表）'!AK15</f>
        <v>0</v>
      </c>
      <c r="AJ14" s="250">
        <f>'主表3（损益表）'!AL15</f>
        <v>0</v>
      </c>
      <c r="AK14" s="250">
        <f>'主表3（损益表）'!AM15</f>
        <v>0</v>
      </c>
      <c r="AL14" s="250">
        <f>'主表3（损益表）'!AN15</f>
        <v>0</v>
      </c>
      <c r="AM14" s="250">
        <f>'主表3（损益表）'!AO15</f>
        <v>0</v>
      </c>
      <c r="AN14" s="250">
        <f>'主表3（损益表）'!AP15</f>
        <v>0</v>
      </c>
      <c r="AO14" s="250">
        <f>'主表3（损益表）'!AQ15</f>
        <v>0</v>
      </c>
      <c r="AP14" s="250">
        <f t="shared" si="2"/>
        <v>10153</v>
      </c>
    </row>
    <row r="15" spans="1:43" ht="18" customHeight="1" x14ac:dyDescent="0.15">
      <c r="A15" s="235" t="s">
        <v>446</v>
      </c>
      <c r="B15" s="267">
        <f t="shared" ref="B15:AO15" si="5">B5-B9</f>
        <v>0</v>
      </c>
      <c r="C15" s="267">
        <f t="shared" si="5"/>
        <v>-179014</v>
      </c>
      <c r="D15" s="267">
        <f t="shared" si="5"/>
        <v>-24438</v>
      </c>
      <c r="E15" s="267">
        <f t="shared" si="5"/>
        <v>33084</v>
      </c>
      <c r="F15" s="267">
        <f t="shared" si="5"/>
        <v>37153</v>
      </c>
      <c r="G15" s="267">
        <f t="shared" si="5"/>
        <v>45839</v>
      </c>
      <c r="H15" s="267">
        <f t="shared" si="5"/>
        <v>44182</v>
      </c>
      <c r="I15" s="267">
        <f t="shared" si="5"/>
        <v>26584</v>
      </c>
      <c r="J15" s="267">
        <f t="shared" si="5"/>
        <v>27704</v>
      </c>
      <c r="K15" s="267">
        <f t="shared" si="5"/>
        <v>15019</v>
      </c>
      <c r="L15" s="267">
        <f t="shared" si="5"/>
        <v>8409</v>
      </c>
      <c r="M15" s="267">
        <f t="shared" si="5"/>
        <v>4011</v>
      </c>
      <c r="N15" s="267">
        <f t="shared" si="5"/>
        <v>393</v>
      </c>
      <c r="O15" s="267">
        <f t="shared" si="5"/>
        <v>4003</v>
      </c>
      <c r="P15" s="267">
        <f t="shared" si="5"/>
        <v>0</v>
      </c>
      <c r="Q15" s="267">
        <f t="shared" si="5"/>
        <v>0</v>
      </c>
      <c r="R15" s="267">
        <f t="shared" si="5"/>
        <v>0</v>
      </c>
      <c r="S15" s="267">
        <f t="shared" si="5"/>
        <v>0</v>
      </c>
      <c r="T15" s="267">
        <f t="shared" si="5"/>
        <v>0</v>
      </c>
      <c r="U15" s="267">
        <f t="shared" si="5"/>
        <v>0</v>
      </c>
      <c r="V15" s="267">
        <f t="shared" si="5"/>
        <v>0</v>
      </c>
      <c r="W15" s="267">
        <f t="shared" si="5"/>
        <v>0</v>
      </c>
      <c r="X15" s="267">
        <f t="shared" si="5"/>
        <v>0</v>
      </c>
      <c r="Y15" s="267">
        <f t="shared" si="5"/>
        <v>0</v>
      </c>
      <c r="Z15" s="267">
        <f t="shared" si="5"/>
        <v>0</v>
      </c>
      <c r="AA15" s="267">
        <f t="shared" si="5"/>
        <v>0</v>
      </c>
      <c r="AB15" s="267">
        <f t="shared" si="5"/>
        <v>0</v>
      </c>
      <c r="AC15" s="267">
        <f t="shared" si="5"/>
        <v>0</v>
      </c>
      <c r="AD15" s="267">
        <f t="shared" si="5"/>
        <v>0</v>
      </c>
      <c r="AE15" s="267">
        <f t="shared" si="5"/>
        <v>0</v>
      </c>
      <c r="AF15" s="267">
        <f t="shared" si="5"/>
        <v>0</v>
      </c>
      <c r="AG15" s="267">
        <f t="shared" si="5"/>
        <v>0</v>
      </c>
      <c r="AH15" s="267">
        <f t="shared" si="5"/>
        <v>0</v>
      </c>
      <c r="AI15" s="267">
        <f t="shared" si="5"/>
        <v>0</v>
      </c>
      <c r="AJ15" s="267">
        <f t="shared" si="5"/>
        <v>0</v>
      </c>
      <c r="AK15" s="267">
        <f t="shared" si="5"/>
        <v>0</v>
      </c>
      <c r="AL15" s="267">
        <f t="shared" si="5"/>
        <v>0</v>
      </c>
      <c r="AM15" s="267">
        <f t="shared" si="5"/>
        <v>0</v>
      </c>
      <c r="AN15" s="267">
        <f t="shared" si="5"/>
        <v>0</v>
      </c>
      <c r="AO15" s="267">
        <f t="shared" si="5"/>
        <v>0</v>
      </c>
      <c r="AP15" s="267">
        <f t="shared" si="2"/>
        <v>42929</v>
      </c>
    </row>
    <row r="16" spans="1:43" ht="18" customHeight="1" x14ac:dyDescent="0.15">
      <c r="A16" s="235" t="s">
        <v>447</v>
      </c>
      <c r="B16" s="267">
        <f>B15</f>
        <v>0</v>
      </c>
      <c r="C16" s="267">
        <f>C15+B16</f>
        <v>-179014</v>
      </c>
      <c r="D16" s="267">
        <f t="shared" ref="D16:AO16" si="6">D15+C16</f>
        <v>-203452</v>
      </c>
      <c r="E16" s="267">
        <f t="shared" si="6"/>
        <v>-170368</v>
      </c>
      <c r="F16" s="267">
        <f t="shared" si="6"/>
        <v>-133215</v>
      </c>
      <c r="G16" s="267">
        <f t="shared" si="6"/>
        <v>-87376</v>
      </c>
      <c r="H16" s="267">
        <f t="shared" si="6"/>
        <v>-43194</v>
      </c>
      <c r="I16" s="267">
        <f t="shared" si="6"/>
        <v>-16610</v>
      </c>
      <c r="J16" s="267">
        <f t="shared" si="6"/>
        <v>11094</v>
      </c>
      <c r="K16" s="267">
        <f t="shared" si="6"/>
        <v>26113</v>
      </c>
      <c r="L16" s="267">
        <f t="shared" si="6"/>
        <v>34522</v>
      </c>
      <c r="M16" s="267">
        <f t="shared" si="6"/>
        <v>38533</v>
      </c>
      <c r="N16" s="267">
        <f t="shared" si="6"/>
        <v>38926</v>
      </c>
      <c r="O16" s="267">
        <f t="shared" si="6"/>
        <v>42929</v>
      </c>
      <c r="P16" s="267">
        <f t="shared" si="6"/>
        <v>42929</v>
      </c>
      <c r="Q16" s="267">
        <f t="shared" si="6"/>
        <v>42929</v>
      </c>
      <c r="R16" s="267">
        <f t="shared" si="6"/>
        <v>42929</v>
      </c>
      <c r="S16" s="267">
        <f t="shared" si="6"/>
        <v>42929</v>
      </c>
      <c r="T16" s="267">
        <f t="shared" si="6"/>
        <v>42929</v>
      </c>
      <c r="U16" s="267">
        <f t="shared" si="6"/>
        <v>42929</v>
      </c>
      <c r="V16" s="267">
        <f t="shared" si="6"/>
        <v>42929</v>
      </c>
      <c r="W16" s="267">
        <f t="shared" si="6"/>
        <v>42929</v>
      </c>
      <c r="X16" s="267">
        <f t="shared" si="6"/>
        <v>42929</v>
      </c>
      <c r="Y16" s="267">
        <f t="shared" si="6"/>
        <v>42929</v>
      </c>
      <c r="Z16" s="267">
        <f t="shared" si="6"/>
        <v>42929</v>
      </c>
      <c r="AA16" s="267">
        <f t="shared" si="6"/>
        <v>42929</v>
      </c>
      <c r="AB16" s="267">
        <f t="shared" si="6"/>
        <v>42929</v>
      </c>
      <c r="AC16" s="267">
        <f t="shared" si="6"/>
        <v>42929</v>
      </c>
      <c r="AD16" s="267">
        <f t="shared" si="6"/>
        <v>42929</v>
      </c>
      <c r="AE16" s="267">
        <f t="shared" si="6"/>
        <v>42929</v>
      </c>
      <c r="AF16" s="267">
        <f t="shared" si="6"/>
        <v>42929</v>
      </c>
      <c r="AG16" s="267">
        <f t="shared" si="6"/>
        <v>42929</v>
      </c>
      <c r="AH16" s="267">
        <f t="shared" si="6"/>
        <v>42929</v>
      </c>
      <c r="AI16" s="267">
        <f t="shared" si="6"/>
        <v>42929</v>
      </c>
      <c r="AJ16" s="267">
        <f t="shared" si="6"/>
        <v>42929</v>
      </c>
      <c r="AK16" s="267">
        <f t="shared" si="6"/>
        <v>42929</v>
      </c>
      <c r="AL16" s="267">
        <f t="shared" si="6"/>
        <v>42929</v>
      </c>
      <c r="AM16" s="267">
        <f t="shared" si="6"/>
        <v>42929</v>
      </c>
      <c r="AN16" s="267">
        <f t="shared" si="6"/>
        <v>42929</v>
      </c>
      <c r="AO16" s="267">
        <f t="shared" si="6"/>
        <v>42929</v>
      </c>
      <c r="AP16" s="267"/>
    </row>
    <row r="17" spans="1:42" ht="18" customHeight="1" x14ac:dyDescent="0.15">
      <c r="A17" s="235" t="s">
        <v>448</v>
      </c>
      <c r="B17" s="267">
        <f>B15/(1+$E$20)^B26</f>
        <v>0</v>
      </c>
      <c r="C17" s="267">
        <f t="shared" ref="C17:AO17" si="7">C15/(1+$E$20)^C26</f>
        <v>-174799</v>
      </c>
      <c r="D17" s="267">
        <f t="shared" si="7"/>
        <v>-23301</v>
      </c>
      <c r="E17" s="267">
        <f t="shared" si="7"/>
        <v>30802</v>
      </c>
      <c r="F17" s="267">
        <f t="shared" si="7"/>
        <v>33775</v>
      </c>
      <c r="G17" s="267">
        <f t="shared" si="7"/>
        <v>40691</v>
      </c>
      <c r="H17" s="267">
        <f t="shared" si="7"/>
        <v>38296</v>
      </c>
      <c r="I17" s="267">
        <f t="shared" si="7"/>
        <v>22500</v>
      </c>
      <c r="J17" s="267">
        <f t="shared" si="7"/>
        <v>22896</v>
      </c>
      <c r="K17" s="267">
        <f t="shared" si="7"/>
        <v>12120</v>
      </c>
      <c r="L17" s="267">
        <f t="shared" si="7"/>
        <v>6626</v>
      </c>
      <c r="M17" s="267">
        <f t="shared" si="7"/>
        <v>3086</v>
      </c>
      <c r="N17" s="267">
        <f t="shared" si="7"/>
        <v>295</v>
      </c>
      <c r="O17" s="267">
        <f t="shared" si="7"/>
        <v>2937</v>
      </c>
      <c r="P17" s="267">
        <f t="shared" si="7"/>
        <v>0</v>
      </c>
      <c r="Q17" s="267">
        <f t="shared" si="7"/>
        <v>0</v>
      </c>
      <c r="R17" s="267">
        <f t="shared" si="7"/>
        <v>0</v>
      </c>
      <c r="S17" s="267">
        <f t="shared" si="7"/>
        <v>0</v>
      </c>
      <c r="T17" s="267">
        <f t="shared" si="7"/>
        <v>0</v>
      </c>
      <c r="U17" s="267">
        <f t="shared" si="7"/>
        <v>0</v>
      </c>
      <c r="V17" s="267">
        <f t="shared" si="7"/>
        <v>0</v>
      </c>
      <c r="W17" s="267">
        <f t="shared" si="7"/>
        <v>0</v>
      </c>
      <c r="X17" s="267">
        <f t="shared" si="7"/>
        <v>0</v>
      </c>
      <c r="Y17" s="267">
        <f t="shared" si="7"/>
        <v>0</v>
      </c>
      <c r="Z17" s="267">
        <f t="shared" si="7"/>
        <v>0</v>
      </c>
      <c r="AA17" s="267">
        <f t="shared" si="7"/>
        <v>0</v>
      </c>
      <c r="AB17" s="267">
        <f t="shared" si="7"/>
        <v>0</v>
      </c>
      <c r="AC17" s="267">
        <f t="shared" si="7"/>
        <v>0</v>
      </c>
      <c r="AD17" s="267">
        <f t="shared" si="7"/>
        <v>0</v>
      </c>
      <c r="AE17" s="267">
        <f t="shared" si="7"/>
        <v>0</v>
      </c>
      <c r="AF17" s="267">
        <f t="shared" si="7"/>
        <v>0</v>
      </c>
      <c r="AG17" s="267">
        <f t="shared" si="7"/>
        <v>0</v>
      </c>
      <c r="AH17" s="267">
        <f t="shared" si="7"/>
        <v>0</v>
      </c>
      <c r="AI17" s="267">
        <f t="shared" si="7"/>
        <v>0</v>
      </c>
      <c r="AJ17" s="267">
        <f t="shared" si="7"/>
        <v>0</v>
      </c>
      <c r="AK17" s="267">
        <f t="shared" si="7"/>
        <v>0</v>
      </c>
      <c r="AL17" s="267">
        <f t="shared" si="7"/>
        <v>0</v>
      </c>
      <c r="AM17" s="267">
        <f t="shared" si="7"/>
        <v>0</v>
      </c>
      <c r="AN17" s="267">
        <f t="shared" si="7"/>
        <v>0</v>
      </c>
      <c r="AO17" s="267">
        <f t="shared" si="7"/>
        <v>0</v>
      </c>
      <c r="AP17" s="267">
        <f>SUM(B17:AO17)</f>
        <v>15924</v>
      </c>
    </row>
    <row r="18" spans="1:42" ht="18" customHeight="1" x14ac:dyDescent="0.15">
      <c r="A18" s="235" t="s">
        <v>449</v>
      </c>
      <c r="B18" s="267">
        <f>B17</f>
        <v>0</v>
      </c>
      <c r="C18" s="267">
        <f>C17+B18</f>
        <v>-174799</v>
      </c>
      <c r="D18" s="267">
        <f>D17+C18</f>
        <v>-198100</v>
      </c>
      <c r="E18" s="267">
        <f t="shared" ref="E18:AO18" si="8">E17+D18</f>
        <v>-167298</v>
      </c>
      <c r="F18" s="267">
        <f>F17+E18</f>
        <v>-133523</v>
      </c>
      <c r="G18" s="267">
        <f t="shared" si="8"/>
        <v>-92832</v>
      </c>
      <c r="H18" s="267">
        <f t="shared" si="8"/>
        <v>-54536</v>
      </c>
      <c r="I18" s="267">
        <f t="shared" si="8"/>
        <v>-32036</v>
      </c>
      <c r="J18" s="267">
        <f t="shared" si="8"/>
        <v>-9140</v>
      </c>
      <c r="K18" s="267">
        <f t="shared" si="8"/>
        <v>2980</v>
      </c>
      <c r="L18" s="267">
        <f t="shared" si="8"/>
        <v>9606</v>
      </c>
      <c r="M18" s="267">
        <f t="shared" si="8"/>
        <v>12692</v>
      </c>
      <c r="N18" s="267">
        <f t="shared" si="8"/>
        <v>12987</v>
      </c>
      <c r="O18" s="267">
        <f t="shared" si="8"/>
        <v>15924</v>
      </c>
      <c r="P18" s="267">
        <f t="shared" si="8"/>
        <v>15924</v>
      </c>
      <c r="Q18" s="267">
        <f t="shared" si="8"/>
        <v>15924</v>
      </c>
      <c r="R18" s="267">
        <f t="shared" si="8"/>
        <v>15924</v>
      </c>
      <c r="S18" s="267">
        <f t="shared" si="8"/>
        <v>15924</v>
      </c>
      <c r="T18" s="267">
        <f t="shared" si="8"/>
        <v>15924</v>
      </c>
      <c r="U18" s="267">
        <f t="shared" si="8"/>
        <v>15924</v>
      </c>
      <c r="V18" s="267">
        <f t="shared" si="8"/>
        <v>15924</v>
      </c>
      <c r="W18" s="267">
        <f t="shared" si="8"/>
        <v>15924</v>
      </c>
      <c r="X18" s="267">
        <f t="shared" si="8"/>
        <v>15924</v>
      </c>
      <c r="Y18" s="267">
        <f t="shared" si="8"/>
        <v>15924</v>
      </c>
      <c r="Z18" s="267">
        <f t="shared" si="8"/>
        <v>15924</v>
      </c>
      <c r="AA18" s="267">
        <f t="shared" si="8"/>
        <v>15924</v>
      </c>
      <c r="AB18" s="267">
        <f t="shared" si="8"/>
        <v>15924</v>
      </c>
      <c r="AC18" s="267">
        <f t="shared" si="8"/>
        <v>15924</v>
      </c>
      <c r="AD18" s="267">
        <f t="shared" si="8"/>
        <v>15924</v>
      </c>
      <c r="AE18" s="267">
        <f t="shared" si="8"/>
        <v>15924</v>
      </c>
      <c r="AF18" s="267">
        <f t="shared" si="8"/>
        <v>15924</v>
      </c>
      <c r="AG18" s="267">
        <f t="shared" si="8"/>
        <v>15924</v>
      </c>
      <c r="AH18" s="267">
        <f t="shared" si="8"/>
        <v>15924</v>
      </c>
      <c r="AI18" s="267">
        <f t="shared" si="8"/>
        <v>15924</v>
      </c>
      <c r="AJ18" s="267">
        <f t="shared" si="8"/>
        <v>15924</v>
      </c>
      <c r="AK18" s="267">
        <f t="shared" si="8"/>
        <v>15924</v>
      </c>
      <c r="AL18" s="267">
        <f t="shared" si="8"/>
        <v>15924</v>
      </c>
      <c r="AM18" s="267">
        <f t="shared" si="8"/>
        <v>15924</v>
      </c>
      <c r="AN18" s="267">
        <f t="shared" si="8"/>
        <v>15924</v>
      </c>
      <c r="AO18" s="267">
        <f t="shared" si="8"/>
        <v>15924</v>
      </c>
      <c r="AP18" s="267" t="s">
        <v>0</v>
      </c>
    </row>
    <row r="19" spans="1:42" ht="18" customHeight="1" x14ac:dyDescent="0.15">
      <c r="B19" s="247"/>
      <c r="C19" s="247"/>
      <c r="D19" s="247"/>
      <c r="E19" s="247"/>
      <c r="F19" s="247"/>
      <c r="G19" s="247"/>
      <c r="H19" s="247"/>
      <c r="I19" s="247"/>
      <c r="J19" s="265"/>
      <c r="K19" s="247"/>
      <c r="L19" s="247"/>
      <c r="M19" s="247"/>
      <c r="N19" s="247"/>
      <c r="O19" s="247"/>
      <c r="P19" s="247"/>
      <c r="Q19" s="247"/>
      <c r="R19" s="247"/>
      <c r="S19" s="247"/>
      <c r="T19" s="247"/>
      <c r="U19" s="247"/>
      <c r="V19" s="247"/>
      <c r="W19" s="247"/>
      <c r="X19" s="247"/>
      <c r="Y19" s="247"/>
      <c r="Z19" s="265"/>
      <c r="AA19" s="247"/>
      <c r="AB19" s="247"/>
      <c r="AC19" s="247"/>
      <c r="AD19" s="247"/>
      <c r="AE19" s="247"/>
      <c r="AF19" s="247"/>
      <c r="AG19" s="247"/>
      <c r="AH19" s="247"/>
      <c r="AI19" s="247"/>
      <c r="AJ19" s="247"/>
      <c r="AK19" s="247"/>
      <c r="AL19" s="265"/>
      <c r="AM19" s="247"/>
      <c r="AN19" s="247"/>
      <c r="AO19" s="247"/>
    </row>
    <row r="20" spans="1:42" ht="18" customHeight="1" x14ac:dyDescent="0.15">
      <c r="A20" s="690" t="s">
        <v>452</v>
      </c>
      <c r="B20" s="691"/>
      <c r="C20" s="692">
        <f>(1+E20)^0.25-1</f>
        <v>2.4114E-2</v>
      </c>
      <c r="D20" s="693" t="s">
        <v>249</v>
      </c>
      <c r="E20" s="695">
        <f>基础数据!C17</f>
        <v>0.1</v>
      </c>
      <c r="F20" s="700"/>
      <c r="G20" s="697"/>
      <c r="H20" s="826" t="s">
        <v>451</v>
      </c>
      <c r="I20" s="826"/>
      <c r="J20" s="827"/>
      <c r="K20" s="728">
        <f>NPV(C20,C15:O15)</f>
        <v>15924</v>
      </c>
      <c r="L20" s="701" t="s">
        <v>53</v>
      </c>
      <c r="M20" s="273"/>
      <c r="N20" s="247"/>
      <c r="O20" s="247"/>
      <c r="P20" s="247"/>
      <c r="Q20" s="247"/>
      <c r="R20" s="247"/>
      <c r="S20" s="247"/>
      <c r="T20" s="247"/>
      <c r="U20" s="247"/>
      <c r="V20" s="271"/>
      <c r="W20" s="271"/>
      <c r="X20" s="825"/>
      <c r="Y20" s="825"/>
      <c r="Z20" s="825"/>
      <c r="AA20" s="272"/>
      <c r="AB20" s="636"/>
      <c r="AC20" s="273"/>
      <c r="AD20" s="247"/>
      <c r="AE20" s="247"/>
      <c r="AF20" s="247"/>
      <c r="AG20" s="247"/>
      <c r="AH20" s="247"/>
      <c r="AI20" s="247"/>
      <c r="AJ20" s="247"/>
      <c r="AK20" s="247"/>
      <c r="AL20" s="247"/>
      <c r="AM20" s="247"/>
      <c r="AN20" s="247"/>
      <c r="AO20" s="247"/>
      <c r="AP20" s="247"/>
    </row>
    <row r="21" spans="1:42" ht="18" customHeight="1" x14ac:dyDescent="0.15">
      <c r="A21" s="690" t="s">
        <v>453</v>
      </c>
      <c r="B21" s="691"/>
      <c r="C21" s="727">
        <f>IRR(C15:O15)</f>
        <v>4.1099999999999998E-2</v>
      </c>
      <c r="D21" s="694"/>
      <c r="E21" s="696">
        <f>(C21+1)^4-1</f>
        <v>0.17480000000000001</v>
      </c>
      <c r="F21" s="699"/>
      <c r="G21" s="698" t="s">
        <v>659</v>
      </c>
      <c r="H21" s="826" t="s">
        <v>450</v>
      </c>
      <c r="I21" s="826"/>
      <c r="J21" s="827"/>
      <c r="K21" s="702"/>
      <c r="L21" s="701" t="s">
        <v>54</v>
      </c>
      <c r="M21" s="273"/>
      <c r="N21" s="247"/>
      <c r="O21" s="247"/>
      <c r="P21" s="247"/>
      <c r="Q21" s="247"/>
      <c r="R21" s="247"/>
      <c r="S21" s="247"/>
      <c r="T21" s="247"/>
      <c r="U21" s="247"/>
      <c r="V21" s="274"/>
      <c r="W21" s="274"/>
      <c r="X21" s="825"/>
      <c r="Y21" s="825"/>
      <c r="Z21" s="825"/>
      <c r="AA21" s="275"/>
      <c r="AB21" s="636"/>
      <c r="AC21" s="273"/>
      <c r="AD21" s="247"/>
      <c r="AE21" s="247"/>
      <c r="AF21" s="247"/>
      <c r="AG21" s="247"/>
      <c r="AH21" s="247"/>
      <c r="AI21" s="247"/>
      <c r="AJ21" s="247"/>
      <c r="AK21" s="247"/>
      <c r="AL21" s="247"/>
      <c r="AM21" s="247"/>
      <c r="AN21" s="247"/>
      <c r="AO21" s="247"/>
      <c r="AP21" s="247"/>
    </row>
    <row r="22" spans="1:42" ht="18" customHeight="1" x14ac:dyDescent="0.15">
      <c r="B22" s="247"/>
      <c r="C22" s="247"/>
      <c r="D22" s="247"/>
      <c r="E22" s="247"/>
      <c r="F22" s="247"/>
      <c r="G22" s="247"/>
      <c r="H22" s="247"/>
      <c r="I22" s="247"/>
      <c r="J22" s="247"/>
      <c r="K22" s="247"/>
      <c r="L22" s="247"/>
      <c r="M22" s="247"/>
      <c r="N22" s="247"/>
      <c r="O22" s="247"/>
      <c r="P22" s="247"/>
      <c r="Q22" s="247"/>
      <c r="R22" s="247"/>
      <c r="S22" s="247"/>
      <c r="T22" s="247"/>
      <c r="U22" s="247"/>
      <c r="V22" s="247"/>
      <c r="W22" s="247"/>
      <c r="X22" s="247"/>
      <c r="Y22" s="247"/>
      <c r="Z22" s="247"/>
      <c r="AA22" s="247"/>
      <c r="AB22" s="247"/>
      <c r="AC22" s="247"/>
      <c r="AD22" s="247"/>
      <c r="AE22" s="247"/>
      <c r="AF22" s="247"/>
      <c r="AG22" s="247"/>
      <c r="AH22" s="247"/>
      <c r="AI22" s="247"/>
      <c r="AJ22" s="247"/>
      <c r="AK22" s="247"/>
      <c r="AL22" s="247"/>
      <c r="AM22" s="247"/>
      <c r="AN22" s="247"/>
      <c r="AO22" s="247"/>
    </row>
    <row r="23" spans="1:42" ht="18" customHeight="1" x14ac:dyDescent="0.15">
      <c r="A23" s="219" t="s">
        <v>454</v>
      </c>
      <c r="B23" s="247"/>
      <c r="C23" s="247"/>
      <c r="D23" s="247"/>
      <c r="E23" s="247"/>
      <c r="F23" s="247"/>
      <c r="G23" s="247"/>
      <c r="H23" s="247"/>
      <c r="I23" s="247"/>
      <c r="J23" s="247"/>
      <c r="K23" s="247"/>
      <c r="L23" s="247"/>
      <c r="M23" s="247"/>
      <c r="N23" s="247"/>
      <c r="O23" s="247"/>
      <c r="P23" s="247"/>
      <c r="Q23" s="247"/>
      <c r="R23" s="247"/>
      <c r="S23" s="247"/>
      <c r="T23" s="247"/>
      <c r="U23" s="247"/>
      <c r="V23" s="247"/>
      <c r="W23" s="247"/>
      <c r="X23" s="247"/>
      <c r="Y23" s="247"/>
      <c r="Z23" s="247"/>
      <c r="AA23" s="247"/>
      <c r="AB23" s="247"/>
      <c r="AC23" s="247"/>
      <c r="AD23" s="247"/>
      <c r="AE23" s="247"/>
      <c r="AF23" s="247"/>
      <c r="AG23" s="247"/>
      <c r="AH23" s="247"/>
      <c r="AI23" s="247"/>
      <c r="AJ23" s="247"/>
      <c r="AK23" s="247"/>
      <c r="AL23" s="247"/>
      <c r="AM23" s="247"/>
      <c r="AN23" s="247"/>
      <c r="AO23" s="247"/>
    </row>
    <row r="24" spans="1:42" ht="18" customHeight="1" outlineLevel="1" x14ac:dyDescent="0.15">
      <c r="A24" s="270" t="s">
        <v>462</v>
      </c>
      <c r="B24" s="276">
        <v>1</v>
      </c>
      <c r="C24" s="247"/>
      <c r="D24" s="277"/>
      <c r="E24" s="247"/>
      <c r="F24" s="247"/>
      <c r="G24" s="247"/>
      <c r="H24" s="247"/>
      <c r="I24" s="247"/>
      <c r="J24" s="247"/>
      <c r="K24" s="247"/>
      <c r="L24" s="247"/>
      <c r="M24" s="247"/>
      <c r="N24" s="247"/>
      <c r="O24" s="247"/>
      <c r="P24" s="247"/>
      <c r="Q24" s="247"/>
      <c r="R24" s="247"/>
      <c r="S24" s="247"/>
      <c r="T24" s="247"/>
      <c r="U24" s="247"/>
      <c r="V24" s="247"/>
      <c r="W24" s="247"/>
      <c r="X24" s="247"/>
      <c r="Y24" s="247"/>
      <c r="Z24" s="247"/>
      <c r="AA24" s="247"/>
      <c r="AB24" s="247"/>
      <c r="AC24" s="247"/>
      <c r="AD24" s="247"/>
      <c r="AE24" s="247"/>
      <c r="AF24" s="247"/>
      <c r="AG24" s="247"/>
      <c r="AH24" s="247"/>
      <c r="AI24" s="247"/>
      <c r="AJ24" s="247"/>
      <c r="AK24" s="247"/>
      <c r="AL24" s="247"/>
      <c r="AM24" s="247"/>
      <c r="AN24" s="247"/>
      <c r="AO24" s="247"/>
    </row>
    <row r="25" spans="1:42" ht="18" customHeight="1" collapsed="1" x14ac:dyDescent="0.15">
      <c r="A25" s="219" t="s">
        <v>455</v>
      </c>
      <c r="B25" s="247"/>
      <c r="C25" s="247"/>
      <c r="D25" s="247"/>
      <c r="E25" s="247"/>
      <c r="F25" s="247"/>
      <c r="G25" s="247"/>
      <c r="H25" s="247"/>
      <c r="I25" s="247"/>
      <c r="J25" s="247"/>
      <c r="K25" s="247"/>
      <c r="L25" s="247"/>
      <c r="M25" s="247"/>
      <c r="N25" s="247"/>
      <c r="O25" s="247"/>
      <c r="P25" s="247"/>
      <c r="Q25" s="247"/>
      <c r="R25" s="247"/>
      <c r="S25" s="247"/>
      <c r="T25" s="247"/>
      <c r="U25" s="247"/>
      <c r="V25" s="247"/>
      <c r="W25" s="247"/>
      <c r="X25" s="247"/>
      <c r="Y25" s="247"/>
      <c r="Z25" s="247"/>
      <c r="AA25" s="247"/>
      <c r="AB25" s="247"/>
      <c r="AC25" s="247"/>
      <c r="AD25" s="247"/>
      <c r="AE25" s="247"/>
      <c r="AF25" s="247"/>
      <c r="AG25" s="247"/>
      <c r="AH25" s="247"/>
      <c r="AI25" s="247"/>
      <c r="AJ25" s="247"/>
      <c r="AK25" s="247"/>
      <c r="AL25" s="247"/>
      <c r="AM25" s="247"/>
      <c r="AN25" s="247"/>
      <c r="AO25" s="247"/>
    </row>
    <row r="26" spans="1:42" ht="18" hidden="1" customHeight="1" outlineLevel="1" x14ac:dyDescent="0.15">
      <c r="B26" s="247">
        <f>IF(B9&gt;0,0.25,0)</f>
        <v>0</v>
      </c>
      <c r="C26" s="247">
        <f>IF(B26&gt;0,B26+0.25,IF(C9&gt;0,0.25,0))</f>
        <v>0.25</v>
      </c>
      <c r="D26" s="247">
        <f t="shared" ref="D26:AO26" si="9">IF(C26&gt;0,C26+0.25,IF(D9&gt;0,0.25,0))</f>
        <v>0.5</v>
      </c>
      <c r="E26" s="247">
        <f t="shared" si="9"/>
        <v>0.75</v>
      </c>
      <c r="F26" s="247">
        <f t="shared" si="9"/>
        <v>1</v>
      </c>
      <c r="G26" s="247">
        <f t="shared" si="9"/>
        <v>1.25</v>
      </c>
      <c r="H26" s="247">
        <f t="shared" si="9"/>
        <v>1.5</v>
      </c>
      <c r="I26" s="247">
        <f t="shared" si="9"/>
        <v>1.75</v>
      </c>
      <c r="J26" s="247">
        <f t="shared" si="9"/>
        <v>2</v>
      </c>
      <c r="K26" s="247">
        <f t="shared" si="9"/>
        <v>2.25</v>
      </c>
      <c r="L26" s="247">
        <f t="shared" si="9"/>
        <v>2.5</v>
      </c>
      <c r="M26" s="247">
        <f t="shared" si="9"/>
        <v>2.75</v>
      </c>
      <c r="N26" s="247">
        <f t="shared" si="9"/>
        <v>3</v>
      </c>
      <c r="O26" s="247">
        <f t="shared" si="9"/>
        <v>3.25</v>
      </c>
      <c r="P26" s="247">
        <f t="shared" si="9"/>
        <v>3.5</v>
      </c>
      <c r="Q26" s="247">
        <f t="shared" si="9"/>
        <v>3.75</v>
      </c>
      <c r="R26" s="247">
        <f t="shared" si="9"/>
        <v>4</v>
      </c>
      <c r="S26" s="247">
        <f t="shared" si="9"/>
        <v>4.25</v>
      </c>
      <c r="T26" s="247">
        <f t="shared" si="9"/>
        <v>4.5</v>
      </c>
      <c r="U26" s="247">
        <f t="shared" si="9"/>
        <v>4.75</v>
      </c>
      <c r="V26" s="247">
        <f t="shared" si="9"/>
        <v>5</v>
      </c>
      <c r="W26" s="247">
        <f t="shared" si="9"/>
        <v>5.25</v>
      </c>
      <c r="X26" s="247">
        <f t="shared" si="9"/>
        <v>5.5</v>
      </c>
      <c r="Y26" s="247">
        <f t="shared" si="9"/>
        <v>5.75</v>
      </c>
      <c r="Z26" s="247">
        <f t="shared" si="9"/>
        <v>6</v>
      </c>
      <c r="AA26" s="247">
        <f t="shared" si="9"/>
        <v>6.25</v>
      </c>
      <c r="AB26" s="247">
        <f t="shared" si="9"/>
        <v>6.5</v>
      </c>
      <c r="AC26" s="247">
        <f t="shared" si="9"/>
        <v>6.75</v>
      </c>
      <c r="AD26" s="247">
        <f t="shared" si="9"/>
        <v>7</v>
      </c>
      <c r="AE26" s="247">
        <f t="shared" si="9"/>
        <v>7.25</v>
      </c>
      <c r="AF26" s="247">
        <f t="shared" si="9"/>
        <v>7.5</v>
      </c>
      <c r="AG26" s="247">
        <f t="shared" si="9"/>
        <v>7.75</v>
      </c>
      <c r="AH26" s="247">
        <f t="shared" si="9"/>
        <v>8</v>
      </c>
      <c r="AI26" s="247">
        <f t="shared" si="9"/>
        <v>8.25</v>
      </c>
      <c r="AJ26" s="247">
        <f t="shared" si="9"/>
        <v>8.5</v>
      </c>
      <c r="AK26" s="247">
        <f t="shared" si="9"/>
        <v>8.75</v>
      </c>
      <c r="AL26" s="247">
        <f t="shared" si="9"/>
        <v>9</v>
      </c>
      <c r="AM26" s="247">
        <f t="shared" si="9"/>
        <v>9.25</v>
      </c>
      <c r="AN26" s="247">
        <f t="shared" si="9"/>
        <v>9.5</v>
      </c>
      <c r="AO26" s="247">
        <f t="shared" si="9"/>
        <v>9.75</v>
      </c>
      <c r="AP26" s="247"/>
    </row>
    <row r="28" spans="1:42" ht="18" customHeight="1" x14ac:dyDescent="0.15">
      <c r="A28" s="679"/>
      <c r="B28" s="170"/>
      <c r="C28" s="172"/>
      <c r="D28" s="172"/>
      <c r="E28" s="172"/>
      <c r="F28" s="170"/>
      <c r="G28" s="172"/>
      <c r="H28" s="172"/>
      <c r="I28" s="172"/>
      <c r="J28" s="170"/>
      <c r="K28" s="172"/>
      <c r="L28" s="172"/>
      <c r="M28" s="172"/>
      <c r="N28" s="170"/>
      <c r="O28" s="172"/>
      <c r="P28" s="172"/>
      <c r="Q28" s="172"/>
      <c r="R28" s="170"/>
      <c r="S28" s="172"/>
      <c r="T28" s="172"/>
      <c r="U28" s="172"/>
      <c r="V28" s="170"/>
      <c r="W28" s="172"/>
      <c r="X28" s="172"/>
      <c r="Y28" s="172"/>
      <c r="Z28" s="170"/>
      <c r="AA28" s="172"/>
      <c r="AB28" s="172"/>
      <c r="AC28" s="172"/>
      <c r="AD28" s="170"/>
      <c r="AE28" s="172"/>
      <c r="AF28" s="172"/>
      <c r="AG28" s="172"/>
      <c r="AH28" s="170"/>
      <c r="AI28" s="172"/>
      <c r="AJ28" s="172"/>
      <c r="AK28" s="172"/>
      <c r="AL28" s="172"/>
      <c r="AM28" s="172"/>
      <c r="AN28" s="172"/>
      <c r="AO28" s="172"/>
    </row>
    <row r="29" spans="1:42" ht="18" customHeight="1" x14ac:dyDescent="0.15">
      <c r="B29" s="172"/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172"/>
      <c r="N29" s="172"/>
      <c r="O29" s="172"/>
      <c r="P29" s="172"/>
      <c r="Q29" s="172"/>
      <c r="R29" s="172"/>
      <c r="S29" s="172"/>
      <c r="T29" s="172"/>
      <c r="U29" s="172"/>
      <c r="V29" s="172"/>
      <c r="W29" s="172"/>
      <c r="X29" s="172"/>
      <c r="Y29" s="172"/>
      <c r="Z29" s="172"/>
      <c r="AA29" s="172"/>
      <c r="AB29" s="172"/>
      <c r="AC29" s="172"/>
      <c r="AD29" s="172"/>
      <c r="AE29" s="172"/>
      <c r="AF29" s="172"/>
      <c r="AG29" s="172"/>
      <c r="AH29" s="172"/>
      <c r="AI29" s="172"/>
      <c r="AJ29" s="172"/>
      <c r="AK29" s="172"/>
      <c r="AL29" s="172"/>
      <c r="AM29" s="172"/>
      <c r="AN29" s="172"/>
      <c r="AO29" s="172"/>
    </row>
    <row r="30" spans="1:42" ht="18" customHeight="1" x14ac:dyDescent="0.15">
      <c r="B30" s="172"/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  <c r="X30" s="172"/>
      <c r="Y30" s="172"/>
      <c r="Z30" s="172"/>
      <c r="AA30" s="172"/>
      <c r="AB30" s="172"/>
      <c r="AC30" s="172"/>
      <c r="AD30" s="172"/>
      <c r="AE30" s="172"/>
      <c r="AF30" s="172"/>
      <c r="AG30" s="172"/>
      <c r="AH30" s="172"/>
      <c r="AI30" s="172"/>
      <c r="AJ30" s="172"/>
      <c r="AK30" s="172"/>
      <c r="AL30" s="172"/>
      <c r="AM30" s="172"/>
      <c r="AN30" s="172"/>
      <c r="AO30" s="172"/>
    </row>
    <row r="33" spans="3:3" ht="18" customHeight="1" x14ac:dyDescent="0.15">
      <c r="C33" s="270"/>
    </row>
    <row r="34" spans="3:3" ht="18" customHeight="1" x14ac:dyDescent="0.15">
      <c r="C34" s="157"/>
    </row>
  </sheetData>
  <customSheetViews>
    <customSheetView guid="{62777320-11E7-11D4-8B3D-00E098726125}" showRuler="0" topLeftCell="E17">
      <selection activeCell="H25" sqref="H25"/>
      <pageMargins left="0.74803149606299213" right="0.74803149606299213" top="0.98425196850393704" bottom="0.98425196850393704" header="0.51181102362204722" footer="0.51181102362204722"/>
      <printOptions horizontalCentered="1" verticalCentered="1"/>
      <pageSetup paperSize="9" scale="80" orientation="landscape"/>
      <headerFooter alignWithMargins="0"/>
    </customSheetView>
    <customSheetView guid="{33FE80C0-0EDF-11D4-8B3D-001060002050}" showPageBreaks="1" showRuler="0" topLeftCell="E17">
      <selection activeCell="H25" sqref="H25"/>
      <pageMargins left="0.74803149606299213" right="0.74803149606299213" top="0.98425196850393704" bottom="0.98425196850393704" header="0.51181102362204722" footer="0.51181102362204722"/>
      <printOptions horizontalCentered="1" verticalCentered="1"/>
      <pageSetup paperSize="9" scale="80" orientation="landscape"/>
      <headerFooter alignWithMargins="0"/>
    </customSheetView>
  </customSheetViews>
  <mergeCells count="16">
    <mergeCell ref="X20:Z20"/>
    <mergeCell ref="X21:Z21"/>
    <mergeCell ref="H21:J21"/>
    <mergeCell ref="H20:J20"/>
    <mergeCell ref="B3:E3"/>
    <mergeCell ref="F3:I3"/>
    <mergeCell ref="J3:M3"/>
    <mergeCell ref="AP3:AP4"/>
    <mergeCell ref="AL3:AO3"/>
    <mergeCell ref="N3:Q3"/>
    <mergeCell ref="A3:A4"/>
    <mergeCell ref="R3:U3"/>
    <mergeCell ref="V3:Y3"/>
    <mergeCell ref="Z3:AC3"/>
    <mergeCell ref="AD3:AG3"/>
    <mergeCell ref="AH3:AK3"/>
  </mergeCells>
  <phoneticPr fontId="2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65" orientation="landscape" r:id="rId1"/>
  <headerFooter alignWithMargins="0"/>
  <colBreaks count="2" manualBreakCount="2">
    <brk id="9" max="24" man="1"/>
    <brk id="17" max="2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32</vt:i4>
      </vt:variant>
      <vt:variant>
        <vt:lpstr>命名范围</vt:lpstr>
      </vt:variant>
      <vt:variant>
        <vt:i4>29</vt:i4>
      </vt:variant>
    </vt:vector>
  </HeadingPairs>
  <TitlesOfParts>
    <vt:vector size="61" baseType="lpstr">
      <vt:lpstr>系统读取表</vt:lpstr>
      <vt:lpstr>基础数据</vt:lpstr>
      <vt:lpstr>规划指标</vt:lpstr>
      <vt:lpstr>结论表</vt:lpstr>
      <vt:lpstr>底表1（销售）</vt:lpstr>
      <vt:lpstr>底表1（销售计划）</vt:lpstr>
      <vt:lpstr>底表2（增值税、土地增值税）</vt:lpstr>
      <vt:lpstr>主表1（成本）</vt:lpstr>
      <vt:lpstr>主表2（现金流量表）</vt:lpstr>
      <vt:lpstr>主表3（损益表）</vt:lpstr>
      <vt:lpstr>主表4（敏感性分析）</vt:lpstr>
      <vt:lpstr>主表5（资金来源与运用）</vt:lpstr>
      <vt:lpstr>主表3 （敏感性分析 销售-5%）</vt:lpstr>
      <vt:lpstr>主表4-1（敏感性分析 销售-5%）</vt:lpstr>
      <vt:lpstr>主表3 （敏感性分析 销售-10%）</vt:lpstr>
      <vt:lpstr>主表4-1（敏感性分析 销售-10%）</vt:lpstr>
      <vt:lpstr>主表3 （敏感性分析 销售+5%） </vt:lpstr>
      <vt:lpstr>主表4-1（敏感性分析 销售+5%）</vt:lpstr>
      <vt:lpstr>主表3 （敏感性分析 销售+10%）</vt:lpstr>
      <vt:lpstr>主表4-1（敏感性分析 销售+10%）</vt:lpstr>
      <vt:lpstr>主表3 （敏感性分析 成本+5%）</vt:lpstr>
      <vt:lpstr>主表3 （敏感性分析 成本+10%）</vt:lpstr>
      <vt:lpstr>主表4-1（敏感性分析 成本+10%）</vt:lpstr>
      <vt:lpstr>主表3 （敏感性分析 成本-5%）</vt:lpstr>
      <vt:lpstr>主表4-1（敏感性分析 成本-5%）</vt:lpstr>
      <vt:lpstr>主表3 （敏感性分析 成本-10%）</vt:lpstr>
      <vt:lpstr>主表4-1（敏感性分析 成本-10%）</vt:lpstr>
      <vt:lpstr>主表6（负债偿还预测）</vt:lpstr>
      <vt:lpstr>模拟清算</vt:lpstr>
      <vt:lpstr>底表1（销售计划）(模拟清算)</vt:lpstr>
      <vt:lpstr>底表2（增值税、土地增值税）（模拟清算）</vt:lpstr>
      <vt:lpstr>主表5（负债偿还预测表）</vt:lpstr>
      <vt:lpstr>'底表1（销售）'!Print_Area</vt:lpstr>
      <vt:lpstr>'底表1（销售计划）'!Print_Area</vt:lpstr>
      <vt:lpstr>'底表1（销售计划）(模拟清算)'!Print_Area</vt:lpstr>
      <vt:lpstr>'底表2（增值税、土地增值税）'!Print_Area</vt:lpstr>
      <vt:lpstr>'底表2（增值税、土地增值税）（模拟清算）'!Print_Area</vt:lpstr>
      <vt:lpstr>规划指标!Print_Area</vt:lpstr>
      <vt:lpstr>基础数据!Print_Area</vt:lpstr>
      <vt:lpstr>结论表!Print_Area</vt:lpstr>
      <vt:lpstr>'主表1（成本）'!Print_Area</vt:lpstr>
      <vt:lpstr>'主表2（现金流量表）'!Print_Area</vt:lpstr>
      <vt:lpstr>'主表3 （敏感性分析 成本+10%）'!Print_Area</vt:lpstr>
      <vt:lpstr>'主表3 （敏感性分析 成本+5%）'!Print_Area</vt:lpstr>
      <vt:lpstr>'主表3 （敏感性分析 成本-10%）'!Print_Area</vt:lpstr>
      <vt:lpstr>'主表3 （敏感性分析 成本-5%）'!Print_Area</vt:lpstr>
      <vt:lpstr>'主表3 （敏感性分析 销售+10%）'!Print_Area</vt:lpstr>
      <vt:lpstr>'主表3 （敏感性分析 销售+5%） '!Print_Area</vt:lpstr>
      <vt:lpstr>'主表3 （敏感性分析 销售-10%）'!Print_Area</vt:lpstr>
      <vt:lpstr>'主表3 （敏感性分析 销售-5%）'!Print_Area</vt:lpstr>
      <vt:lpstr>'主表3（损益表）'!Print_Area</vt:lpstr>
      <vt:lpstr>'主表4（敏感性分析）'!Print_Area</vt:lpstr>
      <vt:lpstr>'主表4-1（敏感性分析 成本+10%）'!Print_Area</vt:lpstr>
      <vt:lpstr>'主表4-1（敏感性分析 成本-10%）'!Print_Area</vt:lpstr>
      <vt:lpstr>'主表4-1（敏感性分析 成本-5%）'!Print_Area</vt:lpstr>
      <vt:lpstr>'主表4-1（敏感性分析 销售+10%）'!Print_Area</vt:lpstr>
      <vt:lpstr>'主表4-1（敏感性分析 销售+5%）'!Print_Area</vt:lpstr>
      <vt:lpstr>'主表4-1（敏感性分析 销售-10%）'!Print_Area</vt:lpstr>
      <vt:lpstr>'主表4-1（敏感性分析 销售-5%）'!Print_Area</vt:lpstr>
      <vt:lpstr>'主表5（资金来源与运用）'!Print_Area</vt:lpstr>
      <vt:lpstr>'主表6（负债偿还预测）'!Print_Area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周文茜</dc:creator>
  <cp:lastModifiedBy>kz</cp:lastModifiedBy>
  <cp:lastPrinted>2020-10-21T12:29:51Z</cp:lastPrinted>
  <dcterms:created xsi:type="dcterms:W3CDTF">2000-01-26T02:31:24Z</dcterms:created>
  <dcterms:modified xsi:type="dcterms:W3CDTF">2021-04-30T05:42:17Z</dcterms:modified>
</cp:coreProperties>
</file>