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5套合计" sheetId="83"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销售案例" sheetId="81" r:id="rId47"/>
    <sheet name="租金" sheetId="82"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34" l="1"/>
  <c r="F11" i="83"/>
  <c r="I10" i="34"/>
  <c r="G10" i="34"/>
  <c r="E10" i="34"/>
  <c r="C10" i="34"/>
  <c r="N19" i="1"/>
  <c r="N21" i="1" s="1"/>
  <c r="N6" i="1" s="1"/>
  <c r="E67" i="34" l="1"/>
  <c r="F67" i="34"/>
  <c r="G67" i="34"/>
  <c r="D67" i="34"/>
  <c r="J49" i="67"/>
  <c r="C37" i="34"/>
  <c r="Y6" i="1" l="1"/>
  <c r="F19" i="6"/>
  <c r="D3" i="4"/>
  <c r="B14" i="74" l="1"/>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E38" i="71" s="1"/>
  <c r="E39" i="71" s="1"/>
  <c r="E40" i="71" s="1"/>
  <c r="U40"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25" i="40"/>
  <c r="S18" i="36"/>
  <c r="H25" i="40"/>
  <c r="J25" i="40"/>
  <c r="W25" i="40" s="1"/>
  <c r="H29" i="39"/>
  <c r="AB29" i="39" s="1"/>
  <c r="J29" i="39"/>
  <c r="AC29" i="39" s="1"/>
  <c r="J18" i="36"/>
  <c r="F68" i="35"/>
  <c r="G68" i="35" s="1"/>
  <c r="H18" i="35"/>
  <c r="AB18" i="35" s="1"/>
  <c r="J18" i="35"/>
  <c r="H21" i="37"/>
  <c r="AB21" i="37" s="1"/>
  <c r="F21" i="37"/>
  <c r="AA21" i="37" s="1"/>
  <c r="H21" i="34"/>
  <c r="H21" i="33"/>
  <c r="U21" i="33" s="1"/>
  <c r="F21" i="33"/>
  <c r="E83" i="21"/>
  <c r="F83" i="21" s="1"/>
  <c r="H1" i="69"/>
  <c r="AC25" i="40"/>
  <c r="U29" i="39"/>
  <c r="W29" i="39"/>
  <c r="U21" i="37"/>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0" i="34" s="1"/>
  <c r="AA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c r="F26" i="33"/>
  <c r="AA26" i="33" s="1"/>
  <c r="U33" i="33"/>
  <c r="U35" i="33"/>
  <c r="S40" i="33"/>
  <c r="W39" i="33"/>
  <c r="H39" i="37"/>
  <c r="AB39" i="37"/>
  <c r="F11" i="40"/>
  <c r="AA11" i="40"/>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F15" i="34"/>
  <c r="AA15" i="34" s="1"/>
  <c r="J15" i="34"/>
  <c r="AC15" i="34" s="1"/>
  <c r="H15" i="34"/>
  <c r="AB15" i="34" s="1"/>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c r="F14" i="37"/>
  <c r="S14" i="37" s="1"/>
  <c r="F27" i="37"/>
  <c r="AA27" i="37"/>
  <c r="F13" i="39"/>
  <c r="J13" i="39"/>
  <c r="W13" i="39" s="1"/>
  <c r="H13" i="39"/>
  <c r="H14" i="40"/>
  <c r="AB14" i="40"/>
  <c r="J14" i="40"/>
  <c r="W14" i="40" s="1"/>
  <c r="F14" i="40"/>
  <c r="AA14" i="40"/>
  <c r="J14" i="37"/>
  <c r="J27" i="37"/>
  <c r="AC27" i="37"/>
  <c r="AA44" i="33"/>
  <c r="U46" i="33"/>
  <c r="AA14" i="33"/>
  <c r="J36" i="37"/>
  <c r="AC36" i="37"/>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s="1"/>
  <c r="BA548" i="3"/>
  <c r="BA546" i="3"/>
  <c r="BA544" i="3"/>
  <c r="AZ544" i="3" s="1"/>
  <c r="BA542" i="3"/>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BL164" i="3"/>
  <c r="AZ164" i="3" s="1"/>
  <c r="G165" i="3"/>
  <c r="BA167" i="3"/>
  <c r="BL168" i="3"/>
  <c r="G169" i="3"/>
  <c r="BA171" i="3"/>
  <c r="AZ171" i="3"/>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55" i="3"/>
  <c r="AZ144" i="3"/>
  <c r="AZ168" i="3"/>
  <c r="AZ176" i="3"/>
  <c r="AZ9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AZ314" i="3" s="1"/>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6" i="3"/>
  <c r="AZ368" i="3"/>
  <c r="BA15" i="3"/>
  <c r="BB5" i="3"/>
  <c r="BR5" i="3"/>
  <c r="AZ380" i="3"/>
  <c r="AZ392" i="3"/>
  <c r="AZ509" i="3"/>
  <c r="G509" i="3"/>
  <c r="BL493" i="3"/>
  <c r="AZ493" i="3" s="1"/>
  <c r="U36" i="40"/>
  <c r="F83" i="43"/>
  <c r="H85" i="43" s="1"/>
  <c r="F50" i="43"/>
  <c r="H54" i="43" s="1"/>
  <c r="F72" i="43"/>
  <c r="H75" i="43" s="1"/>
  <c r="U17" i="39"/>
  <c r="S14" i="35"/>
  <c r="U43" i="21"/>
  <c r="U35" i="21"/>
  <c r="AC35" i="21"/>
  <c r="AC11" i="39"/>
  <c r="AZ563" i="3"/>
  <c r="AZ501" i="3"/>
  <c r="W37" i="37"/>
  <c r="W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71" i="3"/>
  <c r="AZ110"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A32" i="36"/>
  <c r="S32" i="36"/>
  <c r="AZ437" i="3"/>
  <c r="AZ473" i="3"/>
  <c r="BL14" i="3"/>
  <c r="U30" i="33"/>
  <c r="AC13" i="34"/>
  <c r="AA47" i="34"/>
  <c r="W28" i="37"/>
  <c r="S19" i="39"/>
  <c r="F12" i="33"/>
  <c r="H12" i="39"/>
  <c r="AB12" i="39" s="1"/>
  <c r="F39" i="40"/>
  <c r="BA14" i="3"/>
  <c r="AZ286" i="3"/>
  <c r="B12" i="1"/>
  <c r="E12" i="1" s="1"/>
  <c r="B10" i="1"/>
  <c r="E10" i="1" s="1"/>
  <c r="K12" i="1"/>
  <c r="M12" i="1" s="1"/>
  <c r="S13" i="1"/>
  <c r="AR13" i="1" s="1"/>
  <c r="R13" i="1"/>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U43" i="34"/>
  <c r="AC39" i="34"/>
  <c r="U39"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S37" i="34"/>
  <c r="AA36" i="34"/>
  <c r="S36" i="34"/>
  <c r="AA8"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U23" i="33"/>
  <c r="F23" i="33"/>
  <c r="G85" i="33"/>
  <c r="AA19" i="33"/>
  <c r="H19" i="33"/>
  <c r="AB19" i="33" s="1"/>
  <c r="G81" i="33"/>
  <c r="H17" i="33"/>
  <c r="U17" i="33" s="1"/>
  <c r="F17" i="33"/>
  <c r="S17" i="33" s="1"/>
  <c r="W17" i="33"/>
  <c r="S37"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15"/>
  <c r="F37" i="67"/>
  <c r="B13" i="76"/>
  <c r="F36" i="67"/>
  <c r="E8" i="76"/>
  <c r="M23" i="67"/>
  <c r="B10" i="76"/>
  <c r="B12" i="76"/>
  <c r="F16" i="15"/>
  <c r="F7" i="73"/>
  <c r="E9" i="76"/>
  <c r="M8" i="67"/>
  <c r="AO13" i="1"/>
  <c r="E11" i="76"/>
  <c r="F7" i="15"/>
  <c r="E2" i="68"/>
  <c r="B11" i="76"/>
  <c r="F5" i="73"/>
  <c r="E13" i="76"/>
  <c r="B9" i="76"/>
  <c r="D6" i="73"/>
  <c r="C76" i="67"/>
  <c r="F8" i="15"/>
  <c r="F4" i="73"/>
  <c r="M22" i="15"/>
  <c r="F8" i="67"/>
  <c r="F6" i="67"/>
  <c r="E10" i="76"/>
  <c r="E2" i="69"/>
  <c r="M29" i="67"/>
  <c r="E7" i="76"/>
  <c r="M6" i="67"/>
  <c r="M26" i="67"/>
  <c r="E12" i="76"/>
  <c r="B7" i="76"/>
  <c r="F6" i="73"/>
  <c r="F6" i="15"/>
  <c r="L47" i="15"/>
  <c r="F43" i="67"/>
  <c r="F13" i="15"/>
  <c r="F42" i="15"/>
  <c r="F26" i="15"/>
  <c r="F26" i="67"/>
  <c r="M24" i="67"/>
  <c r="M28" i="67"/>
  <c r="F20" i="31"/>
  <c r="L47" i="67"/>
  <c r="F40" i="67"/>
  <c r="M22" i="67"/>
  <c r="F3" i="73"/>
  <c r="F42" i="67"/>
  <c r="B8" i="76"/>
  <c r="J15" i="67"/>
  <c r="F7" i="67"/>
  <c r="C76" i="15"/>
  <c r="M24" i="15"/>
  <c r="F38" i="67"/>
  <c r="F13" i="67"/>
  <c r="M9" i="67"/>
  <c r="AB23" i="34" l="1"/>
  <c r="F17" i="34"/>
  <c r="AA17" i="34" s="1"/>
  <c r="H17" i="34"/>
  <c r="U17" i="34" s="1"/>
  <c r="S23" i="34"/>
  <c r="S19" i="34"/>
  <c r="U19" i="34"/>
  <c r="W19" i="34"/>
  <c r="AC17" i="34"/>
  <c r="U15" i="34"/>
  <c r="AC45" i="34"/>
  <c r="AA45" i="34"/>
  <c r="I7" i="34"/>
  <c r="G7" i="34"/>
  <c r="E7" i="34"/>
  <c r="F6" i="1"/>
  <c r="G6" i="1" s="1"/>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AZ407" i="3"/>
  <c r="AZ443" i="3"/>
  <c r="U12" i="39"/>
  <c r="AA27" i="40"/>
  <c r="AB27" i="40"/>
  <c r="AC12" i="37"/>
  <c r="AZ525" i="3"/>
  <c r="AZ531" i="3"/>
  <c r="AZ512" i="3"/>
  <c r="AZ520" i="3"/>
  <c r="U26" i="33"/>
  <c r="AB26" i="33"/>
  <c r="AZ585" i="3"/>
  <c r="W17" i="21"/>
  <c r="AB36" i="33"/>
  <c r="F29" i="6"/>
  <c r="E29" i="6" s="1"/>
  <c r="K15" i="1" s="1"/>
  <c r="AZ355" i="3"/>
  <c r="AZ203" i="3"/>
  <c r="AZ513" i="3"/>
  <c r="AZ502" i="3"/>
  <c r="U33" i="40"/>
  <c r="AB33" i="40"/>
  <c r="AZ419" i="3"/>
  <c r="AZ384" i="3"/>
  <c r="AZ583" i="3"/>
  <c r="AZ576" i="3"/>
  <c r="AA11" i="36"/>
  <c r="S11" i="36"/>
  <c r="AZ370" i="3"/>
  <c r="AZ362" i="3"/>
  <c r="AZ338" i="3"/>
  <c r="AZ307"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AZ398" i="3" s="1"/>
  <c r="BA399" i="3"/>
  <c r="AZ399" i="3" s="1"/>
  <c r="BL401" i="3"/>
  <c r="BL404" i="3"/>
  <c r="BL405" i="3"/>
  <c r="BL407" i="3"/>
  <c r="BA412" i="3"/>
  <c r="AZ412" i="3" s="1"/>
  <c r="BA414" i="3"/>
  <c r="BA415" i="3"/>
  <c r="AZ415" i="3" s="1"/>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AZ436" i="3" s="1"/>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AZ256" i="3" s="1"/>
  <c r="BL256" i="3"/>
  <c r="BL264" i="3"/>
  <c r="BL266" i="3"/>
  <c r="BA268" i="3"/>
  <c r="BL273" i="3"/>
  <c r="G274" i="3"/>
  <c r="BA277" i="3"/>
  <c r="AZ277" i="3" s="1"/>
  <c r="BL277" i="3"/>
  <c r="BA282" i="3"/>
  <c r="BL282" i="3"/>
  <c r="BA284" i="3"/>
  <c r="AZ284" i="3" s="1"/>
  <c r="BL290" i="3"/>
  <c r="BL291" i="3"/>
  <c r="AZ291" i="3" s="1"/>
  <c r="BL146" i="3"/>
  <c r="BA148" i="3"/>
  <c r="AZ148" i="3" s="1"/>
  <c r="G155" i="3"/>
  <c r="BL158" i="3"/>
  <c r="G164" i="3"/>
  <c r="BA22" i="3"/>
  <c r="BA446" i="3"/>
  <c r="BA450" i="3"/>
  <c r="BA453" i="3"/>
  <c r="AZ453" i="3" s="1"/>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AZ201" i="3"/>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AZ283" i="3" s="1"/>
  <c r="BL284" i="3"/>
  <c r="G288" i="3"/>
  <c r="BL292" i="3"/>
  <c r="BA120" i="3"/>
  <c r="AZ120" i="3" s="1"/>
  <c r="BL450" i="3"/>
  <c r="AZ450" i="3" s="1"/>
  <c r="BL452" i="3"/>
  <c r="AZ476" i="3"/>
  <c r="BA482" i="3"/>
  <c r="BA484" i="3"/>
  <c r="AZ484" i="3" s="1"/>
  <c r="G491" i="3"/>
  <c r="BA303" i="3"/>
  <c r="AZ303" i="3" s="1"/>
  <c r="BA307" i="3"/>
  <c r="BA332" i="3"/>
  <c r="BL332" i="3"/>
  <c r="G364" i="3"/>
  <c r="BA367" i="3"/>
  <c r="AZ367" i="3" s="1"/>
  <c r="BA370" i="3"/>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AZ103" i="3"/>
  <c r="B13" i="1"/>
  <c r="E13" i="1" s="1"/>
  <c r="K13" i="1"/>
  <c r="M13" i="1" s="1"/>
  <c r="O13" i="1" s="1"/>
  <c r="P13" i="1" s="1"/>
  <c r="F40" i="69"/>
  <c r="C40" i="69"/>
  <c r="AC18" i="35"/>
  <c r="W18" i="35"/>
  <c r="C44" i="71"/>
  <c r="D43" i="71"/>
  <c r="C52" i="71"/>
  <c r="D51" i="71"/>
  <c r="BL293" i="3"/>
  <c r="BL294" i="3"/>
  <c r="BA297" i="3"/>
  <c r="BL297" i="3"/>
  <c r="BL300" i="3"/>
  <c r="BA302" i="3"/>
  <c r="AZ302" i="3" s="1"/>
  <c r="G115"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AZ30" i="3" s="1"/>
  <c r="BL31" i="3"/>
  <c r="AZ31" i="3" s="1"/>
  <c r="BA40" i="3"/>
  <c r="G47" i="3"/>
  <c r="BL48" i="3"/>
  <c r="AZ48" i="3" s="1"/>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G104" i="3"/>
  <c r="BA106" i="3"/>
  <c r="BL108" i="3"/>
  <c r="AZ108" i="3" s="1"/>
  <c r="W21" i="21"/>
  <c r="D31" i="71"/>
  <c r="C32" i="7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P66"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M7" i="15"/>
  <c r="F50" i="15"/>
  <c r="F51" i="15"/>
  <c r="F71" i="15"/>
  <c r="F66" i="67"/>
  <c r="L59" i="15"/>
  <c r="N59" i="15"/>
  <c r="M59" i="15"/>
  <c r="Q71" i="67"/>
  <c r="C27" i="67"/>
  <c r="F71" i="67"/>
  <c r="C27" i="15"/>
  <c r="N59" i="67"/>
  <c r="L59" i="67"/>
  <c r="M59" i="67"/>
  <c r="B13" i="70"/>
  <c r="M7" i="67"/>
  <c r="J6" i="67" s="1"/>
  <c r="F50" i="67"/>
  <c r="F68" i="67"/>
  <c r="F64" i="67"/>
  <c r="C36" i="68"/>
  <c r="D9" i="69"/>
  <c r="C36" i="69"/>
  <c r="D9" i="68"/>
  <c r="M6" i="15"/>
  <c r="F9" i="15"/>
  <c r="D3" i="73"/>
  <c r="M28" i="15"/>
  <c r="F38" i="15"/>
  <c r="D5" i="73"/>
  <c r="C16" i="15"/>
  <c r="M9" i="15"/>
  <c r="L48" i="67"/>
  <c r="F40" i="15"/>
  <c r="M8" i="15"/>
  <c r="M26" i="15"/>
  <c r="F36" i="15"/>
  <c r="J15" i="15"/>
  <c r="F16" i="67"/>
  <c r="F9" i="67"/>
  <c r="D7" i="73"/>
  <c r="M23" i="15"/>
  <c r="F37" i="15"/>
  <c r="D4" i="73"/>
  <c r="L48" i="15"/>
  <c r="M29" i="15"/>
  <c r="S17" i="34" l="1"/>
  <c r="J53" i="67"/>
  <c r="F1" i="67" s="1"/>
  <c r="L56" i="67"/>
  <c r="L58" i="67"/>
  <c r="Q73" i="67" s="1"/>
  <c r="J57" i="67"/>
  <c r="J55" i="67" s="1"/>
  <c r="J58" i="67" s="1"/>
  <c r="Q50" i="67" s="1"/>
  <c r="I54" i="67"/>
  <c r="H16" i="1"/>
  <c r="Q16" i="1"/>
  <c r="F65" i="15"/>
  <c r="F66" i="15"/>
  <c r="C6" i="67"/>
  <c r="C32" i="67" s="1"/>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T32" i="71"/>
  <c r="D32"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435" i="3"/>
  <c r="E492" i="3"/>
  <c r="E513" i="3"/>
  <c r="E383" i="3"/>
  <c r="E525" i="3"/>
  <c r="E26" i="3"/>
  <c r="E232" i="3"/>
  <c r="E427" i="3"/>
  <c r="E178" i="3"/>
  <c r="E170" i="3"/>
  <c r="E364" i="3"/>
  <c r="E398" i="3"/>
  <c r="E521" i="3"/>
  <c r="E51" i="3"/>
  <c r="E416" i="3"/>
  <c r="E138" i="3"/>
  <c r="E284" i="3"/>
  <c r="E464" i="3"/>
  <c r="E375" i="3"/>
  <c r="E341" i="3"/>
  <c r="E39" i="3"/>
  <c r="E66" i="3"/>
  <c r="E459" i="3"/>
  <c r="E154" i="3"/>
  <c r="E504" i="3"/>
  <c r="E82" i="3"/>
  <c r="E352" i="3"/>
  <c r="E313" i="3"/>
  <c r="E438" i="3"/>
  <c r="E471" i="3"/>
  <c r="E54" i="3"/>
  <c r="E208" i="3"/>
  <c r="E357" i="3"/>
  <c r="E93" i="3"/>
  <c r="E196" i="3"/>
  <c r="E145" i="3"/>
  <c r="U6" i="3"/>
  <c r="E548" i="3"/>
  <c r="E367" i="3"/>
  <c r="E403" i="3"/>
  <c r="E71" i="3"/>
  <c r="E126" i="3"/>
  <c r="E291" i="3"/>
  <c r="AM6" i="3"/>
  <c r="E53" i="3"/>
  <c r="E501" i="3"/>
  <c r="E426" i="3"/>
  <c r="O6" i="3"/>
  <c r="E359" i="3"/>
  <c r="E97" i="3"/>
  <c r="S6" i="3"/>
  <c r="E506" i="3"/>
  <c r="E338" i="3"/>
  <c r="E298" i="3"/>
  <c r="E237" i="3"/>
  <c r="E565" i="3"/>
  <c r="E17" i="3"/>
  <c r="E221" i="3"/>
  <c r="E159" i="3"/>
  <c r="E402" i="3"/>
  <c r="E353" i="3"/>
  <c r="AA6" i="3"/>
  <c r="E238" i="3"/>
  <c r="E128" i="3"/>
  <c r="E120" i="3"/>
  <c r="E330" i="3"/>
  <c r="E437" i="3"/>
  <c r="E424" i="3"/>
  <c r="AE6"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J5" i="67" s="1"/>
  <c r="F11" i="15"/>
  <c r="M11" i="15"/>
  <c r="J10" i="15" s="1"/>
  <c r="F11" i="67"/>
  <c r="J18" i="67"/>
  <c r="Q52" i="67"/>
  <c r="Q61" i="67"/>
  <c r="Q74" i="67"/>
  <c r="Q74" i="15"/>
  <c r="Q61" i="15"/>
  <c r="AE11" i="1"/>
  <c r="AE9" i="1"/>
  <c r="F27" i="68"/>
  <c r="AE7" i="1"/>
  <c r="AE8" i="1"/>
  <c r="AE12" i="1"/>
  <c r="AE10" i="1"/>
  <c r="AE6" i="1"/>
  <c r="G1" i="73"/>
  <c r="C16" i="67"/>
  <c r="F41" i="67"/>
  <c r="Q60" i="67" l="1"/>
  <c r="W6" i="3"/>
  <c r="E529" i="3"/>
  <c r="E157" i="3"/>
  <c r="E461" i="3"/>
  <c r="E307" i="3"/>
  <c r="E413" i="3"/>
  <c r="E195" i="3"/>
  <c r="E179" i="3"/>
  <c r="E462" i="3"/>
  <c r="E542" i="3"/>
  <c r="E266" i="3"/>
  <c r="E436" i="3"/>
  <c r="E323" i="3"/>
  <c r="E354" i="3"/>
  <c r="E57" i="3"/>
  <c r="E312" i="3"/>
  <c r="E386" i="3"/>
  <c r="E155" i="3"/>
  <c r="E524" i="3"/>
  <c r="AQ6" i="3"/>
  <c r="E60" i="3"/>
  <c r="J6" i="3"/>
  <c r="E188" i="3"/>
  <c r="E412" i="3"/>
  <c r="E451" i="3"/>
  <c r="E113" i="3"/>
  <c r="E42" i="3"/>
  <c r="E355" i="3"/>
  <c r="E76" i="3"/>
  <c r="E199" i="3"/>
  <c r="E344" i="3"/>
  <c r="Q6" i="3"/>
  <c r="H6" i="3" s="1"/>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22" i="3"/>
  <c r="E65" i="3"/>
  <c r="E90" i="3"/>
  <c r="E176" i="3"/>
  <c r="E299" i="3"/>
  <c r="E346" i="3"/>
  <c r="E440" i="3"/>
  <c r="E326" i="3"/>
  <c r="E225" i="3"/>
  <c r="E456" i="3"/>
  <c r="E206" i="3"/>
  <c r="E281" i="3"/>
  <c r="E33" i="3"/>
  <c r="E192" i="3"/>
  <c r="F27" i="69"/>
  <c r="F45" i="69" s="1"/>
  <c r="Q18" i="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110" i="3"/>
  <c r="E421" i="3"/>
  <c r="E250" i="3"/>
  <c r="E348" i="3"/>
  <c r="E552" i="3"/>
  <c r="E123" i="3"/>
  <c r="E15" i="3"/>
  <c r="E463" i="3"/>
  <c r="E393" i="3"/>
  <c r="E324" i="3"/>
  <c r="E13" i="3"/>
  <c r="E205" i="3"/>
  <c r="E96" i="3"/>
  <c r="E81" i="3"/>
  <c r="E103" i="3"/>
  <c r="E541" i="3"/>
  <c r="C29" i="69"/>
  <c r="D27" i="69" s="1"/>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C47" i="69" l="1"/>
  <c r="D45"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D30" i="6" l="1"/>
  <c r="C50" i="34"/>
  <c r="U20" i="1" s="1"/>
  <c r="I54" i="34"/>
  <c r="J54" i="34" s="1"/>
  <c r="H21" i="6"/>
  <c r="R21" i="6" s="1"/>
  <c r="R8" i="1" s="1"/>
  <c r="H25" i="6"/>
  <c r="C44" i="11"/>
  <c r="D41" i="11" s="1"/>
  <c r="C44" i="68"/>
  <c r="D41" i="68" s="1"/>
  <c r="C26" i="68"/>
  <c r="D22" i="68" s="1"/>
  <c r="E53" i="34"/>
  <c r="F53" i="34" s="1"/>
  <c r="C23"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7"/>
  <c r="D2" i="34"/>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C19" i="9"/>
  <c r="D20" i="9"/>
  <c r="AO8" i="1"/>
  <c r="AO12" i="1"/>
  <c r="AO9" i="1"/>
  <c r="AO7" i="1"/>
  <c r="AO10" i="1"/>
  <c r="AO6" i="1"/>
  <c r="D35" i="9"/>
  <c r="D34"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G6" i="83"/>
  <c r="H6" i="83" s="1"/>
  <c r="C32" i="9"/>
  <c r="C35" i="9" s="1"/>
  <c r="C34" i="9" s="1"/>
  <c r="G23" i="9"/>
  <c r="D14" i="74" s="1"/>
  <c r="G14" i="74" s="1"/>
  <c r="D6" i="71"/>
  <c r="C5" i="71"/>
  <c r="D5" i="71" s="1"/>
  <c r="M24" i="43" s="1"/>
  <c r="C42" i="40"/>
  <c r="C43" i="40"/>
  <c r="E47" i="40"/>
  <c r="F47" i="40" s="1"/>
  <c r="E46" i="40"/>
  <c r="F46" i="40" s="1"/>
  <c r="I47" i="40"/>
  <c r="J47" i="40" s="1"/>
  <c r="G9" i="83" l="1"/>
  <c r="H9" i="83" s="1"/>
  <c r="G10" i="83"/>
  <c r="H10" i="83" s="1"/>
  <c r="G7" i="83"/>
  <c r="H7" i="83" s="1"/>
  <c r="G8" i="83"/>
  <c r="H8" i="83" s="1"/>
  <c r="B58" i="40"/>
  <c r="F58" i="40" s="1"/>
  <c r="B54" i="40"/>
  <c r="F54" i="40" s="1"/>
  <c r="B53" i="40"/>
  <c r="F53" i="40" s="1"/>
  <c r="B59" i="40"/>
  <c r="F59" i="40" s="1"/>
  <c r="B52" i="40"/>
  <c r="F52" i="40" s="1"/>
  <c r="B56" i="40"/>
  <c r="F56" i="40" s="1"/>
  <c r="B60" i="40"/>
  <c r="F60" i="40" s="1"/>
  <c r="B57" i="40"/>
  <c r="F57" i="40" s="1"/>
  <c r="B51" i="40"/>
  <c r="F51" i="40" s="1"/>
  <c r="F61" i="40"/>
  <c r="B2" i="40" s="1"/>
  <c r="B3" i="40" s="1"/>
  <c r="H11" i="83" l="1"/>
  <c r="F14" i="74"/>
  <c r="B5" i="74"/>
  <c r="D5" i="74" s="1"/>
  <c r="B6" i="74" l="1"/>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<sst xmlns="http://schemas.openxmlformats.org/spreadsheetml/2006/main" count="7986" uniqueCount="3497">
  <si>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</si>
  <si>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</si>
  <si>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</si>
  <si>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</si>
  <si>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</si>
  <si>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</si>
  <si>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</si>
  <si>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</si>
  <si>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</si>
  <si>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</si>
  <si>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</si>
  <si>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</si>
  <si>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</si>
  <si>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</si>
  <si>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</si>
  <si>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</si>
  <si>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</si>
  <si>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</si>
  <si>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</si>
  <si>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</si>
  <si>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</si>
  <si>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</si>
  <si>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</si>
  <si>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</si>
  <si>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</si>
  <si>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</si>
  <si>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</si>
  <si>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</si>
  <si>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</si>
  <si>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</si>
  <si>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</si>
  <si>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</si>
  <si>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</si>
  <si>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</si>
  <si>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</si>
  <si>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</si>
  <si>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</si>
  <si>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</si>
  <si>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</si>
  <si>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</si>
  <si>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</si>
  <si>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</si>
  <si>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</si>
  <si>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</si>
  <si>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</si>
  <si>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</si>
  <si>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</si>
  <si>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</si>
  <si>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</si>
  <si>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</si>
  <si>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</si>
  <si>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</si>
  <si>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</si>
  <si>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</si>
  <si>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</si>
  <si>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</si>
  <si>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</si>
  <si>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</si>
  <si>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</si>
  <si>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</si>
  <si>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</si>
  <si>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</si>
  <si>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</si>
  <si>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</si>
  <si>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</si>
  <si>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</si>
  <si>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</si>
  <si>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</si>
  <si>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</si>
  <si>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</si>
  <si>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</si>
  <si>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</si>
  <si>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</si>
  <si>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</si>
  <si>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</si>
  <si>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</si>
  <si>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</si>
  <si>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</si>
  <si>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</si>
  <si>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</si>
  <si>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</si>
  <si>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</si>
  <si>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</si>
  <si>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</si>
  <si>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</si>
  <si>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</si>
  <si>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</si>
  <si>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</si>
  <si>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</si>
  <si>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</si>
  <si>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</si>
  <si>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</si>
  <si>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</si>
  <si>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</si>
  <si>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</si>
  <si>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</si>
  <si>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</si>
  <si>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</si>
  <si>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</si>
  <si>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</si>
  <si>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</si>
  <si>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</si>
  <si>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</si>
  <si>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</si>
  <si>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</si>
  <si>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</si>
  <si>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</si>
  <si>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</si>
  <si>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</si>
  <si>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</si>
  <si>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</si>
  <si>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</si>
  <si>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</si>
  <si>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</si>
  <si>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</si>
  <si>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</si>
  <si>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</si>
  <si>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</si>
  <si>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</si>
  <si>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</si>
  <si>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</si>
  <si>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</si>
  <si>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</si>
  <si>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</si>
  <si>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</si>
  <si>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</si>
  <si>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</si>
  <si>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</si>
  <si>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</si>
  <si>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</si>
  <si>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</si>
  <si>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</si>
  <si>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</si>
  <si>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</si>
  <si>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</si>
  <si>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</si>
  <si>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</si>
  <si>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</si>
  <si>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</si>
  <si>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</si>
  <si>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</si>
  <si>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</si>
  <si>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</si>
  <si>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</si>
  <si>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</si>
  <si>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</si>
  <si>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</si>
  <si>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</si>
  <si>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</si>
  <si>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</si>
  <si>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</si>
  <si>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</si>
  <si>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</si>
  <si>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</si>
  <si>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</si>
  <si>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</si>
  <si>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</si>
  <si>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</si>
  <si>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</si>
  <si>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</si>
  <si>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</si>
  <si>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</si>
  <si>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</si>
  <si>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</si>
  <si>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</si>
  <si>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</si>
  <si>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</si>
  <si>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</si>
  <si>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</si>
  <si>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</si>
  <si>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</si>
  <si>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</si>
  <si>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</si>
  <si>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</si>
  <si>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</si>
  <si>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</si>
  <si>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</si>
  <si>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</si>
  <si>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</si>
  <si>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</si>
  <si>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</si>
  <si>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</si>
  <si>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</si>
  <si>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</si>
  <si>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</si>
  <si>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</si>
  <si>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</si>
  <si>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</si>
  <si>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</si>
  <si>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</si>
  <si>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</si>
  <si>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</si>
  <si>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</si>
  <si>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</si>
  <si>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</si>
  <si>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</si>
  <si>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</si>
  <si>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</si>
  <si>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</si>
  <si>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</si>
  <si>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</si>
  <si>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</si>
  <si>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</si>
  <si>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</si>
  <si>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</si>
  <si>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</si>
  <si>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</si>
  <si>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</si>
  <si>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</si>
  <si>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</si>
  <si>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</si>
  <si>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</si>
  <si>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</si>
  <si>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</si>
  <si>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</si>
  <si>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</si>
  <si>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</si>
  <si>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</si>
  <si>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</si>
  <si>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</si>
  <si>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</si>
  <si>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</si>
  <si>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</si>
  <si>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</si>
  <si>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</si>
  <si>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</si>
  <si>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</si>
  <si>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</si>
  <si>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</si>
  <si>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</si>
  <si>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</si>
  <si>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</si>
  <si>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</si>
  <si>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</si>
  <si>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</si>
  <si>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</si>
  <si>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</si>
  <si>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</si>
  <si>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</si>
  <si>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</si>
  <si>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</si>
  <si>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</si>
  <si>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</si>
  <si>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</si>
  <si>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</si>
  <si>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</si>
  <si>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</si>
  <si>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</si>
  <si>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</si>
  <si>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</si>
  <si>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</si>
  <si>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</si>
  <si>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</si>
  <si>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</si>
  <si>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</si>
  <si>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</si>
  <si>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</si>
  <si>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</si>
  <si>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</si>
  <si>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</si>
  <si>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</si>
  <si>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</si>
  <si>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</si>
  <si>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</si>
  <si>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</si>
  <si>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</si>
  <si>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</si>
  <si>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</si>
  <si>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</si>
  <si>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</si>
  <si>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</si>
  <si>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</si>
  <si>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</si>
  <si>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</si>
  <si>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</si>
  <si>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</si>
  <si>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</si>
  <si>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</si>
  <si>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</si>
  <si>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</si>
  <si>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</si>
  <si>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</si>
  <si>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</si>
  <si>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</si>
  <si>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</si>
  <si>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</si>
  <si>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</si>
  <si>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</si>
  <si>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</si>
  <si>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</si>
  <si>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</si>
  <si>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</si>
  <si>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</si>
  <si>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</si>
  <si>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</si>
  <si>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</si>
  <si>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</si>
  <si>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</si>
  <si>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</si>
  <si>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</si>
  <si>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</si>
  <si>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</si>
  <si>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</si>
  <si>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</si>
  <si>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</si>
  <si>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</si>
  <si>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</si>
  <si>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</si>
  <si>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</si>
  <si>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</si>
  <si>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</si>
  <si>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</si>
  <si>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</si>
  <si>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</si>
  <si>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</si>
  <si>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</si>
  <si>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</si>
  <si>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</si>
  <si>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</si>
  <si>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</si>
  <si>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</si>
  <si>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</si>
  <si>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</si>
  <si>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</si>
  <si>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</si>
  <si>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</si>
  <si>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</si>
  <si>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</si>
  <si>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</si>
  <si>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</si>
  <si>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</si>
  <si>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</si>
  <si>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</si>
  <si>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</si>
  <si>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</si>
  <si>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</si>
  <si>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</si>
  <si>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</si>
  <si>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</si>
  <si>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</si>
  <si>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</si>
  <si>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</si>
  <si>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</si>
  <si>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</si>
  <si>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</si>
  <si>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</si>
  <si>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</si>
  <si>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</si>
  <si>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</si>
  <si>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</si>
  <si>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</si>
  <si>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</si>
  <si>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</si>
  <si>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</si>
  <si>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</si>
  <si>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</si>
  <si>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</si>
  <si>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</si>
  <si>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</si>
  <si>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</si>
  <si>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</si>
  <si>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</si>
  <si>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</si>
  <si>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</si>
  <si>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</si>
  <si>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</si>
  <si>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</si>
  <si>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</si>
  <si>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</si>
  <si>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</si>
  <si>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</si>
  <si>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</si>
  <si>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</si>
  <si>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</si>
  <si>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</si>
  <si>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</si>
  <si>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</si>
  <si>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</si>
  <si>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</si>
  <si>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</si>
  <si>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</si>
  <si>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</si>
  <si>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</si>
  <si>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</si>
  <si>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</si>
  <si>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</si>
  <si>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</si>
  <si>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</si>
  <si>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</si>
  <si>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</si>
  <si>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</si>
  <si>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</si>
  <si>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</si>
  <si>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</si>
  <si>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</si>
  <si>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</si>
  <si>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</si>
  <si>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</si>
  <si>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</si>
  <si>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</si>
  <si>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</si>
  <si>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</si>
  <si>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</si>
  <si>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</si>
  <si>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</si>
  <si>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</si>
  <si>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</si>
  <si>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</si>
  <si>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</si>
  <si>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</si>
  <si>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</si>
  <si>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</si>
  <si>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</si>
  <si>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</si>
  <si>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</si>
  <si>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</si>
  <si>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</si>
  <si>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</si>
  <si>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</si>
  <si>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</si>
  <si>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</si>
  <si>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</si>
  <si>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</si>
  <si>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</si>
  <si>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</si>
  <si>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</si>
  <si>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</si>
  <si>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</si>
  <si>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</si>
  <si>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</si>
  <si>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</si>
  <si>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</si>
  <si>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</si>
  <si>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</si>
  <si>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</si>
  <si>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</si>
  <si>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</si>
  <si>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</si>
  <si>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</si>
  <si>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</si>
  <si>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</si>
  <si>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</si>
  <si>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</si>
  <si>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</si>
  <si>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</si>
  <si>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</si>
  <si>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</si>
  <si>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</si>
  <si>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</si>
  <si>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</si>
  <si>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</si>
  <si>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</si>
  <si>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</si>
  <si>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</si>
  <si>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</si>
  <si>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</si>
  <si>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</si>
  <si>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</si>
  <si>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</si>
  <si>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</si>
  <si>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</si>
  <si>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</si>
  <si>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</si>
  <si>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</si>
  <si>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</si>
  <si>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</si>
  <si>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</si>
  <si>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</si>
  <si>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</si>
  <si>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</si>
  <si>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</si>
  <si>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</si>
  <si>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</si>
  <si>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</si>
  <si>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</si>
  <si>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</si>
  <si>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</si>
  <si>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</si>
  <si>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</si>
  <si>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</si>
  <si>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</si>
  <si>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</si>
  <si>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</si>
  <si>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</si>
  <si>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</si>
  <si>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</si>
  <si>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</si>
  <si>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</si>
  <si>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</si>
  <si>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</si>
  <si>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</si>
  <si>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</si>
  <si>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</si>
  <si>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</si>
  <si>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</si>
  <si>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</si>
  <si>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</si>
  <si>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</si>
  <si>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</si>
  <si>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</si>
  <si>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</si>
  <si>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</si>
  <si>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</si>
  <si>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</si>
  <si>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</si>
  <si>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</si>
  <si>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</si>
  <si>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</si>
  <si>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</si>
  <si>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</si>
  <si>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</si>
  <si>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</si>
  <si>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</si>
  <si>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</si>
  <si>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</si>
  <si>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</si>
  <si>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</si>
  <si>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</si>
  <si>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</si>
  <si>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</si>
  <si>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</si>
  <si>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</si>
  <si>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</si>
  <si>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</si>
  <si>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</si>
  <si>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</si>
  <si>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</si>
  <si>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</si>
  <si>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</si>
  <si>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</si>
  <si>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</si>
  <si>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</si>
  <si>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</si>
  <si>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</si>
  <si>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</si>
  <si>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</si>
  <si>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</si>
  <si>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</si>
  <si>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</si>
  <si>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</si>
  <si>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</si>
  <si>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</si>
  <si>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</si>
  <si>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</si>
  <si>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</si>
  <si>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</si>
  <si>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</si>
  <si>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</si>
  <si>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</si>
  <si>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</si>
  <si>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</si>
  <si>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</si>
  <si>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</si>
  <si>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</si>
  <si>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</si>
  <si>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</si>
  <si>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</si>
  <si>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</si>
  <si>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</si>
  <si>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</si>
  <si>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</si>
  <si>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</si>
  <si>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</si>
  <si>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</si>
  <si>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</si>
  <si>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</si>
  <si>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</si>
  <si>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</si>
  <si>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</si>
  <si>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</si>
  <si>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</si>
  <si>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</si>
  <si>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</si>
  <si>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</si>
  <si>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</si>
  <si>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</si>
  <si>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</si>
  <si>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</si>
  <si>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</si>
  <si>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</si>
  <si>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</si>
  <si>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</si>
  <si>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</si>
  <si>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</si>
  <si>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</si>
  <si>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</si>
  <si>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</si>
  <si>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</si>
  <si>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</si>
  <si>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</si>
  <si>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</si>
  <si>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</si>
  <si>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</si>
  <si>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</si>
  <si>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</si>
  <si>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</si>
  <si>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</si>
  <si>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</si>
  <si>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</si>
  <si>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</si>
  <si>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</si>
  <si>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</si>
  <si>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</si>
  <si>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</si>
  <si>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</si>
  <si>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</si>
  <si>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</si>
  <si>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</si>
  <si>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</si>
  <si>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</si>
  <si>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</si>
  <si>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</si>
  <si>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</si>
  <si>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</si>
  <si>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</si>
  <si>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</si>
  <si>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</si>
  <si>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</si>
  <si>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</si>
  <si>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</si>
  <si>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</si>
  <si>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</si>
  <si>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</si>
  <si>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</si>
  <si>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</si>
  <si>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</si>
  <si>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</si>
  <si>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</si>
  <si>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</si>
  <si>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</si>
  <si>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</si>
  <si>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</si>
  <si>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</si>
  <si>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</si>
  <si>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</si>
  <si>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</si>
  <si>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</si>
  <si>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</si>
  <si>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</si>
  <si>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</si>
  <si>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</si>
  <si>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</si>
  <si>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</si>
  <si>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</si>
  <si>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</si>
  <si>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</si>
  <si>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</si>
  <si>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</si>
  <si>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</si>
  <si>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</si>
  <si>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</si>
  <si>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</si>
  <si>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</si>
  <si>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</si>
  <si>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</si>
  <si>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</si>
  <si>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</si>
  <si>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</si>
  <si>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</si>
  <si>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</si>
  <si>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</si>
  <si>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</si>
  <si>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</si>
  <si>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</si>
  <si>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</si>
  <si>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</si>
  <si>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</si>
  <si>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</si>
  <si>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</si>
  <si>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</si>
  <si>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</si>
  <si>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</si>
  <si>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</si>
  <si>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</si>
  <si>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</si>
  <si>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</si>
  <si>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</si>
  <si>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</si>
  <si>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</si>
  <si>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</si>
  <si>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</si>
  <si>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</si>
  <si>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</si>
  <si>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</si>
  <si>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</si>
  <si>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</si>
  <si>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</si>
  <si>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</si>
  <si>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</si>
  <si>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</si>
  <si>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</si>
  <si>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</si>
  <si>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</si>
  <si>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</si>
  <si>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</si>
  <si>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</si>
  <si>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</si>
  <si>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</si>
  <si>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</si>
  <si>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</si>
  <si>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</si>
  <si>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</si>
  <si>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</si>
  <si>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</si>
  <si>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</si>
  <si>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</si>
  <si>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</si>
  <si>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</si>
  <si>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</si>
  <si>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</si>
  <si>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</si>
  <si>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</si>
  <si>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</si>
  <si>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</si>
  <si>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</si>
  <si>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</si>
  <si>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</si>
  <si>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</si>
  <si>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</si>
  <si>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</si>
  <si>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</si>
  <si>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</si>
  <si>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</si>
  <si>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</si>
  <si>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</si>
  <si>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</si>
  <si>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</si>
  <si>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</si>
  <si>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</si>
  <si>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</si>
  <si>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</si>
  <si>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</si>
  <si>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</si>
  <si>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</si>
  <si>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</si>
  <si>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</si>
  <si>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</si>
  <si>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</si>
  <si>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</si>
  <si>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</si>
  <si>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</si>
  <si>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</si>
  <si>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</si>
  <si>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</si>
  <si>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</si>
  <si>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</si>
  <si>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</si>
  <si>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</si>
  <si>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</si>
  <si>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</si>
  <si>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</si>
  <si>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</si>
  <si>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</si>
  <si>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</si>
  <si>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</si>
  <si>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</si>
  <si>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</si>
  <si>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</si>
  <si>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</si>
  <si>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</si>
  <si>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</si>
  <si>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</si>
  <si>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</si>
  <si>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</si>
  <si>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</si>
  <si>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</si>
  <si>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</si>
  <si>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</si>
  <si>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</si>
  <si>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</si>
  <si>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</si>
  <si>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</si>
  <si>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</si>
  <si>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</si>
  <si>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</si>
  <si>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</si>
  <si>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</si>
  <si>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</si>
  <si>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</si>
  <si>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</si>
  <si>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</si>
  <si>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</si>
  <si>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</si>
  <si>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</si>
  <si>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</si>
  <si>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</si>
  <si>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</si>
  <si>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</si>
  <si>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</si>
  <si>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</si>
  <si>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</si>
  <si>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</si>
  <si>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</si>
  <si>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</si>
  <si>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</si>
  <si>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</si>
  <si>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</si>
  <si>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</si>
  <si>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</si>
  <si>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</si>
  <si>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</si>
  <si>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</si>
  <si>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</si>
  <si>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</si>
  <si>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</si>
  <si>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</si>
  <si>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</si>
  <si>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</si>
  <si>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</si>
  <si>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</si>
  <si>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</si>
  <si>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</si>
  <si>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</si>
  <si>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</si>
  <si>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</si>
  <si>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</si>
  <si>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</si>
  <si>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</si>
  <si>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</si>
  <si>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</si>
  <si>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</si>
  <si>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</si>
  <si>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</si>
  <si>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</si>
  <si>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</si>
  <si>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</si>
  <si>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</si>
  <si>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</si>
  <si>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</si>
  <si>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</si>
  <si>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</si>
  <si>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</si>
  <si>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</si>
  <si>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</si>
  <si>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</si>
  <si>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</si>
  <si>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</si>
  <si>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</si>
  <si>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</si>
  <si>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</si>
  <si>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</si>
  <si>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</si>
  <si>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</si>
  <si>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</si>
  <si>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</si>
  <si>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</si>
  <si>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</si>
  <si>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</si>
  <si>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</si>
  <si>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</si>
  <si>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</si>
  <si>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</si>
  <si>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</si>
  <si>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</si>
  <si>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</si>
  <si>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</si>
  <si>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</si>
  <si>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</si>
  <si>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</si>
  <si>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</si>
  <si>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</si>
  <si>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</si>
  <si>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</si>
  <si>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</si>
  <si>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</si>
  <si>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</si>
  <si>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</si>
  <si>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</si>
  <si>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</si>
  <si>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</si>
  <si>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</si>
  <si>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</si>
  <si>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</si>
  <si>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</si>
  <si>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</si>
  <si>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</si>
  <si>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</si>
  <si>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</si>
  <si>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</si>
  <si>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</si>
  <si>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</si>
  <si>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</si>
  <si>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</si>
  <si>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</si>
  <si>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</si>
  <si>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</si>
  <si>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</si>
  <si>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</si>
  <si>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</si>
  <si>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</si>
  <si>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</si>
  <si>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</si>
  <si>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</si>
  <si>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</si>
  <si>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</si>
  <si>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</si>
  <si>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</si>
  <si>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</si>
  <si>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</si>
  <si>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</si>
  <si>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</si>
  <si>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</si>
  <si>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</si>
  <si>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</si>
  <si>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</si>
  <si>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</si>
  <si>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</si>
  <si>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</si>
  <si>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</si>
  <si>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</si>
  <si>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</si>
  <si>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</si>
  <si>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</si>
  <si>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</si>
  <si>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</si>
  <si>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</si>
  <si>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</si>
  <si>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</si>
  <si>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</si>
  <si>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</si>
  <si>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</si>
  <si>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</si>
  <si>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</si>
  <si>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</si>
  <si>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</si>
  <si>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</si>
  <si>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</si>
  <si>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</si>
  <si>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</si>
  <si>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</si>
  <si>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</si>
  <si>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</si>
  <si>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</si>
  <si>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</si>
  <si>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</si>
  <si>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</si>
  <si>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</si>
  <si>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</si>
  <si>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</si>
  <si>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</si>
  <si>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</si>
  <si>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</si>
  <si>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</si>
  <si>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</si>
  <si>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</si>
  <si>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</si>
  <si>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</si>
  <si>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</si>
  <si>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</si>
  <si>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</si>
  <si>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</si>
  <si>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</si>
  <si>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</si>
  <si>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</si>
  <si>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</si>
  <si>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</si>
  <si>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</si>
  <si>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</si>
  <si>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</si>
  <si>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</si>
  <si>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</si>
  <si>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</si>
  <si>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</si>
  <si>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</si>
  <si>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</si>
  <si>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</si>
  <si>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</si>
  <si>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</si>
  <si>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</si>
  <si>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</si>
  <si>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</si>
  <si>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</si>
  <si>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</si>
  <si>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</si>
  <si>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</si>
  <si>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</si>
  <si>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</si>
  <si>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</si>
  <si>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</si>
  <si>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</si>
  <si>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</si>
  <si>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</si>
  <si>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</si>
  <si>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</si>
  <si>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</si>
  <si>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</si>
  <si>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</si>
  <si>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</si>
  <si>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</si>
  <si>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</si>
  <si>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</si>
  <si>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</si>
  <si>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</si>
  <si>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</si>
  <si>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</si>
  <si>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</si>
  <si>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</si>
  <si>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</si>
  <si>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</si>
  <si>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</si>
  <si>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</si>
  <si>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</si>
  <si>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</si>
  <si>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</si>
  <si>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</si>
  <si>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</si>
  <si>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</si>
  <si>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</si>
  <si>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</si>
  <si>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</si>
  <si>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</si>
  <si>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</si>
  <si>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</si>
  <si>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</si>
  <si>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</si>
  <si>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</si>
  <si>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</si>
  <si>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</si>
  <si>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</si>
  <si>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</si>
  <si>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</si>
  <si>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</si>
  <si>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</si>
  <si>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</si>
  <si>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</si>
  <si>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</si>
  <si>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</si>
  <si>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</si>
  <si>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</si>
  <si>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</si>
  <si>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</si>
  <si>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</si>
  <si>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</si>
  <si>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</si>
  <si>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</si>
  <si>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</si>
  <si>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</si>
  <si>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</si>
  <si>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</si>
  <si>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</si>
  <si>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</si>
  <si>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</si>
  <si>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</si>
  <si>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</si>
  <si>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</si>
  <si>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</si>
  <si>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</si>
  <si>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</si>
  <si>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</si>
  <si>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</si>
  <si>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</si>
  <si>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</si>
  <si>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</si>
  <si>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</si>
  <si>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</si>
  <si>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</si>
  <si>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</si>
  <si>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</si>
  <si>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</si>
  <si>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</si>
  <si>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</si>
  <si>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</si>
  <si>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</si>
  <si>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</si>
  <si>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</si>
  <si>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</si>
  <si>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</si>
  <si>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</si>
  <si>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</si>
  <si>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</si>
  <si>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</si>
  <si>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</si>
  <si>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</si>
  <si>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</si>
  <si>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</si>
  <si>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</si>
  <si>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</si>
  <si>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</si>
  <si>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</si>
  <si>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</si>
  <si>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</si>
  <si>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</si>
  <si>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</si>
  <si>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</si>
  <si>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</si>
  <si>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</si>
  <si>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</si>
  <si>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</si>
  <si>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</si>
  <si>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</si>
  <si>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</si>
  <si>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</si>
  <si>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</si>
  <si>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</si>
  <si>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</si>
  <si>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</si>
  <si>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</si>
  <si>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</si>
  <si>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</si>
  <si>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</si>
  <si>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</si>
  <si>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</si>
  <si>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</si>
  <si>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</si>
  <si>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</si>
  <si>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</si>
  <si>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</si>
  <si>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</si>
  <si>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</si>
  <si>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</si>
  <si>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</si>
  <si>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</si>
  <si>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</si>
  <si>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</si>
  <si>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</si>
  <si>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</si>
  <si>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</si>
  <si>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</si>
  <si>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</si>
  <si>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</si>
  <si>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</si>
  <si>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</si>
  <si>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</si>
  <si>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</si>
  <si>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</si>
  <si>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</si>
  <si>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</si>
  <si>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</si>
  <si>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</si>
  <si>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</si>
  <si>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</si>
  <si>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</si>
  <si>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</si>
  <si>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</si>
  <si>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</si>
  <si>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</si>
  <si>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</si>
  <si>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</si>
  <si>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</si>
  <si>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</si>
  <si>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</si>
  <si>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</si>
  <si>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</si>
  <si>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</si>
  <si>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</si>
  <si>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</si>
  <si>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</si>
  <si>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</si>
  <si>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</si>
  <si>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</si>
  <si>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</si>
  <si>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</si>
  <si>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</si>
  <si>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</si>
  <si>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</si>
  <si>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</si>
  <si>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</si>
  <si>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</si>
  <si>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</si>
  <si>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</si>
  <si>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</si>
  <si>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</si>
  <si>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</si>
  <si>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</si>
  <si>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</si>
  <si>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</si>
  <si>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</si>
  <si>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</si>
  <si>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</si>
  <si>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</si>
  <si>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</si>
  <si>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</si>
  <si>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</si>
  <si>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</si>
  <si>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</si>
  <si>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</si>
  <si>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</si>
  <si>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</si>
  <si>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</si>
  <si>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</si>
  <si>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</si>
  <si>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</si>
  <si>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</si>
  <si>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</si>
  <si>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</si>
  <si>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</si>
  <si>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</si>
  <si>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</si>
  <si>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</si>
  <si>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</si>
  <si>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</si>
  <si>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</si>
  <si>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</si>
  <si>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</si>
  <si>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</si>
  <si>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</si>
  <si>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</si>
  <si>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</si>
  <si>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</si>
  <si>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</si>
  <si>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</si>
  <si>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</si>
  <si>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</si>
  <si>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</si>
  <si>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</si>
  <si>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</si>
  <si>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</si>
  <si>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</si>
  <si>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</si>
  <si>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</si>
  <si>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</si>
  <si>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</si>
  <si>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</si>
  <si>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</si>
  <si>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</si>
  <si>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</si>
  <si>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</si>
  <si>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</si>
  <si>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</si>
  <si>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</si>
  <si>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</si>
  <si>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</si>
  <si>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</si>
  <si>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</si>
  <si>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</si>
  <si>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</si>
  <si>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</si>
  <si>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</si>
  <si>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</si>
  <si>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</si>
  <si>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</si>
  <si>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</si>
  <si>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</si>
  <si>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</si>
  <si>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</si>
  <si>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</si>
  <si>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</si>
  <si>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</si>
  <si>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</si>
  <si>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</si>
  <si>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</si>
  <si>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</si>
  <si>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</si>
  <si>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</si>
  <si>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</si>
  <si>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</si>
  <si>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</si>
  <si>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</si>
  <si>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</si>
  <si>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</si>
  <si>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</si>
  <si>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</si>
  <si>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</si>
  <si>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</si>
  <si>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</si>
  <si>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</si>
  <si>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</si>
  <si>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</si>
  <si>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</si>
  <si>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</si>
  <si>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</si>
  <si>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</si>
  <si>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</si>
  <si>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</si>
  <si>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</si>
  <si>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</si>
  <si>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</si>
  <si>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</si>
  <si>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</si>
  <si>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</si>
  <si>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</si>
  <si>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</si>
  <si>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</si>
  <si>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</si>
  <si>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</si>
  <si>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</si>
  <si>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</si>
  <si>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</si>
  <si>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</si>
  <si>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</si>
  <si>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</si>
  <si>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</si>
  <si>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</si>
  <si>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</si>
  <si>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</si>
  <si>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</si>
  <si>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</si>
  <si>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</si>
  <si>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</si>
  <si>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</si>
  <si>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</si>
  <si>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</si>
  <si>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</si>
  <si>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</si>
  <si>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</si>
  <si>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</si>
  <si>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</si>
  <si>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</si>
  <si>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</si>
  <si>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</si>
  <si>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</si>
  <si>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</si>
  <si>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</si>
  <si>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</si>
  <si>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</si>
  <si>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</si>
  <si>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</si>
  <si>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</si>
  <si>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</si>
  <si>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</si>
  <si>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</si>
  <si>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</si>
  <si>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</si>
  <si>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</si>
  <si>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</si>
  <si>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</si>
  <si>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</si>
  <si>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</si>
  <si>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</si>
  <si>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</si>
  <si>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</si>
  <si>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</si>
  <si>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</si>
  <si>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</si>
  <si>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</si>
  <si>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</si>
  <si>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</si>
  <si>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</si>
  <si>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</si>
  <si>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</si>
  <si>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</si>
  <si>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</si>
  <si>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</si>
  <si>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</si>
  <si>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</si>
  <si>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</si>
  <si>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</si>
  <si>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</si>
  <si>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</si>
  <si>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</si>
  <si>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</si>
  <si>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</si>
  <si>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</si>
  <si>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</si>
  <si>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</si>
  <si>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</si>
  <si>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</si>
  <si>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</si>
  <si>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</si>
  <si>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</si>
  <si>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</si>
  <si>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</si>
  <si>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</si>
  <si>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</si>
  <si>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</si>
  <si>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</si>
  <si>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</si>
  <si>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</si>
  <si>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</si>
  <si>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</si>
  <si>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</si>
  <si>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</si>
  <si>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</si>
  <si>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</si>
  <si>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</si>
  <si>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</si>
  <si>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</si>
  <si>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</si>
  <si>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</si>
  <si>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</si>
  <si>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</si>
  <si>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</si>
  <si>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</si>
  <si>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</si>
  <si>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</si>
  <si>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</si>
  <si>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</si>
  <si>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</si>
  <si>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</si>
  <si>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</si>
  <si>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</si>
  <si>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</si>
  <si>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</si>
  <si>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</si>
  <si>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</si>
  <si>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</si>
  <si>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</si>
  <si>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</si>
  <si>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</si>
  <si>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</si>
  <si>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</si>
  <si>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</si>
  <si>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</si>
  <si>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</si>
  <si>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</si>
  <si>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</si>
  <si>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</si>
  <si>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</si>
  <si>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</si>
  <si>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</si>
  <si>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</si>
  <si>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</si>
  <si>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</si>
  <si>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</si>
  <si>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</si>
  <si>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</si>
  <si>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</si>
  <si>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</si>
  <si>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</si>
  <si>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</si>
  <si>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</si>
  <si>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</si>
  <si>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</si>
  <si>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</si>
  <si>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</si>
  <si>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</si>
  <si>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</si>
  <si>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</si>
  <si>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</si>
  <si>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</si>
  <si>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</si>
  <si>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</si>
  <si>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</si>
  <si>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</si>
  <si>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</si>
  <si>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</si>
  <si>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</si>
  <si>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</si>
  <si>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</si>
  <si>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</si>
  <si>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</si>
  <si>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</si>
  <si>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</si>
  <si>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</si>
  <si>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</si>
  <si>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</si>
  <si>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</si>
  <si>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</si>
  <si>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</si>
  <si>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</si>
  <si>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</si>
  <si>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</si>
  <si>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</si>
  <si>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</si>
  <si>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</si>
  <si>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</si>
  <si>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</si>
  <si>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</si>
  <si>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</si>
  <si>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</si>
  <si>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</si>
  <si>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</si>
  <si>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</si>
  <si>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</si>
  <si>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</si>
  <si>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</si>
  <si>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</si>
  <si>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</si>
  <si>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</si>
  <si>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</si>
  <si>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</si>
  <si>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</si>
  <si>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</si>
  <si>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</si>
  <si>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</si>
  <si>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</si>
  <si>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</si>
  <si>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</si>
  <si>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</si>
  <si>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</si>
  <si>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</si>
  <si>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</si>
  <si>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</si>
  <si>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</si>
  <si>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</si>
  <si>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</si>
  <si>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</si>
  <si>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</si>
  <si>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</si>
  <si>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</si>
  <si>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</si>
  <si>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</si>
  <si>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</si>
  <si>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</si>
  <si>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</si>
  <si>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</si>
  <si>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</si>
  <si>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</si>
  <si>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</si>
  <si>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</si>
  <si>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</si>
  <si>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</si>
  <si>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</si>
  <si>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</si>
  <si>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</si>
  <si>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</si>
  <si>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</si>
  <si>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</si>
  <si>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</si>
  <si>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</si>
  <si>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</si>
  <si>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</si>
  <si>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</si>
  <si>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</si>
  <si>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</si>
  <si>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</si>
  <si>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</si>
  <si>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</si>
  <si>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</si>
  <si>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</si>
  <si>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</si>
  <si>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</si>
  <si>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</si>
  <si>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</si>
  <si>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</si>
  <si>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</si>
  <si>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</si>
  <si>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</si>
  <si>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</si>
  <si>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</si>
  <si>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</si>
  <si>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</si>
  <si>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</si>
  <si>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</si>
  <si>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</si>
  <si>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</si>
  <si>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</si>
  <si>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</si>
  <si>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</si>
  <si>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</si>
  <si>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</si>
  <si>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</si>
  <si>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</si>
  <si>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</si>
  <si>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</si>
  <si>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</si>
  <si>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</si>
  <si>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</si>
  <si>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</si>
  <si>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</si>
  <si>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</si>
  <si>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</si>
  <si>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</si>
  <si>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</si>
  <si>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</si>
  <si>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</si>
  <si>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</si>
  <si>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</si>
  <si>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</si>
  <si>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</si>
  <si>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</si>
  <si>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</si>
  <si>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</si>
  <si>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</si>
  <si>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</si>
  <si>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</si>
  <si>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</si>
  <si>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</si>
  <si>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</si>
  <si>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</si>
  <si>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</si>
  <si>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</si>
  <si>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</si>
  <si>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</si>
  <si>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</si>
  <si>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</si>
  <si>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</si>
  <si>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</si>
  <si>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</si>
  <si>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</si>
  <si>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</si>
  <si>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</si>
  <si>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</si>
  <si>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</si>
  <si>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</si>
  <si>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</si>
  <si>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</si>
  <si>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</si>
  <si>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</si>
  <si>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</si>
  <si>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</si>
  <si>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</si>
  <si>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</si>
  <si>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</si>
  <si>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</si>
  <si>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</si>
  <si>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</si>
  <si>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</si>
  <si>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</si>
  <si>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</si>
  <si>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</si>
  <si>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</si>
  <si>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</si>
  <si>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</si>
  <si>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</si>
  <si>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</si>
  <si>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</si>
  <si>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</si>
  <si>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</si>
  <si>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</si>
  <si>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</si>
  <si>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</si>
  <si>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</si>
  <si>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</si>
  <si>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</si>
  <si>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</si>
  <si>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</si>
  <si>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</si>
  <si>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</si>
  <si>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</si>
  <si>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</si>
  <si>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</si>
  <si>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</si>
  <si>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</si>
  <si>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</si>
  <si>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</si>
  <si>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</si>
  <si>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</si>
  <si>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</si>
  <si>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</si>
  <si>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</si>
  <si>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</si>
  <si>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</si>
  <si>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</si>
  <si>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</si>
  <si>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</si>
  <si>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</si>
  <si>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</si>
  <si>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</si>
  <si>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</si>
  <si>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</si>
  <si>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</si>
  <si>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</si>
  <si>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</si>
  <si>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</si>
  <si>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</si>
  <si>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</si>
  <si>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</si>
  <si>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</si>
  <si>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</si>
  <si>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</si>
  <si>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</si>
  <si>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</si>
  <si>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</si>
  <si>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</si>
  <si>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</si>
  <si>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</si>
  <si>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</si>
  <si>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</si>
  <si>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</si>
  <si>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</si>
  <si>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</si>
  <si>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</si>
  <si>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</si>
  <si>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</si>
  <si>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</si>
  <si>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</si>
  <si>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</si>
  <si>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</si>
  <si>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</si>
  <si>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</si>
  <si>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</si>
  <si>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</si>
  <si>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</si>
  <si>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</si>
  <si>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</si>
  <si>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</si>
  <si>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</si>
  <si>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</si>
  <si>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</si>
  <si>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</si>
  <si>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</si>
  <si>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</si>
  <si>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</si>
  <si>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</si>
  <si>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</si>
  <si>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</si>
  <si>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</si>
  <si>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</si>
  <si>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</si>
  <si>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</si>
  <si>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</si>
  <si>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</si>
  <si>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</si>
  <si>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</si>
  <si>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</si>
  <si>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</si>
  <si>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</si>
  <si>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</si>
  <si>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</si>
  <si>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</si>
  <si>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</si>
  <si>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</si>
  <si>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</si>
  <si>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</si>
  <si>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</si>
  <si>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</si>
  <si>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</si>
  <si>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</si>
  <si>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</si>
  <si>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</si>
  <si>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</si>
  <si>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</si>
  <si>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</si>
  <si>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</si>
  <si>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</si>
  <si>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</si>
  <si>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</si>
  <si>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</si>
  <si>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</si>
  <si>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</si>
  <si>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</si>
  <si>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</si>
  <si>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</si>
  <si>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</si>
  <si>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</si>
  <si>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</si>
  <si>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</si>
  <si>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</si>
  <si>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</si>
  <si>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</si>
  <si>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</si>
  <si>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</si>
  <si>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</si>
  <si>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</si>
  <si>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</si>
  <si>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</si>
  <si>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</si>
  <si>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</si>
  <si>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</si>
  <si>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</si>
  <si>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</si>
  <si>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</si>
  <si>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</si>
  <si>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</si>
  <si>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</si>
  <si>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</si>
  <si>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</si>
  <si>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</si>
  <si>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</si>
  <si>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</si>
  <si>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</si>
  <si>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</si>
  <si>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</si>
  <si>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</si>
  <si>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</si>
  <si>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</si>
  <si>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</si>
  <si>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</si>
  <si>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</si>
  <si>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</si>
  <si>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</si>
  <si>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</si>
  <si>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</si>
  <si>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</si>
  <si>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</si>
  <si>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</si>
  <si>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</si>
  <si>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</si>
  <si>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</si>
  <si>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</si>
  <si>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</si>
  <si>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</si>
  <si>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</si>
  <si>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</si>
  <si>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</si>
  <si>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</si>
  <si>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</si>
  <si>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</si>
  <si>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</si>
  <si>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</si>
  <si>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</si>
  <si>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</si>
  <si>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</si>
  <si>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</si>
  <si>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</si>
  <si>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</si>
  <si>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</si>
  <si>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</si>
  <si>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</si>
  <si>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</si>
  <si>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</si>
  <si>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</si>
  <si>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</si>
  <si>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</si>
  <si>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</si>
  <si>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</si>
  <si>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</si>
  <si>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</si>
  <si>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</si>
  <si>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</si>
  <si>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</si>
  <si>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</si>
  <si>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</si>
  <si>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</si>
  <si>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</si>
  <si>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</si>
  <si>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</si>
  <si>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</si>
  <si>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</si>
  <si>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</si>
  <si>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</si>
  <si>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</si>
  <si>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</si>
  <si>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</si>
  <si>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</si>
  <si>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</si>
  <si>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</si>
  <si>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</si>
  <si>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</si>
  <si>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</si>
  <si>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</si>
  <si>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</si>
  <si>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</si>
  <si>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</si>
  <si>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</si>
  <si>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</si>
  <si>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</si>
  <si>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</si>
  <si>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</si>
  <si>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</si>
  <si>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</si>
  <si>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</si>
  <si>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</si>
  <si>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</si>
  <si>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</si>
  <si>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</si>
  <si>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</si>
  <si>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</si>
  <si>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</si>
  <si>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</si>
  <si>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</si>
  <si>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</si>
  <si>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</si>
  <si>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</si>
  <si>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</si>
  <si>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</si>
  <si>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</si>
  <si>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</si>
  <si>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</si>
  <si>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</si>
  <si>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</si>
  <si>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</si>
  <si>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</si>
  <si>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</si>
  <si>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</si>
  <si>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</si>
  <si>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</si>
  <si>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</si>
  <si>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</si>
  <si>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</si>
  <si>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</si>
  <si>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</si>
  <si>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</si>
  <si>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</si>
  <si>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</si>
  <si>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</si>
  <si>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</si>
  <si>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</si>
  <si>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</si>
  <si>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</si>
  <si>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</si>
  <si>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</si>
  <si>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</si>
  <si>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</si>
  <si>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</si>
  <si>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</si>
  <si>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</si>
  <si>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</si>
  <si>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</si>
  <si>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</si>
  <si>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</si>
  <si>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</si>
  <si>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</si>
  <si>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</si>
  <si>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</si>
  <si>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</si>
  <si>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</si>
  <si>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</si>
  <si>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</si>
  <si>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</si>
  <si>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</si>
  <si>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</si>
  <si>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</si>
  <si>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</si>
  <si>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</si>
  <si>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</si>
  <si>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</si>
  <si>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</si>
  <si>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</si>
  <si>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</si>
  <si>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</si>
  <si>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</si>
  <si>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</si>
  <si>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</si>
  <si>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</si>
  <si>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</si>
  <si>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</si>
  <si>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</si>
  <si>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</si>
  <si>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</si>
  <si>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</si>
  <si>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</si>
  <si>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</si>
  <si>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</si>
  <si>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</si>
  <si>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</si>
  <si>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</si>
  <si>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</si>
  <si>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</si>
  <si>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</si>
  <si>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</si>
  <si>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</si>
  <si>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</si>
  <si>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</si>
  <si>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</si>
  <si>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</si>
  <si>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</si>
  <si>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</si>
  <si>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</si>
  <si>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</si>
  <si>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</si>
  <si>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</si>
  <si>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</si>
  <si>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</si>
  <si>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</si>
  <si>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</si>
  <si>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</si>
  <si>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</si>
  <si>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</si>
  <si>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</si>
  <si>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</si>
  <si>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</si>
  <si>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</si>
  <si>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</si>
  <si>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</si>
  <si>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</si>
  <si>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</si>
  <si>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</si>
  <si>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</si>
  <si>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</si>
  <si>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</si>
  <si>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</si>
  <si>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</si>
  <si>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</si>
  <si>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</si>
  <si>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</si>
  <si>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</si>
  <si>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</si>
  <si>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</si>
  <si>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</si>
  <si>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</si>
  <si>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</si>
  <si>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</si>
  <si>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</si>
  <si>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</si>
  <si>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</si>
  <si>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</si>
  <si>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</si>
  <si>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</si>
  <si>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</si>
  <si>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</si>
  <si>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</si>
  <si>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</si>
  <si>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</si>
  <si>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</si>
  <si>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</si>
  <si>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</si>
  <si>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</si>
  <si>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</si>
  <si>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</si>
  <si>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</si>
  <si>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</si>
  <si>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</si>
  <si>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</si>
  <si>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</si>
  <si>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</si>
  <si>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</si>
  <si>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</si>
  <si>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</si>
  <si>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</si>
  <si>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</si>
  <si>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</si>
  <si>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</si>
  <si>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</si>
  <si>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</si>
  <si>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</si>
  <si>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</si>
  <si>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</si>
  <si>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</si>
  <si>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</si>
  <si>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</si>
  <si>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</si>
  <si>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</si>
  <si>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</si>
  <si>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</si>
  <si>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</si>
  <si>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</si>
  <si>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</si>
  <si>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</si>
  <si>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</si>
  <si>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</si>
  <si>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</si>
  <si>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</si>
  <si>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</si>
  <si>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</si>
  <si>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</si>
  <si>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</si>
  <si>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</si>
  <si>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</si>
  <si>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</si>
  <si>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</si>
  <si>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</si>
  <si>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</si>
  <si>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</si>
  <si>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</si>
  <si>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</si>
  <si>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</si>
  <si>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</si>
  <si>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</si>
  <si>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</si>
  <si>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</si>
  <si>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</si>
  <si>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</si>
  <si>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</si>
  <si>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</si>
  <si>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</si>
  <si>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</si>
  <si>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</si>
  <si>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</si>
  <si>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</si>
  <si>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</si>
  <si>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</si>
  <si>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</si>
  <si>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</si>
  <si>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</si>
  <si>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</si>
  <si>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</si>
  <si>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</si>
  <si>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</si>
  <si>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</si>
  <si>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</si>
  <si>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</si>
  <si>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</si>
  <si>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</si>
  <si>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</si>
  <si>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</si>
  <si>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</si>
  <si>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</si>
  <si>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</si>
  <si>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</si>
  <si>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</si>
  <si>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</si>
  <si>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</si>
  <si>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</si>
  <si>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</si>
  <si>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</si>
  <si>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</si>
  <si>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</si>
  <si>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</si>
  <si>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</si>
  <si>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</si>
  <si>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</si>
  <si>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</si>
  <si>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</si>
  <si>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</si>
  <si>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</si>
  <si>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</si>
  <si>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</si>
  <si>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</si>
  <si>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</si>
  <si>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</si>
  <si>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</si>
  <si>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</si>
  <si>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</si>
  <si>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</si>
  <si>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</si>
  <si>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</si>
  <si>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</si>
  <si>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</si>
  <si>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</si>
  <si>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</si>
  <si>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</si>
  <si>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</si>
  <si>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</si>
  <si>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</si>
  <si>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</si>
  <si>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</si>
  <si>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</si>
  <si>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</si>
  <si>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</si>
  <si>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</si>
  <si>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</si>
  <si>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</si>
  <si>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</si>
  <si>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</si>
  <si>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</si>
  <si>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</si>
  <si>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</si>
  <si>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</si>
  <si>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</si>
  <si>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</si>
  <si>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</si>
  <si>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</si>
  <si>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</si>
  <si>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</si>
  <si>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</si>
  <si>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</si>
  <si>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</si>
  <si>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</si>
  <si>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</si>
  <si>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</si>
  <si>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</si>
  <si>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</si>
  <si>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</si>
  <si>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</si>
  <si>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</si>
  <si>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</si>
  <si>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</si>
  <si>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</si>
  <si>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</si>
  <si>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</si>
  <si>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</si>
  <si>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</si>
  <si>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</si>
  <si>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</si>
  <si>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</si>
  <si>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</si>
  <si>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</si>
  <si>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</si>
  <si>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</si>
  <si>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</si>
  <si>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</si>
  <si>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</si>
  <si>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</si>
  <si>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</si>
  <si>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</si>
  <si>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</si>
  <si>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</si>
  <si>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</si>
  <si>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</si>
  <si>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</si>
  <si>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</si>
  <si>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</si>
  <si>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</si>
  <si>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</si>
  <si>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</si>
  <si>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</si>
  <si>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</si>
  <si>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</si>
  <si>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</si>
  <si>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</si>
  <si>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</si>
  <si>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</si>
  <si>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</si>
  <si>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</si>
  <si>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</si>
  <si>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</si>
  <si>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</si>
  <si>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</si>
  <si>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</si>
  <si>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</si>
  <si>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</si>
  <si>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</si>
  <si>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</si>
  <si>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</si>
  <si>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</si>
  <si>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</si>
  <si>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</si>
  <si>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</si>
  <si>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</si>
  <si>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</si>
  <si>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</si>
  <si>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</si>
  <si>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</si>
  <si>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</si>
  <si>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</si>
  <si>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</si>
  <si>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</si>
  <si>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</si>
  <si>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</si>
  <si>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</si>
  <si>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</si>
  <si>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</si>
  <si>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</si>
  <si>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</si>
  <si>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</si>
  <si>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</si>
  <si>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</si>
  <si>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</si>
  <si>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</si>
  <si>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</si>
  <si>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</si>
  <si>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</si>
  <si>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</si>
  <si>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</si>
  <si>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</si>
  <si>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</si>
  <si>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</si>
  <si>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</si>
  <si>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</si>
  <si>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</si>
  <si>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</si>
  <si>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</si>
  <si>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</si>
  <si>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</si>
  <si>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</si>
  <si>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</si>
  <si>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</si>
  <si>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</si>
  <si>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</si>
  <si>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</si>
  <si>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</si>
  <si>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</si>
  <si>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</si>
  <si>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</si>
  <si>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</si>
  <si>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</si>
  <si>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</si>
  <si>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</si>
  <si>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</si>
  <si>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</si>
  <si>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</si>
  <si>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</si>
  <si>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</si>
  <si>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</si>
  <si>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</si>
  <si>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</si>
  <si>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</si>
  <si>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</si>
  <si>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</si>
  <si>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</si>
  <si>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</si>
  <si>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</si>
  <si>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</si>
  <si>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</si>
  <si>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</si>
  <si>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</si>
  <si>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</si>
  <si>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</si>
  <si>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</si>
  <si>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</si>
  <si>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</si>
  <si>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</si>
  <si>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</si>
  <si>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</si>
  <si>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</si>
  <si>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</si>
  <si>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</si>
  <si>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</si>
  <si>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</si>
  <si>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</si>
  <si>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</si>
  <si>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</si>
  <si>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</si>
  <si>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</si>
  <si>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</si>
  <si>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</si>
  <si>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</si>
  <si>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</si>
  <si>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</si>
  <si>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</si>
  <si>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</si>
  <si>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</si>
  <si>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</si>
  <si>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</si>
  <si>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</si>
  <si>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</si>
  <si>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</si>
  <si>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</si>
  <si>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</si>
  <si>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</si>
  <si>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</si>
  <si>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</si>
  <si>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</si>
  <si>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</si>
  <si>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</si>
  <si>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</si>
  <si>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</si>
  <si>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</si>
  <si>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</si>
  <si>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</si>
  <si>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</si>
  <si>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</si>
  <si>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</si>
  <si>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</si>
  <si>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</si>
  <si>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</si>
  <si>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</si>
  <si>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</si>
  <si>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</si>
  <si>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</si>
  <si>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</si>
  <si>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</si>
  <si>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</si>
  <si>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</si>
  <si>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</si>
  <si>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</si>
  <si>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</si>
  <si>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</si>
  <si>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</si>
  <si>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</si>
  <si>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</si>
  <si>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</si>
  <si>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</si>
  <si>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</si>
  <si>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</si>
  <si>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</si>
  <si>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</si>
  <si>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</si>
  <si>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</si>
  <si>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</si>
  <si>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</si>
  <si>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</si>
  <si>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</si>
  <si>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</si>
  <si>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</si>
  <si>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</si>
  <si>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</si>
  <si>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</si>
  <si>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</si>
  <si>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</si>
  <si>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</si>
  <si>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</si>
  <si>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</si>
  <si>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</si>
  <si>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</si>
  <si>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</si>
  <si>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</si>
  <si>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</si>
  <si>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</si>
  <si>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</si>
  <si>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</si>
  <si>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</si>
  <si>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</si>
  <si>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</si>
  <si>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</si>
  <si>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</si>
  <si>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</si>
  <si>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</si>
  <si>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</si>
  <si>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</si>
  <si>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</si>
  <si>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</si>
  <si>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</si>
  <si>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</si>
  <si>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</si>
  <si>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</si>
  <si>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</si>
  <si>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</si>
  <si>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</si>
  <si>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</si>
  <si>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</si>
  <si>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</si>
  <si>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</si>
  <si>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</si>
  <si>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</si>
  <si>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</si>
  <si>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</si>
  <si>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</si>
  <si>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</si>
  <si>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</si>
  <si>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</si>
  <si>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</si>
  <si>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</si>
  <si>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</si>
  <si>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</si>
  <si>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</si>
  <si>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</si>
  <si>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</si>
  <si>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</si>
  <si>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</si>
  <si>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</si>
  <si>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</si>
  <si>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</si>
  <si>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</si>
  <si>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</si>
  <si>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</si>
  <si>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</si>
  <si>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</si>
  <si>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</si>
  <si>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</si>
  <si>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</si>
  <si>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</si>
  <si>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</si>
  <si>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</si>
  <si>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</si>
  <si>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</si>
  <si>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</si>
  <si>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</si>
  <si>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</si>
  <si>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</si>
  <si>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</si>
  <si>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</si>
  <si>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</si>
  <si>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</si>
  <si>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</si>
  <si>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</si>
  <si>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</si>
  <si>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</si>
  <si>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</si>
  <si>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</si>
  <si>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</si>
  <si>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</si>
  <si>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</si>
  <si>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</si>
  <si>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</si>
  <si>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</si>
  <si>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</si>
  <si>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</si>
  <si>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</si>
  <si>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</si>
  <si>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</si>
  <si>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</si>
  <si>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</si>
  <si>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</si>
  <si>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</si>
  <si>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</si>
  <si>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</si>
  <si>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</si>
  <si>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</si>
  <si>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</si>
  <si>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</si>
  <si>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</si>
  <si>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</si>
  <si>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</si>
  <si>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</si>
  <si>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</si>
  <si>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</si>
  <si>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</si>
  <si>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</si>
  <si>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</si>
  <si>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</si>
  <si>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</si>
  <si>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</si>
  <si>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</si>
  <si>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</si>
  <si>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</si>
  <si>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</si>
  <si>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</si>
  <si>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</si>
  <si>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</si>
  <si>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</si>
  <si>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</si>
  <si>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</si>
  <si>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</si>
  <si>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</si>
  <si>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</si>
  <si>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</si>
  <si>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</si>
  <si>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</si>
  <si>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</si>
  <si>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</si>
  <si>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</si>
  <si>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</si>
  <si>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</si>
  <si>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</si>
  <si>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</si>
  <si>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</si>
  <si>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</si>
  <si>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</si>
  <si>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</si>
  <si>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</si>
  <si>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</si>
  <si>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</si>
  <si>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</si>
  <si>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</si>
  <si>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</si>
  <si>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</si>
  <si>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</si>
  <si>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</si>
  <si>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</si>
  <si>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</si>
  <si>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</si>
  <si>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</si>
  <si>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</si>
  <si>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</si>
  <si>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</si>
  <si>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</si>
  <si>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</si>
  <si>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</si>
  <si>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</si>
  <si>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</si>
  <si>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</si>
  <si>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</si>
  <si>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</si>
  <si>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</si>
  <si>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</si>
  <si>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</si>
  <si>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</si>
  <si>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</si>
  <si>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</si>
  <si>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</si>
  <si>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</si>
  <si>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</si>
  <si>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</si>
  <si>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</si>
  <si>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</si>
  <si>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</si>
  <si>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</si>
  <si>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</si>
  <si>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</si>
  <si>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</si>
  <si>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</si>
  <si>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</si>
  <si>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</si>
  <si>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</si>
  <si>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</si>
  <si>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</si>
  <si>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</si>
  <si>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</si>
  <si>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</si>
  <si>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</si>
  <si>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</si>
  <si>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</si>
  <si>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</si>
  <si>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</si>
  <si>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</si>
  <si>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</si>
  <si>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</si>
  <si>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</si>
  <si>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</si>
  <si>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</si>
  <si>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</si>
  <si>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</si>
  <si>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</si>
  <si>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</si>
  <si>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</si>
  <si>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</si>
  <si>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</si>
  <si>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</si>
  <si>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</si>
  <si>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</si>
  <si>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</si>
  <si>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</si>
  <si>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</si>
  <si>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</si>
  <si>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</si>
  <si>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</si>
  <si>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</si>
  <si>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</si>
  <si>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</si>
  <si>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</si>
  <si>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</si>
  <si>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</si>
  <si>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</si>
  <si>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</si>
  <si>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</si>
  <si>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</si>
  <si>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</si>
  <si>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</si>
  <si>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</si>
  <si>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</si>
  <si>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</si>
  <si>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</si>
  <si>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</si>
  <si>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</si>
  <si>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</si>
  <si>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</si>
  <si>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</si>
  <si>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</si>
  <si>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</si>
  <si>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</si>
  <si>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</si>
  <si>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</si>
  <si>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</si>
  <si>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</si>
  <si>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</si>
  <si>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</si>
  <si>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</si>
  <si>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</si>
  <si>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</si>
  <si>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</si>
  <si>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</si>
  <si>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</si>
  <si>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</si>
  <si>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</si>
  <si>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</si>
  <si>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</si>
  <si>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</si>
  <si>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</si>
  <si>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</si>
  <si>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</si>
  <si>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</si>
  <si>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</si>
  <si>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</si>
  <si>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</si>
  <si>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</si>
  <si>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</si>
  <si>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</si>
  <si>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</si>
  <si>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</si>
  <si>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</si>
  <si>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</si>
  <si>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</si>
  <si>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</si>
  <si>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</si>
  <si>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</si>
  <si>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</si>
  <si>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</si>
  <si>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</si>
  <si>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</si>
  <si>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</si>
  <si>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</si>
  <si>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</si>
  <si>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</si>
  <si>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</si>
  <si>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</si>
  <si>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</si>
  <si>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</si>
  <si>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</si>
  <si>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</si>
  <si>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</si>
  <si>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</si>
  <si>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</si>
  <si>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</si>
  <si>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</si>
  <si>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</si>
  <si>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</si>
  <si>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</si>
  <si>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</si>
  <si>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</si>
  <si>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</si>
  <si>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</si>
  <si>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</si>
  <si>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</si>
  <si>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</si>
  <si>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</si>
  <si>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</si>
  <si>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</si>
  <si>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</si>
  <si>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</si>
  <si>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</si>
  <si>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</si>
  <si>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</si>
  <si>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</si>
  <si>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</si>
  <si>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</si>
  <si>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</si>
  <si>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</si>
  <si>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</si>
  <si>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</si>
  <si>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</si>
  <si>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</si>
  <si>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</si>
  <si>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</si>
  <si>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</si>
  <si>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</si>
  <si>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</si>
  <si>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</si>
  <si>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</si>
  <si>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</si>
  <si>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</si>
  <si>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</si>
  <si>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</si>
  <si>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</si>
  <si>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</si>
  <si>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</si>
  <si>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</si>
  <si>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</si>
  <si>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</si>
  <si>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</si>
  <si>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</si>
  <si>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</si>
  <si>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</si>
  <si>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</si>
  <si>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</si>
  <si>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</si>
  <si>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</si>
  <si>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</si>
  <si>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</si>
  <si>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</si>
  <si>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</si>
  <si>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</si>
  <si>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</si>
  <si>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</si>
  <si>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</si>
  <si>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</si>
  <si>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</si>
  <si>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</si>
  <si>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</si>
  <si>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</si>
  <si>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</si>
  <si>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</si>
  <si>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</si>
  <si>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</si>
  <si>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</si>
  <si>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</si>
  <si>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</si>
  <si>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</si>
  <si>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</si>
  <si>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</si>
  <si>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</si>
  <si>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</si>
  <si>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</si>
  <si>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</si>
  <si>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</si>
  <si>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</si>
  <si>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</si>
  <si>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</si>
  <si>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</si>
  <si>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</si>
  <si>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</si>
  <si>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</si>
  <si>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</si>
  <si>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</si>
  <si>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</si>
  <si>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</si>
  <si>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</si>
  <si>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</si>
  <si>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</si>
  <si>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</si>
  <si>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</si>
  <si>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</si>
  <si>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</si>
  <si>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</si>
  <si>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</si>
  <si>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</si>
  <si>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</si>
  <si>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</si>
  <si>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</si>
  <si>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</si>
  <si>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</si>
  <si>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</si>
  <si>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</si>
  <si>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</si>
  <si>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</si>
  <si>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</si>
  <si>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</si>
  <si>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</si>
  <si>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</si>
  <si>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</si>
  <si>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</si>
  <si>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</si>
  <si>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</si>
  <si>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</si>
  <si>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</si>
  <si>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</si>
  <si>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</si>
  <si>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</si>
  <si>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</si>
  <si>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</si>
  <si>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</si>
  <si>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</si>
  <si>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</si>
  <si>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</si>
  <si>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</si>
  <si>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</si>
  <si>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</si>
  <si>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</si>
  <si>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</si>
  <si>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</si>
  <si>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</si>
  <si>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</si>
  <si>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</si>
  <si>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</si>
  <si>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</si>
  <si>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</si>
  <si>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</si>
  <si>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</si>
  <si>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</si>
  <si>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</si>
  <si>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</si>
  <si>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</si>
  <si>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</si>
  <si>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</si>
  <si>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</si>
  <si>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</si>
  <si>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</si>
  <si>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</si>
  <si>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</si>
  <si>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</si>
  <si>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</si>
  <si>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</si>
  <si>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</si>
  <si>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</si>
  <si>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</si>
  <si>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</si>
  <si>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</si>
  <si>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</si>
  <si>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</si>
  <si>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</si>
  <si>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</si>
  <si>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</si>
  <si>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</si>
  <si>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</si>
  <si>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</si>
  <si>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</si>
  <si>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</si>
  <si>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</si>
  <si>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</si>
  <si>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</si>
  <si>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</si>
  <si>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</si>
  <si>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</si>
  <si>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</si>
  <si>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</si>
  <si>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</si>
  <si>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</si>
  <si>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</si>
  <si>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</si>
  <si>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</si>
  <si>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</si>
  <si>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</si>
  <si>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</si>
  <si>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</si>
  <si>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</si>
  <si>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</si>
  <si>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</si>
  <si>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</si>
  <si>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</si>
  <si>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</si>
  <si>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</si>
  <si>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</si>
  <si>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</si>
  <si>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</si>
  <si>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</si>
  <si>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</si>
  <si>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</si>
  <si>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</si>
  <si>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</si>
  <si>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</si>
  <si>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</si>
  <si>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</si>
  <si>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</si>
  <si>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</si>
  <si>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</si>
  <si>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</si>
  <si>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</si>
  <si>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</si>
  <si>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</si>
  <si>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</si>
  <si>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</si>
  <si>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</si>
  <si>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</si>
  <si>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</si>
  <si>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</si>
  <si>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</si>
  <si>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</si>
  <si>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</si>
  <si>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</si>
  <si>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</si>
  <si>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</si>
  <si>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</si>
  <si>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</si>
  <si>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</si>
  <si>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</si>
  <si>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</si>
  <si>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</si>
  <si>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</si>
  <si>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</si>
  <si>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</si>
  <si>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</si>
  <si>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</si>
  <si>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</si>
  <si>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</si>
  <si>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</si>
  <si>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</si>
  <si>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</si>
  <si>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</si>
  <si>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</si>
  <si>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</si>
  <si>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</si>
  <si>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</si>
  <si>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</si>
  <si>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</si>
  <si>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</si>
  <si>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</si>
  <si>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</si>
  <si>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</si>
  <si>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</si>
  <si>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</si>
  <si>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</si>
  <si>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</si>
  <si>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</si>
  <si>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</si>
  <si>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</si>
  <si>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</si>
  <si>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</si>
  <si>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</si>
  <si>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</si>
  <si>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</si>
  <si>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</si>
  <si>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</si>
  <si>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</si>
  <si>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</si>
  <si>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</si>
  <si>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</si>
  <si>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</si>
  <si>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</si>
  <si>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</si>
  <si>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</si>
  <si>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</si>
  <si>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</si>
  <si>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</si>
  <si>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</si>
  <si>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</si>
  <si>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</si>
  <si>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</si>
  <si>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</si>
  <si>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</si>
  <si>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</si>
  <si>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</si>
  <si>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</si>
  <si>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</si>
  <si>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</si>
  <si>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</si>
  <si>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</si>
  <si>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</si>
  <si>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</si>
  <si>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</si>
  <si>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</si>
  <si>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</si>
  <si>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</si>
  <si>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</si>
  <si>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</si>
  <si>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</si>
  <si>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</si>
  <si>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</si>
  <si>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</si>
  <si>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</si>
  <si>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</si>
  <si>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</si>
  <si>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</si>
  <si>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</si>
  <si>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</si>
  <si>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</si>
  <si>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</si>
  <si>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</si>
  <si>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</si>
  <si>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</si>
  <si>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</si>
  <si>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</si>
  <si>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</si>
  <si>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</si>
  <si>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</si>
  <si>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</si>
  <si>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</si>
  <si>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</si>
  <si>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</si>
  <si>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</si>
  <si>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</si>
  <si>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</si>
  <si>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</si>
  <si>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</si>
  <si>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</si>
  <si>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</si>
  <si>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</si>
  <si>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</si>
  <si>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</si>
  <si>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</si>
  <si>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</si>
  <si>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</si>
  <si>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</si>
  <si>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</si>
  <si>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</si>
  <si>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</si>
  <si>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</si>
  <si>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</si>
  <si>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</si>
  <si>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</si>
  <si>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</si>
  <si>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</si>
  <si>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</si>
  <si>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</si>
  <si>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</si>
  <si>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</si>
  <si>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</si>
  <si>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</si>
  <si>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</si>
  <si>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</si>
  <si>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</si>
  <si>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</si>
  <si>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</si>
  <si>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</si>
  <si>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</si>
  <si>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</si>
  <si>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</si>
  <si>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</si>
  <si>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</si>
  <si>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</si>
  <si>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</si>
  <si>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</si>
  <si>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</si>
  <si>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</si>
  <si>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</si>
  <si>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</si>
  <si>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</si>
  <si>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</si>
  <si>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</si>
  <si>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</si>
  <si>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</si>
  <si>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</si>
  <si>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</si>
  <si>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</si>
  <si>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</si>
  <si>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</si>
  <si>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</si>
  <si>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</si>
  <si>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</si>
  <si>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</si>
  <si>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</si>
  <si>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</si>
  <si>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</si>
  <si>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</si>
  <si>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</si>
  <si>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</si>
  <si>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</si>
  <si>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</si>
  <si>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</si>
  <si>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</si>
  <si>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</si>
  <si>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</si>
  <si>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</si>
  <si>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</si>
  <si>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</si>
  <si>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</si>
  <si>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</si>
  <si>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</si>
  <si>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</si>
  <si>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</si>
  <si>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</si>
  <si>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</si>
  <si>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</si>
  <si>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</si>
  <si>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</si>
  <si>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</si>
  <si>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</si>
  <si>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</si>
  <si>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</si>
  <si>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</si>
  <si>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</si>
  <si>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</si>
  <si>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</si>
  <si>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</si>
  <si>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</si>
  <si>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</si>
  <si>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</si>
  <si>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</si>
  <si>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</si>
  <si>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</si>
  <si>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</si>
  <si>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</si>
  <si>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</si>
  <si>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</si>
  <si>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</si>
  <si>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</si>
  <si>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</si>
  <si>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</si>
  <si>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</si>
  <si>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</si>
  <si>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</si>
  <si>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</si>
  <si>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</si>
  <si>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</si>
  <si>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</si>
  <si>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</si>
  <si>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</si>
  <si>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</si>
  <si>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</si>
  <si>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</si>
  <si>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</si>
  <si>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</si>
  <si>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</si>
  <si>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</si>
  <si>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</si>
  <si>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</si>
  <si>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</si>
  <si>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</si>
  <si>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</si>
  <si>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</si>
  <si>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</si>
  <si>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</si>
  <si>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</si>
  <si>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</si>
  <si>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</si>
  <si>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</si>
  <si>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</si>
  <si>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</si>
  <si>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</si>
  <si>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</si>
  <si>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</si>
  <si>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</si>
  <si>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</si>
  <si>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</si>
  <si>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</si>
  <si>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</si>
  <si>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</si>
  <si>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</si>
  <si>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</si>
  <si>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</si>
  <si>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</si>
  <si>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</si>
  <si>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</si>
  <si>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</si>
  <si>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</si>
  <si>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</si>
  <si>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</si>
  <si>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</si>
  <si>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</si>
  <si>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</si>
  <si>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</si>
  <si>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</si>
  <si>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</si>
  <si>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</si>
  <si>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</si>
  <si>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</si>
  <si>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</si>
  <si>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</si>
  <si>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</si>
  <si>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</si>
  <si>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</si>
  <si>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</si>
  <si>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</si>
  <si>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</si>
  <si>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</si>
  <si>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</si>
  <si>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</si>
  <si>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</si>
  <si>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</si>
  <si>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</si>
  <si>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</si>
  <si>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</si>
  <si>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</si>
  <si>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</si>
  <si>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</si>
  <si>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</si>
  <si>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</si>
  <si>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</si>
  <si>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</si>
  <si>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</si>
  <si>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</si>
  <si>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</si>
  <si>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</si>
  <si>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</si>
  <si>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</si>
  <si>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</si>
  <si>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</si>
  <si>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</si>
  <si>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</si>
  <si>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</si>
  <si>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</si>
  <si>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</si>
  <si>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</si>
  <si>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</si>
  <si>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</si>
  <si>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</si>
  <si>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</si>
  <si>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</si>
  <si>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</si>
  <si>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</si>
  <si>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</si>
  <si>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</si>
  <si>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</si>
  <si>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</si>
  <si>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</si>
  <si>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</si>
  <si>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</si>
  <si>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</si>
  <si>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</si>
  <si>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</si>
  <si>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</si>
  <si>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</si>
  <si>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</si>
  <si>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</si>
  <si>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</si>
  <si>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</si>
  <si>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</si>
  <si>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</si>
  <si>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</si>
  <si>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</si>
  <si>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</si>
  <si>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</si>
  <si>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</si>
  <si>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</si>
  <si>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</si>
  <si>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</si>
  <si>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</si>
  <si>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</si>
  <si>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</si>
  <si>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</si>
  <si>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</si>
  <si>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</si>
  <si>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</si>
  <si>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</si>
  <si>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</si>
  <si>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</si>
  <si>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</si>
  <si>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</si>
  <si>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</si>
  <si>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</si>
  <si>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</si>
  <si>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</si>
  <si>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</si>
  <si>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</si>
  <si>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</si>
  <si>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</si>
  <si>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</si>
  <si>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</si>
  <si>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</si>
  <si>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</si>
  <si>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</si>
  <si>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</si>
  <si>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</si>
  <si>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</si>
  <si>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</si>
  <si>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</si>
  <si>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</si>
  <si>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</si>
  <si>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</si>
  <si>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</si>
  <si>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</si>
  <si>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</si>
  <si>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</si>
  <si>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</si>
  <si>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</si>
  <si>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</si>
  <si>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</si>
  <si>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</si>
  <si>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</si>
  <si>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</si>
  <si>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</si>
  <si>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</si>
  <si>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</si>
  <si>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</si>
  <si>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</si>
  <si>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</si>
  <si>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</si>
  <si>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</si>
  <si>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</si>
  <si>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</si>
  <si>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</si>
  <si>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</si>
  <si>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</si>
  <si>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</si>
  <si>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</si>
  <si>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</si>
  <si>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</si>
  <si>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</si>
  <si>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</si>
  <si>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</si>
  <si>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</si>
  <si>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</si>
  <si>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</si>
  <si>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</si>
  <si>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</si>
  <si>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</si>
  <si>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</si>
  <si>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</si>
  <si>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</si>
  <si>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</si>
  <si>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</si>
  <si>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</si>
  <si>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</si>
  <si>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</si>
  <si>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</si>
  <si>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</si>
  <si>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</si>
  <si>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</si>
  <si>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</si>
  <si>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</si>
  <si>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</si>
  <si>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</si>
  <si>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</si>
  <si>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</si>
  <si>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</si>
  <si>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</si>
  <si>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</si>
  <si>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</si>
  <si>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</si>
  <si>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</si>
  <si>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</si>
  <si>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</si>
  <si>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</si>
  <si>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</si>
  <si>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</si>
  <si>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</si>
  <si>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</si>
  <si>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</si>
  <si>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</si>
  <si>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</si>
  <si>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</si>
  <si>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</si>
  <si>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</si>
  <si>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</si>
  <si>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</si>
  <si>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</si>
  <si>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</si>
  <si>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</si>
  <si>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</si>
  <si>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</si>
  <si>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</si>
  <si>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</si>
  <si>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</si>
  <si>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</si>
  <si>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</si>
  <si>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</si>
  <si>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</si>
  <si>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</si>
  <si>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</si>
  <si>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</si>
  <si>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</si>
  <si>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</si>
  <si>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</si>
  <si>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</si>
  <si>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</si>
  <si>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</si>
  <si>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</si>
  <si>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</si>
  <si>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</si>
  <si>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</si>
  <si>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</si>
  <si>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</si>
  <si>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</si>
  <si>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</si>
  <si>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</si>
  <si>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</si>
  <si>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</si>
  <si>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</si>
  <si>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</si>
  <si>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</si>
  <si>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</si>
  <si>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</si>
  <si>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</si>
  <si>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</si>
  <si>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</si>
  <si>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</si>
  <si>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</si>
  <si>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</si>
  <si>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</si>
  <si>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</si>
  <si>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</si>
  <si>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</si>
  <si>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</si>
  <si>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</si>
  <si>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</si>
  <si>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</si>
  <si>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</si>
  <si>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</si>
  <si>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</si>
  <si>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</si>
  <si>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</si>
  <si>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</si>
  <si>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</si>
  <si>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</si>
  <si>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</si>
  <si>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</si>
  <si>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</si>
  <si>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</si>
  <si>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</si>
  <si>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</si>
  <si>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</si>
  <si>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</si>
  <si>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</si>
  <si>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</si>
  <si>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</si>
  <si>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</si>
  <si>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</si>
  <si>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</si>
  <si>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</si>
  <si>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</si>
  <si>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</si>
  <si>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</si>
  <si>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</si>
  <si>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</si>
  <si>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</si>
  <si>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</si>
  <si>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</si>
  <si>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</si>
  <si>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</si>
  <si>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</si>
  <si>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</si>
  <si>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</si>
  <si>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</si>
  <si>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</si>
  <si>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</si>
  <si>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</si>
  <si>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</si>
  <si>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</si>
  <si>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</si>
  <si>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</si>
  <si>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</si>
  <si>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</si>
  <si>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</si>
  <si>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</si>
  <si>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</si>
  <si>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</si>
  <si>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</si>
  <si>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</si>
  <si>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</si>
  <si>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</si>
  <si>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</si>
  <si>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</si>
  <si>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</si>
  <si>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</si>
  <si>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</si>
  <si>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</si>
  <si>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</si>
  <si>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</si>
  <si>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</si>
  <si>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</si>
  <si>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</si>
  <si>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</si>
  <si>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</si>
  <si>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</si>
  <si>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</si>
  <si>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</si>
  <si>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</si>
  <si>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</si>
  <si>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</si>
  <si>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</si>
  <si>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</si>
  <si>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</si>
  <si>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</si>
  <si>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</si>
  <si>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</si>
  <si>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</si>
  <si>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</si>
  <si>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</si>
  <si>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</si>
  <si>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</si>
  <si>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</si>
  <si>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</si>
  <si>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</si>
  <si>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</si>
  <si>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</si>
  <si>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</si>
  <si>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</si>
  <si>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</si>
  <si>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</si>
  <si>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</si>
  <si>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</si>
  <si>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</si>
  <si>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</si>
  <si>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</si>
  <si>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</si>
  <si>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</si>
  <si>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</si>
  <si>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</si>
  <si>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</si>
  <si>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</si>
  <si>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</si>
  <si>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</si>
  <si>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</si>
  <si>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</si>
  <si>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</si>
  <si>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</si>
  <si>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</si>
  <si>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</si>
  <si>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</si>
  <si>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</si>
  <si>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</si>
  <si>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</si>
  <si>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</si>
  <si>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</si>
  <si>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</si>
  <si>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</si>
  <si>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</si>
  <si>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</si>
  <si>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</si>
  <si>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</si>
  <si>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</si>
  <si>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</si>
  <si>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</si>
  <si>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</si>
  <si>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</si>
  <si>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</si>
  <si>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</si>
  <si>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</si>
  <si>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phoneticPr fontId="31" type="noConversion"/>
  </si>
  <si>
    <t>中区</t>
  </si>
  <si>
    <t>中区</t>
    <phoneticPr fontId="31" type="noConversion"/>
  </si>
  <si>
    <t>低区</t>
  </si>
  <si>
    <t>低区</t>
    <phoneticPr fontId="31" type="noConversion"/>
  </si>
  <si>
    <t>企业</t>
  </si>
  <si>
    <t>朝阳区慧忠路5号12层C1201、C1202、C1203、C1205、C1206共5套办公用房</t>
    <phoneticPr fontId="6" type="noConversion"/>
  </si>
  <si>
    <t>直线</t>
    <phoneticPr fontId="3" type="noConversion"/>
  </si>
  <si>
    <t>观察</t>
    <phoneticPr fontId="3" type="noConversion"/>
  </si>
  <si>
    <t>综合</t>
    <phoneticPr fontId="3" type="noConversion"/>
  </si>
  <si>
    <t>大屯街道</t>
    <phoneticPr fontId="3" type="noConversion"/>
  </si>
  <si>
    <t>远大中心</t>
    <phoneticPr fontId="3" type="noConversion"/>
  </si>
  <si>
    <t>专业</t>
  </si>
  <si>
    <t>租售比</t>
    <phoneticPr fontId="3" type="noConversion"/>
  </si>
  <si>
    <t>同项目办公租金报价3-4块，成交价3块多，不含税，含物业费；售价报价2-2.4万</t>
    <phoneticPr fontId="3" type="noConversion"/>
  </si>
  <si>
    <t>附近同品质的租金水平基本差不多，品质较好的如北辰时代等报价6-8块，成交价5-6块，在售项目较少</t>
    <phoneticPr fontId="3" type="noConversion"/>
  </si>
  <si>
    <t>浙江大厦</t>
    <phoneticPr fontId="3" type="noConversion"/>
  </si>
  <si>
    <r>
      <t>基本在4</t>
    </r>
    <r>
      <rPr>
        <sz val="11"/>
        <color theme="1"/>
        <rFont val="宋体"/>
        <family val="3"/>
        <charset val="134"/>
        <scheme val="minor"/>
      </rPr>
      <t>-5.5块</t>
    </r>
    <phoneticPr fontId="134" type="noConversion"/>
  </si>
  <si>
    <t>金澳国际</t>
    <phoneticPr fontId="3" type="noConversion"/>
  </si>
  <si>
    <t>简单装修</t>
  </si>
  <si>
    <t>建成年代</t>
    <phoneticPr fontId="31" type="noConversion"/>
  </si>
  <si>
    <t>世纪科贸大厦</t>
    <phoneticPr fontId="3" type="noConversion"/>
  </si>
  <si>
    <t>七通</t>
  </si>
  <si>
    <t>房号</t>
    <phoneticPr fontId="134" type="noConversion"/>
  </si>
  <si>
    <t>建面</t>
    <phoneticPr fontId="134" type="noConversion"/>
  </si>
  <si>
    <t>单价</t>
    <phoneticPr fontId="134" type="noConversion"/>
  </si>
  <si>
    <t>总价</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</si>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</sst>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77" fillId="12" borderId="0" xfId="0" applyFont="1" applyFill="1" applyProtection="1">
      <alignment vertical="center"/>
      <protection locked="0"/>
    </xf>
    <xf numFmtId="10" fontId="47" fillId="0" borderId="0" xfId="1" applyNumberFormat="1" applyFont="1" applyAlignment="1" applyProtection="1">
      <alignment horizontal="center"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96" fillId="0" borderId="0" xfId="0" applyFont="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85726</xdr:rowOff>
    </xdr:from>
    <xdr:to>
      <xdr:col>12</xdr:col>
      <xdr:colOff>220115</xdr:colOff>
      <xdr:row>48</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6"/>
          <a:ext cx="8449715" cy="3876674"/>
        </a:xfrm>
        <a:prstGeom prst="rect">
          <a:avLst/>
        </a:prstGeom>
      </xdr:spPr>
    </xdr:pic>
    <xdr:clientData/>
  </xdr:twoCellAnchor>
  <xdr:twoCellAnchor editAs="oneCell">
    <xdr:from>
      <xdr:col>0</xdr:col>
      <xdr:colOff>0</xdr:colOff>
      <xdr:row>51</xdr:row>
      <xdr:rowOff>38100</xdr:rowOff>
    </xdr:from>
    <xdr:to>
      <xdr:col>12</xdr:col>
      <xdr:colOff>276806</xdr:colOff>
      <xdr:row>73</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82050"/>
          <a:ext cx="8506406" cy="3781425"/>
        </a:xfrm>
        <a:prstGeom prst="rect">
          <a:avLst/>
        </a:prstGeom>
      </xdr:spPr>
    </xdr:pic>
    <xdr:clientData/>
  </xdr:twoCellAnchor>
  <xdr:twoCellAnchor editAs="oneCell">
    <xdr:from>
      <xdr:col>0</xdr:col>
      <xdr:colOff>0</xdr:colOff>
      <xdr:row>1</xdr:row>
      <xdr:rowOff>0</xdr:rowOff>
    </xdr:from>
    <xdr:to>
      <xdr:col>12</xdr:col>
      <xdr:colOff>200025</xdr:colOff>
      <xdr:row>23</xdr:row>
      <xdr:rowOff>13691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71450"/>
          <a:ext cx="8429625" cy="3785591"/>
        </a:xfrm>
        <a:prstGeom prst="rect">
          <a:avLst/>
        </a:prstGeom>
      </xdr:spPr>
    </xdr:pic>
    <xdr:clientData/>
  </xdr:twoCellAnchor>
  <xdr:twoCellAnchor editAs="oneCell">
    <xdr:from>
      <xdr:col>0</xdr:col>
      <xdr:colOff>0</xdr:colOff>
      <xdr:row>76</xdr:row>
      <xdr:rowOff>1</xdr:rowOff>
    </xdr:from>
    <xdr:to>
      <xdr:col>13</xdr:col>
      <xdr:colOff>144780</xdr:colOff>
      <xdr:row>99</xdr:row>
      <xdr:rowOff>95251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030201"/>
          <a:ext cx="9060180" cy="4038600"/>
        </a:xfrm>
        <a:prstGeom prst="rect">
          <a:avLst/>
        </a:prstGeom>
      </xdr:spPr>
    </xdr:pic>
    <xdr:clientData/>
  </xdr:twoCellAnchor>
  <xdr:twoCellAnchor editAs="oneCell">
    <xdr:from>
      <xdr:col>12</xdr:col>
      <xdr:colOff>401276</xdr:colOff>
      <xdr:row>25</xdr:row>
      <xdr:rowOff>114300</xdr:rowOff>
    </xdr:from>
    <xdr:to>
      <xdr:col>16</xdr:col>
      <xdr:colOff>514350</xdr:colOff>
      <xdr:row>47</xdr:row>
      <xdr:rowOff>109371</xdr:rowOff>
    </xdr:to>
    <xdr:pic>
      <xdr:nvPicPr>
        <xdr:cNvPr id="9" name="图片 8"/>
        <xdr:cNvPicPr>
          <a:picLocks noChangeAspect="1"/>
        </xdr:cNvPicPr>
      </xdr:nvPicPr>
      <xdr:blipFill>
        <a:blip xmlns:r="http://schemas.openxmlformats.org/officeDocument/2006/relationships" r:embed="rId5"/>
        <a:stretch>
          <a:fillRect/>
        </a:stretch>
      </xdr:blipFill>
      <xdr:spPr>
        <a:xfrm>
          <a:off x="8630876" y="4400550"/>
          <a:ext cx="2856274" cy="3766971"/>
        </a:xfrm>
        <a:prstGeom prst="rect">
          <a:avLst/>
        </a:prstGeom>
      </xdr:spPr>
    </xdr:pic>
    <xdr:clientData/>
  </xdr:twoCellAnchor>
  <xdr:twoCellAnchor editAs="oneCell">
    <xdr:from>
      <xdr:col>12</xdr:col>
      <xdr:colOff>258297</xdr:colOff>
      <xdr:row>0</xdr:row>
      <xdr:rowOff>114300</xdr:rowOff>
    </xdr:from>
    <xdr:to>
      <xdr:col>16</xdr:col>
      <xdr:colOff>333375</xdr:colOff>
      <xdr:row>22</xdr:row>
      <xdr:rowOff>47787</xdr:rowOff>
    </xdr:to>
    <xdr:pic>
      <xdr:nvPicPr>
        <xdr:cNvPr id="10" name="图片 9"/>
        <xdr:cNvPicPr>
          <a:picLocks noChangeAspect="1"/>
        </xdr:cNvPicPr>
      </xdr:nvPicPr>
      <xdr:blipFill>
        <a:blip xmlns:r="http://schemas.openxmlformats.org/officeDocument/2006/relationships" r:embed="rId6"/>
        <a:stretch>
          <a:fillRect/>
        </a:stretch>
      </xdr:blipFill>
      <xdr:spPr>
        <a:xfrm>
          <a:off x="8487897" y="114300"/>
          <a:ext cx="2818278" cy="3705387"/>
        </a:xfrm>
        <a:prstGeom prst="rect">
          <a:avLst/>
        </a:prstGeom>
      </xdr:spPr>
    </xdr:pic>
    <xdr:clientData/>
  </xdr:twoCellAnchor>
  <xdr:twoCellAnchor editAs="oneCell">
    <xdr:from>
      <xdr:col>13</xdr:col>
      <xdr:colOff>66674</xdr:colOff>
      <xdr:row>51</xdr:row>
      <xdr:rowOff>60754</xdr:rowOff>
    </xdr:from>
    <xdr:to>
      <xdr:col>17</xdr:col>
      <xdr:colOff>123315</xdr:colOff>
      <xdr:row>72</xdr:row>
      <xdr:rowOff>58231</xdr:rowOff>
    </xdr:to>
    <xdr:pic>
      <xdr:nvPicPr>
        <xdr:cNvPr id="11" name="图片 10"/>
        <xdr:cNvPicPr>
          <a:picLocks noChangeAspect="1"/>
        </xdr:cNvPicPr>
      </xdr:nvPicPr>
      <xdr:blipFill>
        <a:blip xmlns:r="http://schemas.openxmlformats.org/officeDocument/2006/relationships" r:embed="rId7"/>
        <a:stretch>
          <a:fillRect/>
        </a:stretch>
      </xdr:blipFill>
      <xdr:spPr>
        <a:xfrm>
          <a:off x="8982074" y="8804704"/>
          <a:ext cx="2799841" cy="3597927"/>
        </a:xfrm>
        <a:prstGeom prst="rect">
          <a:avLst/>
        </a:prstGeom>
      </xdr:spPr>
    </xdr:pic>
    <xdr:clientData/>
  </xdr:twoCellAnchor>
  <xdr:twoCellAnchor editAs="oneCell">
    <xdr:from>
      <xdr:col>13</xdr:col>
      <xdr:colOff>270988</xdr:colOff>
      <xdr:row>76</xdr:row>
      <xdr:rowOff>19049</xdr:rowOff>
    </xdr:from>
    <xdr:to>
      <xdr:col>17</xdr:col>
      <xdr:colOff>504333</xdr:colOff>
      <xdr:row>98</xdr:row>
      <xdr:rowOff>38100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9186388" y="13049249"/>
          <a:ext cx="2976545" cy="37909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437496</xdr:colOff>
      <xdr:row>30</xdr:row>
      <xdr:rowOff>142215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38096" cy="5285715"/>
        </a:xfrm>
        <a:prstGeom prst="rect">
          <a:avLst/>
        </a:prstGeom>
      </xdr:spPr>
    </xdr:pic>
    <xdr:clientData/>
  </xdr:twoCellAnchor>
  <xdr:twoCellAnchor editAs="oneCell">
    <xdr:from>
      <xdr:col>0</xdr:col>
      <xdr:colOff>0</xdr:colOff>
      <xdr:row>31</xdr:row>
      <xdr:rowOff>0</xdr:rowOff>
    </xdr:from>
    <xdr:to>
      <xdr:col>7</xdr:col>
      <xdr:colOff>608924</xdr:colOff>
      <xdr:row>61</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409524" cy="5266667"/>
        </a:xfrm>
        <a:prstGeom prst="rect">
          <a:avLst/>
        </a:prstGeom>
      </xdr:spPr>
    </xdr:pic>
    <xdr:clientData/>
  </xdr:twoCellAnchor>
  <xdr:twoCellAnchor editAs="oneCell">
    <xdr:from>
      <xdr:col>8</xdr:col>
      <xdr:colOff>0</xdr:colOff>
      <xdr:row>0</xdr:row>
      <xdr:rowOff>0</xdr:rowOff>
    </xdr:from>
    <xdr:to>
      <xdr:col>16</xdr:col>
      <xdr:colOff>665981</xdr:colOff>
      <xdr:row>28</xdr:row>
      <xdr:rowOff>37496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6152381" cy="4838096"/>
        </a:xfrm>
        <a:prstGeom prst="rect">
          <a:avLst/>
        </a:prstGeom>
      </xdr:spPr>
    </xdr:pic>
    <xdr:clientData/>
  </xdr:twoCellAnchor>
  <xdr:twoCellAnchor editAs="oneCell">
    <xdr:from>
      <xdr:col>8</xdr:col>
      <xdr:colOff>0</xdr:colOff>
      <xdr:row>29</xdr:row>
      <xdr:rowOff>0</xdr:rowOff>
    </xdr:from>
    <xdr:to>
      <xdr:col>16</xdr:col>
      <xdr:colOff>399315</xdr:colOff>
      <xdr:row>60</xdr:row>
      <xdr:rowOff>151717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972050"/>
          <a:ext cx="5885715" cy="5466667"/>
        </a:xfrm>
        <a:prstGeom prst="rect">
          <a:avLst/>
        </a:prstGeom>
      </xdr:spPr>
    </xdr:pic>
    <xdr:clientData/>
  </xdr:twoCellAnchor>
  <xdr:twoCellAnchor editAs="oneCell">
    <xdr:from>
      <xdr:col>0</xdr:col>
      <xdr:colOff>0</xdr:colOff>
      <xdr:row>64</xdr:row>
      <xdr:rowOff>0</xdr:rowOff>
    </xdr:from>
    <xdr:to>
      <xdr:col>8</xdr:col>
      <xdr:colOff>199315</xdr:colOff>
      <xdr:row>94</xdr:row>
      <xdr:rowOff>75548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5685715" cy="5219048"/>
        </a:xfrm>
        <a:prstGeom prst="rect">
          <a:avLst/>
        </a:prstGeom>
      </xdr:spPr>
    </xdr:pic>
    <xdr:clientData/>
  </xdr:twoCellAnchor>
  <xdr:twoCellAnchor editAs="oneCell">
    <xdr:from>
      <xdr:col>0</xdr:col>
      <xdr:colOff>0</xdr:colOff>
      <xdr:row>95</xdr:row>
      <xdr:rowOff>0</xdr:rowOff>
    </xdr:from>
    <xdr:to>
      <xdr:col>7</xdr:col>
      <xdr:colOff>608924</xdr:colOff>
      <xdr:row>113</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5409524" cy="3123810"/>
        </a:xfrm>
        <a:prstGeom prst="rect">
          <a:avLst/>
        </a:prstGeom>
      </xdr:spPr>
    </xdr:pic>
    <xdr:clientData/>
  </xdr:twoCellAnchor>
  <xdr:twoCellAnchor editAs="oneCell">
    <xdr:from>
      <xdr:col>0</xdr:col>
      <xdr:colOff>0</xdr:colOff>
      <xdr:row>114</xdr:row>
      <xdr:rowOff>0</xdr:rowOff>
    </xdr:from>
    <xdr:to>
      <xdr:col>7</xdr:col>
      <xdr:colOff>437496</xdr:colOff>
      <xdr:row>144</xdr:row>
      <xdr:rowOff>132691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9545300"/>
          <a:ext cx="5238096" cy="5276191"/>
        </a:xfrm>
        <a:prstGeom prst="rect">
          <a:avLst/>
        </a:prstGeom>
      </xdr:spPr>
    </xdr:pic>
    <xdr:clientData/>
  </xdr:twoCellAnchor>
  <xdr:twoCellAnchor editAs="oneCell">
    <xdr:from>
      <xdr:col>0</xdr:col>
      <xdr:colOff>0</xdr:colOff>
      <xdr:row>145</xdr:row>
      <xdr:rowOff>0</xdr:rowOff>
    </xdr:from>
    <xdr:to>
      <xdr:col>8</xdr:col>
      <xdr:colOff>37410</xdr:colOff>
      <xdr:row>176</xdr:row>
      <xdr:rowOff>85050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4860250"/>
          <a:ext cx="5523810" cy="5400000"/>
        </a:xfrm>
        <a:prstGeom prst="rect">
          <a:avLst/>
        </a:prstGeom>
      </xdr:spPr>
    </xdr:pic>
    <xdr:clientData/>
  </xdr:twoCellAnchor>
  <xdr:twoCellAnchor editAs="oneCell">
    <xdr:from>
      <xdr:col>8</xdr:col>
      <xdr:colOff>352425</xdr:colOff>
      <xdr:row>124</xdr:row>
      <xdr:rowOff>161925</xdr:rowOff>
    </xdr:from>
    <xdr:to>
      <xdr:col>16</xdr:col>
      <xdr:colOff>313644</xdr:colOff>
      <xdr:row>155</xdr:row>
      <xdr:rowOff>113642</xdr:rowOff>
    </xdr:to>
    <xdr:pic>
      <xdr:nvPicPr>
        <xdr:cNvPr id="12" name="图片 11"/>
        <xdr:cNvPicPr>
          <a:picLocks noChangeAspect="1"/>
        </xdr:cNvPicPr>
      </xdr:nvPicPr>
      <xdr:blipFill>
        <a:blip xmlns:r="http://schemas.openxmlformats.org/officeDocument/2006/relationships" r:embed="rId9"/>
        <a:stretch>
          <a:fillRect/>
        </a:stretch>
      </xdr:blipFill>
      <xdr:spPr>
        <a:xfrm>
          <a:off x="5838825" y="21421725"/>
          <a:ext cx="5447619" cy="5266667"/>
        </a:xfrm>
        <a:prstGeom prst="rect">
          <a:avLst/>
        </a:prstGeom>
      </xdr:spPr>
    </xdr:pic>
    <xdr:clientData/>
  </xdr:twoCellAnchor>
  <xdr:twoCellAnchor editAs="oneCell">
    <xdr:from>
      <xdr:col>8</xdr:col>
      <xdr:colOff>409575</xdr:colOff>
      <xdr:row>156</xdr:row>
      <xdr:rowOff>38100</xdr:rowOff>
    </xdr:from>
    <xdr:to>
      <xdr:col>16</xdr:col>
      <xdr:colOff>266033</xdr:colOff>
      <xdr:row>186</xdr:row>
      <xdr:rowOff>66029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895975" y="26784300"/>
          <a:ext cx="5342858" cy="5171429"/>
        </a:xfrm>
        <a:prstGeom prst="rect">
          <a:avLst/>
        </a:prstGeom>
      </xdr:spPr>
    </xdr:pic>
    <xdr:clientData/>
  </xdr:twoCellAnchor>
  <xdr:twoCellAnchor editAs="oneCell">
    <xdr:from>
      <xdr:col>9</xdr:col>
      <xdr:colOff>0</xdr:colOff>
      <xdr:row>62</xdr:row>
      <xdr:rowOff>0</xdr:rowOff>
    </xdr:from>
    <xdr:to>
      <xdr:col>16</xdr:col>
      <xdr:colOff>580353</xdr:colOff>
      <xdr:row>93</xdr:row>
      <xdr:rowOff>75527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72200" y="10629900"/>
          <a:ext cx="5380953" cy="5390477"/>
        </a:xfrm>
        <a:prstGeom prst="rect">
          <a:avLst/>
        </a:prstGeom>
      </xdr:spPr>
    </xdr:pic>
    <xdr:clientData/>
  </xdr:twoCellAnchor>
  <xdr:twoCellAnchor editAs="oneCell">
    <xdr:from>
      <xdr:col>9</xdr:col>
      <xdr:colOff>0</xdr:colOff>
      <xdr:row>94</xdr:row>
      <xdr:rowOff>0</xdr:rowOff>
    </xdr:from>
    <xdr:to>
      <xdr:col>17</xdr:col>
      <xdr:colOff>142172</xdr:colOff>
      <xdr:row>124</xdr:row>
      <xdr:rowOff>66024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16116300"/>
          <a:ext cx="5628572" cy="5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北京市朝阳区慧忠路5号12层C1201、C1202、C1203、C1205、C1206共5套办公用房房地产抵押价值预评估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受贵公司委托，我公司对北京市朝阳区慧忠路5号12层C1201、C1202、C1203、C1205、C1206共5套办公用房房地产抵押价值进行了预评估。</v>
      </c>
    </row>
    <row r="7" spans="1:2" s="1203" customFormat="1">
      <c r="A7" s="1201" t="s">
        <v>566</v>
      </c>
      <c r="B7" s="1202" t="str">
        <f>'预评函-1'!A7</f>
        <v>估价对象为北京市朝阳区慧忠路5号12层C1201、C1202、C1203、C1205、C1206共5套办公用房房地产，为所有。根据《国有土地使用证》[]，估价对象（分摊）出让国有建设用地使用权面积为0平方米，建筑面积为98.15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98.15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2025年8月5日（评估专业人员实地查勘之日）</v>
      </c>
    </row>
    <row r="13" spans="1:2" s="1203" customFormat="1">
      <c r="A13" s="1201" t="s">
        <v>529</v>
      </c>
      <c r="B13" s="1202"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247</v>
      </c>
    </row>
    <row r="21" spans="1:2" s="1203" customFormat="1">
      <c r="A21" s="1201" t="s">
        <v>537</v>
      </c>
      <c r="B21" s="1202">
        <f ca="1">'预评函-2'!D7</f>
        <v>25212</v>
      </c>
    </row>
    <row r="22" spans="1:2" s="1203" customFormat="1">
      <c r="A22" s="1201" t="s">
        <v>538</v>
      </c>
      <c r="B22" s="1202" t="str">
        <f ca="1">'预评函-2'!D6</f>
        <v>贰佰肆拾柒万元整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247</v>
      </c>
    </row>
    <row r="31" spans="1:2" s="1203" customFormat="1">
      <c r="A31" s="1201" t="s">
        <v>576</v>
      </c>
      <c r="B31" s="1202">
        <f ca="1">'预评函-2'!D15</f>
        <v>25212</v>
      </c>
    </row>
    <row r="32" spans="1:2" s="1203" customFormat="1">
      <c r="A32" s="1201" t="s">
        <v>543</v>
      </c>
      <c r="B32" s="1202" t="str">
        <f ca="1">'预评函-2'!D14</f>
        <v>贰佰肆拾柒万元整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北京市朝阳区慧忠路5号12层C1201、C1202、C1203、C1205、C1206共5套办公用房房地产</v>
      </c>
    </row>
    <row r="42" spans="1:2" s="1203" customFormat="1">
      <c r="A42" s="1201" t="s">
        <v>590</v>
      </c>
      <c r="B42" s="1202" t="str">
        <f>'预评函-3'!B2</f>
        <v>建筑面积</v>
      </c>
    </row>
    <row r="43" spans="1:2" s="1203" customFormat="1">
      <c r="A43" s="1201" t="s">
        <v>591</v>
      </c>
      <c r="B43" s="1202">
        <f>'预评函-3'!B4</f>
        <v>98.15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143</v>
      </c>
    </row>
    <row r="48" spans="1:2" s="1203" customFormat="1">
      <c r="A48" s="1201" t="s">
        <v>549</v>
      </c>
      <c r="B48" s="1202">
        <f ca="1">'预评函-3'!E4</f>
        <v>14522</v>
      </c>
    </row>
    <row r="49" spans="1:2" s="1203" customFormat="1">
      <c r="A49" s="1201" t="s">
        <v>550</v>
      </c>
      <c r="B49" s="1202" t="str">
        <f ca="1">'预评函-3'!D5</f>
        <v>壹佰肆拾叁万元整</v>
      </c>
    </row>
    <row r="50" spans="1:2" s="1203" customFormat="1">
      <c r="A50" s="1201" t="s">
        <v>574</v>
      </c>
      <c r="B50" s="1202" t="str">
        <f>'预评函-3'!F2</f>
        <v>在建建筑物价值</v>
      </c>
    </row>
    <row r="51" spans="1:2" s="1203" customFormat="1">
      <c r="A51" s="1201" t="s">
        <v>551</v>
      </c>
      <c r="B51" s="1202">
        <f ca="1">'预评函-3'!F4</f>
        <v>105</v>
      </c>
    </row>
    <row r="52" spans="1:2" s="1203" customFormat="1">
      <c r="A52" s="1201" t="s">
        <v>552</v>
      </c>
      <c r="B52" s="1202">
        <f ca="1">'预评函-3'!G4</f>
        <v>10690</v>
      </c>
    </row>
    <row r="53" spans="1:2" s="1203" customFormat="1">
      <c r="A53" s="1201" t="s">
        <v>580</v>
      </c>
      <c r="B53" s="1202" t="str">
        <f ca="1">'预评函-3'!F5</f>
        <v>壹佰零伍万元整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36" t="s">
        <v>2580</v>
      </c>
      <c r="J2" s="3536"/>
      <c r="K2" s="3536"/>
      <c r="L2" s="3536"/>
      <c r="M2" s="3536"/>
      <c r="N2" s="3536"/>
      <c r="O2" s="3536"/>
      <c r="P2" s="3536"/>
      <c r="Q2" s="3536"/>
      <c r="R2" s="3536"/>
    </row>
    <row r="3" spans="1:18">
      <c r="A3" s="3019" t="s">
        <v>2501</v>
      </c>
      <c r="B3" s="3020">
        <f>项目基本情况!D3</f>
        <v>45874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1.37</v>
      </c>
      <c r="D5" s="3024">
        <f>IF(ISERROR(ROUND(POWER(1+E5,A5-C5)*(POWER(1+E5,C5)-1)/(POWER(1+E5,A5)-1),3)),0,ROUND(POWER(1+E5,A5-C5)*(POWER(1+E5,C5)-1)/(POWER(1+E5,A5)-1),4))</f>
        <v>6.6100000000000006E-2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11.38</v>
      </c>
      <c r="D6" s="3024">
        <f>IF(ISERROR(ROUND(POWER(1+E6,A6-C6)*(POWER(1+E6,C6)-1)/(POWER(1+E6,A6)-1),3)),0,ROUND(POWER(1+E6,A6-C6)*(POWER(1+E6,C6)-1)/(POWER(1+E6,A6)-1),4))</f>
        <v>0.41899999999999998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31.39</v>
      </c>
      <c r="D7" s="3024">
        <f>IF(ISERROR(ROUND(POWER(1+E7,A7-C7)*(POWER(1+E7,C7)-1)/(POWER(1+E7,A7)-1),3)),0,ROUND(POWER(1+E7,A7-C7)*(POWER(1+E7,C7)-1)/(POWER(1+E7,A7)-1),4))</f>
        <v>0.75660000000000005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5" t="str">
        <f>IF(B10="北京市","北京市",C10)&amp;F10&amp;IF(结果表!G1="在建","出让国有建设用地使用权及在建建筑物",IF(结果表!G1="土地","出让国有建设用地使用权",))&amp;B9&amp;"预评估"</f>
        <v>北京市朝阳区慧忠路5号12层C1201、C1202、C1203、C1205、C1206共5套办公用房房地产抵押价值预评估</v>
      </c>
      <c r="C1" s="3546"/>
      <c r="D1" s="3546"/>
      <c r="E1" s="3546"/>
      <c r="F1" s="3546"/>
      <c r="G1" s="3546"/>
      <c r="H1" s="3546"/>
      <c r="I1" s="354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北京市朝阳区慧忠路5号12层C1201、C1202、C1203、C1205、C1206共5套办公用房房地产抵押价值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北京市朝阳区慧忠路5号12层C1201、C1202、C1203、C1205、C1206共5套办公用房房地产</v>
      </c>
      <c r="T2" s="1745"/>
      <c r="U2" s="1745"/>
      <c r="V2" s="1745"/>
      <c r="W2" s="1745"/>
      <c r="X2" s="1745"/>
      <c r="Y2" s="1745"/>
      <c r="Z2" s="1745"/>
      <c r="AA2" s="1745"/>
      <c r="AB2" s="1745"/>
    </row>
    <row r="3" spans="1:30">
      <c r="A3" s="302" t="s">
        <v>2170</v>
      </c>
      <c r="B3" s="2373">
        <v>45874</v>
      </c>
      <c r="C3" s="2374" t="s">
        <v>2171</v>
      </c>
      <c r="D3" s="2373">
        <f>B3</f>
        <v>45874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48"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49"/>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3483" t="s">
        <v>3475</v>
      </c>
      <c r="G10" s="2666"/>
      <c r="H10" s="2667"/>
      <c r="I10" s="2668"/>
      <c r="J10" s="2439"/>
      <c r="K10" s="2616"/>
      <c r="L10" s="2613"/>
      <c r="M10" s="2613"/>
      <c r="N10" s="2439"/>
      <c r="O10" s="2450"/>
      <c r="P10" s="2439"/>
      <c r="Q10" s="2439"/>
      <c r="R10" s="2439"/>
    </row>
    <row r="11" spans="1:30">
      <c r="A11" s="2401" t="s">
        <v>2181</v>
      </c>
      <c r="B11" s="2402" t="s">
        <v>3474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v>53670</v>
      </c>
      <c r="F13" s="856"/>
      <c r="G13" s="856"/>
      <c r="H13" s="856"/>
      <c r="I13" s="856"/>
      <c r="J13" s="3061"/>
      <c r="K13" s="2613"/>
      <c r="L13" s="2613"/>
      <c r="M13" s="2439"/>
      <c r="N13" s="2450"/>
      <c r="O13" s="2439"/>
      <c r="P13" s="2439"/>
      <c r="Q13" s="2439"/>
      <c r="AD13" s="1745"/>
    </row>
    <row r="14" spans="1:30">
      <c r="A14" s="1081"/>
      <c r="B14" s="2407" t="s">
        <v>2191</v>
      </c>
      <c r="C14" s="2408"/>
      <c r="D14" s="2408"/>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55"/>
      <c r="C16" s="3556"/>
      <c r="D16" s="3557"/>
      <c r="E16" s="2413" t="s">
        <v>2194</v>
      </c>
      <c r="F16" s="3558"/>
      <c r="G16" s="3559"/>
      <c r="H16" s="3559"/>
      <c r="I16" s="3560"/>
      <c r="J16" s="2439"/>
      <c r="K16" s="2617"/>
      <c r="L16" s="2451"/>
      <c r="M16" s="2451"/>
      <c r="N16" s="2509"/>
      <c r="O16" s="2451"/>
      <c r="P16" s="2509"/>
      <c r="Q16" s="2439"/>
      <c r="R16" s="2439"/>
    </row>
    <row r="17" spans="1:28">
      <c r="A17" s="313" t="s">
        <v>2195</v>
      </c>
      <c r="B17" s="302" t="s">
        <v>2196</v>
      </c>
      <c r="C17" s="8">
        <f>'数据-汇总表'!E3</f>
        <v>98.15</v>
      </c>
      <c r="D17" s="2322" t="s">
        <v>2197</v>
      </c>
      <c r="E17" s="3561" t="s">
        <v>2198</v>
      </c>
      <c r="F17" s="3562"/>
      <c r="G17" s="3562"/>
      <c r="H17" s="3562"/>
      <c r="I17" s="356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64" t="s">
        <v>2202</v>
      </c>
      <c r="F18" s="3565"/>
      <c r="G18" s="3565"/>
      <c r="H18" s="3565"/>
      <c r="I18" s="356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1" t="s">
        <v>2206</v>
      </c>
      <c r="C20" s="3552"/>
      <c r="D20" s="3553" t="s">
        <v>2207</v>
      </c>
      <c r="E20" s="3554"/>
      <c r="F20" s="2647" t="s">
        <v>1056</v>
      </c>
      <c r="G20" s="2664"/>
      <c r="H20" s="2664"/>
      <c r="I20" s="2664"/>
      <c r="J20" s="2439"/>
      <c r="K20" s="355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8" t="s">
        <v>2214</v>
      </c>
      <c r="B27" s="320" t="s">
        <v>2215</v>
      </c>
      <c r="C27" s="2416" t="s">
        <v>3423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98.15</v>
      </c>
      <c r="H5" s="13">
        <f t="shared" ref="H5:AT5" si="0">SUM(H13:H656)</f>
        <v>98.15</v>
      </c>
      <c r="I5" s="13">
        <f t="shared" si="0"/>
        <v>98.15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98.15</v>
      </c>
      <c r="BA5" s="15">
        <f t="shared" si="1"/>
        <v>98.15</v>
      </c>
      <c r="BB5" s="15">
        <f t="shared" si="1"/>
        <v>98.15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3427</v>
      </c>
      <c r="E13" s="13">
        <f>IF($C$3="是",ROUND($A$3*G13/$B$3,2),ROUND($A$3*(G13-AT13)/$B$3,2))</f>
        <v>0</v>
      </c>
      <c r="F13" s="29"/>
      <c r="G13" s="30">
        <f>H13+AC13+AT13</f>
        <v>98.15</v>
      </c>
      <c r="H13" s="17">
        <f>SUMIF(I$12:AB$12,"总值",I13:AB13)</f>
        <v>98.15</v>
      </c>
      <c r="I13" s="1626">
        <v>98.15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98.15</v>
      </c>
      <c r="BA13" s="13">
        <f>SUM(BB13:BK13)</f>
        <v>98.15</v>
      </c>
      <c r="BB13" s="13">
        <f>IF($D13="是",I13-J13,0)</f>
        <v>98.15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6" t="s">
        <v>1131</v>
      </c>
      <c r="B2" s="3576"/>
      <c r="C2" s="3576"/>
      <c r="D2" s="796" t="s">
        <v>1107</v>
      </c>
      <c r="E2" s="1639" t="s">
        <v>1108</v>
      </c>
      <c r="F2" s="2659"/>
      <c r="G2" s="2650"/>
      <c r="H2" s="2651"/>
      <c r="I2" s="2325" t="s">
        <v>1132</v>
      </c>
      <c r="J2" s="2659"/>
      <c r="K2" s="2659"/>
      <c r="L2" s="2659"/>
      <c r="M2" s="2659"/>
      <c r="N2" s="2661"/>
      <c r="O2" s="2659"/>
      <c r="P2" s="2659"/>
    </row>
    <row r="3" spans="1:16" ht="15.75" thickBot="1">
      <c r="A3" s="3577" t="s">
        <v>1105</v>
      </c>
      <c r="B3" s="3577"/>
      <c r="C3" s="3577"/>
      <c r="D3" s="43">
        <f>'数据-基础表'!AY6</f>
        <v>0</v>
      </c>
      <c r="E3" s="43">
        <f>'数据-基础表'!AZ5</f>
        <v>98.15</v>
      </c>
      <c r="F3" s="2659"/>
      <c r="G3" s="1145"/>
      <c r="H3" s="1026" t="s">
        <v>1106</v>
      </c>
      <c r="I3" s="855" t="e">
        <f>ROUND('数据-基础表'!B3/'数据-基础表'!A3,2)</f>
        <v>#DIV/0!</v>
      </c>
      <c r="J3" s="2659"/>
      <c r="K3" s="2659"/>
      <c r="L3" s="2659"/>
      <c r="M3" s="2659"/>
      <c r="N3" s="2661"/>
      <c r="O3" s="2659"/>
      <c r="P3" s="2659"/>
    </row>
    <row r="4" spans="1:16" ht="15">
      <c r="A4" s="3578"/>
      <c r="B4" s="3579"/>
      <c r="C4" s="358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81" t="s">
        <v>1110</v>
      </c>
      <c r="C5" s="358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81" t="s">
        <v>1111</v>
      </c>
      <c r="C6" s="3581"/>
      <c r="D6" s="45">
        <f>ROUND($D$3*E6/$E$3,2)</f>
        <v>0</v>
      </c>
      <c r="E6" s="46">
        <f>E3-E5</f>
        <v>98.15</v>
      </c>
      <c r="F6" s="2659"/>
      <c r="G6" s="2653" t="s">
        <v>1112</v>
      </c>
      <c r="H6" s="1146" t="s">
        <v>1113</v>
      </c>
      <c r="I6" s="2654" t="e">
        <f>ROUND(F31/D31,2)</f>
        <v>#DIV/0!</v>
      </c>
      <c r="J6" s="2659"/>
      <c r="K6" s="2659"/>
      <c r="L6" s="2659"/>
      <c r="M6" s="2659"/>
      <c r="N6" s="2659"/>
      <c r="O6" s="2659"/>
      <c r="P6" s="2659"/>
    </row>
    <row r="7" spans="1:16" ht="15.75" thickBot="1">
      <c r="A7" s="3573"/>
      <c r="B7" s="3574"/>
      <c r="C7" s="357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98.15</v>
      </c>
      <c r="F16" s="2659"/>
      <c r="G16" s="2660"/>
      <c r="H16" s="1648" t="s">
        <v>1135</v>
      </c>
      <c r="I16" s="1649"/>
      <c r="J16" s="1139"/>
      <c r="K16" s="3570" t="s">
        <v>1135</v>
      </c>
      <c r="L16" s="3571"/>
      <c r="M16" s="3571"/>
      <c r="N16" s="3571"/>
      <c r="O16" s="3571"/>
      <c r="P16" s="3572"/>
    </row>
    <row r="17" spans="1:19" ht="15">
      <c r="A17" s="1650" t="s">
        <v>1136</v>
      </c>
      <c r="B17" s="1651" t="s">
        <v>1137</v>
      </c>
      <c r="C17" s="1652" t="s">
        <v>1138</v>
      </c>
      <c r="D17" s="1653" t="s">
        <v>1126</v>
      </c>
      <c r="E17" s="1654" t="s">
        <v>1127</v>
      </c>
      <c r="F17" s="1655"/>
      <c r="G17" s="1656"/>
      <c r="H17" s="1657" t="s">
        <v>1139</v>
      </c>
      <c r="I17" s="1658" t="s">
        <v>1124</v>
      </c>
      <c r="J17" s="1139"/>
      <c r="K17" s="3567" t="s">
        <v>1140</v>
      </c>
      <c r="L17" s="3568"/>
      <c r="M17" s="3569"/>
      <c r="N17" s="3567" t="s">
        <v>1141</v>
      </c>
      <c r="O17" s="3568"/>
      <c r="P17" s="356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3428</v>
      </c>
      <c r="D19" s="45">
        <f>ROUND($D$3*E19/$E$3,2)</f>
        <v>0</v>
      </c>
      <c r="E19" s="53">
        <f t="shared" ref="E19:E26" si="1">SUM(F19:G19)</f>
        <v>98.15</v>
      </c>
      <c r="F19" s="2794">
        <f>'数据-基础表'!I13</f>
        <v>98.15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98.15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98.15</v>
      </c>
      <c r="F27" s="1140">
        <f>IF(SUM(F19:F26)=E8,SUM(F19:F26),"地上面积有误")</f>
        <v>98.15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98.15</v>
      </c>
      <c r="F31" s="677">
        <f>F27+F30</f>
        <v>98.15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53670</v>
      </c>
      <c r="F6" s="64">
        <f>SUMIF(项目基本情况!C$12:I$12,C6,项目基本情况!C$15:I$15)</f>
        <v>21.35</v>
      </c>
      <c r="G6" s="65">
        <f>IF(ISERROR(ROUND(POWER(1+H6,D6-F6)*(POWER(1+H6,F6)-1)/(POWER(1+H6,D6)-1),3)),0,ROUND(POWER(1+H6,D6-F6)*(POWER(1+H6,F6)-1)/(POWER(1+H6,D6)-1),3))</f>
        <v>0.70899999999999996</v>
      </c>
      <c r="H6" s="732">
        <v>0.05</v>
      </c>
      <c r="I6" s="732">
        <v>5.5E-2</v>
      </c>
      <c r="J6" s="66">
        <v>7.0000000000000007E-2</v>
      </c>
      <c r="K6" s="1030">
        <f>SUMIF('数据-汇总表'!C$19:C$33,A6,'数据-汇总表'!E$19:E$33)</f>
        <v>98.15</v>
      </c>
      <c r="L6" s="733">
        <v>5500</v>
      </c>
      <c r="M6" s="67">
        <f t="shared" ref="M6:M14" si="0">ROUND(K6*L6/10000,0)</f>
        <v>54</v>
      </c>
      <c r="N6" s="731">
        <f>N21</f>
        <v>0.69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0.02</v>
      </c>
      <c r="W6" s="70">
        <v>0.1</v>
      </c>
      <c r="X6" s="1040"/>
      <c r="Y6" s="71">
        <f>N6</f>
        <v>0.69</v>
      </c>
      <c r="Z6" s="72"/>
      <c r="AA6" s="66"/>
      <c r="AB6" s="66"/>
      <c r="AC6" s="1040"/>
      <c r="AD6" s="73"/>
      <c r="AE6" s="1041">
        <f ca="1">IF(AN6="",0,SUMIF(INDIRECT("'"&amp;AN6&amp;"'"&amp;"!E:E"),$AE$5,INDIRECT("'"&amp;AN6&amp;"'"&amp;"!F:F")))</f>
        <v>21.35</v>
      </c>
      <c r="AF6" s="1348"/>
      <c r="AG6" s="138">
        <f>IF(AF6="",0,AE6-AF6)</f>
        <v>0</v>
      </c>
      <c r="AH6" s="74"/>
      <c r="AI6" s="76">
        <v>365</v>
      </c>
      <c r="AJ6" s="77"/>
      <c r="AK6" s="78">
        <v>3.0000000000000001E-3</v>
      </c>
      <c r="AL6" s="79">
        <v>1E-3</v>
      </c>
      <c r="AM6" s="80">
        <v>1.4999999999999999E-2</v>
      </c>
      <c r="AN6" s="1715" t="s">
        <v>3430</v>
      </c>
      <c r="AO6" s="52">
        <f ca="1">SUMIF(INDIRECT("'"&amp;AN6&amp;"'"&amp;"!A:A"),"总价",INDIRECT("'"&amp;AN6&amp;"'"&amp;"!B:B"))</f>
        <v>137.9641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0.70899999999999996</v>
      </c>
      <c r="H16" s="90">
        <f>ROUND(SUMPRODUCT(H6:H13,K6:K13)/SUMPRODUCT((H6:H13&gt;0)*(K6:K13)),3)</f>
        <v>0.05</v>
      </c>
      <c r="I16" s="91"/>
      <c r="J16" s="91"/>
      <c r="K16" s="92">
        <f>SUM(K6:K15)</f>
        <v>98.15</v>
      </c>
      <c r="L16" s="93">
        <f>ROUND(M16*10000/SUM(K6:K14),0)</f>
        <v>5502</v>
      </c>
      <c r="M16" s="93">
        <f>SUM(M6:M14)</f>
        <v>54</v>
      </c>
      <c r="N16" s="94">
        <f>ROUND(SUMPRODUCT(M6:M14,N6:N14)/M16,3)</f>
        <v>0.69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2000</v>
      </c>
      <c r="O18" s="2670"/>
      <c r="P18" s="2670"/>
      <c r="Q18" s="2670">
        <f>Q16/B20</f>
        <v>7.4999999999999997E-2</v>
      </c>
      <c r="R18" s="2670"/>
      <c r="S18" s="2670"/>
      <c r="T18" s="2670"/>
      <c r="U18" s="2670">
        <v>5.8</v>
      </c>
      <c r="V18" s="3489">
        <v>2.5000000000000001E-2</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3485" t="s">
        <v>3476</v>
      </c>
      <c r="N19" s="3486">
        <f>ROUND(1-(1-0%)*(2025-N18)/60,2)</f>
        <v>0.57999999999999996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85" t="s">
        <v>3477</v>
      </c>
      <c r="N20" s="3487">
        <v>0.8</v>
      </c>
      <c r="O20" s="2670"/>
      <c r="P20" s="2670"/>
      <c r="Q20" s="2670"/>
      <c r="R20" s="2670"/>
      <c r="S20" s="2670"/>
      <c r="T20" s="3490" t="s">
        <v>3482</v>
      </c>
      <c r="U20" s="2670">
        <f>U6*365/'比较法-办公'!C50</f>
        <v>3.9127105666156202E-2</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85" t="s">
        <v>3478</v>
      </c>
      <c r="N21" s="3488">
        <f>ROUND((N19+N20)/2,2)</f>
        <v>0.69</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3490" t="s">
        <v>3483</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3490" t="s">
        <v>3484</v>
      </c>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82" t="s">
        <v>3479</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2" t="s">
        <v>2286</v>
      </c>
      <c r="B1" s="3583"/>
      <c r="C1" s="3583"/>
      <c r="D1" s="3583"/>
      <c r="E1" s="3583"/>
      <c r="F1" s="3583"/>
      <c r="G1" s="358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98.15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247.45580000000001</v>
      </c>
      <c r="C5" s="2512">
        <f ca="1">IF(B5=D14,结果表!H102,ROUND(B5*10000/$B$1,0))</f>
        <v>25212</v>
      </c>
      <c r="D5" s="2512" t="e">
        <f ca="1">ROUND(B5*10000/$B$2,0)</f>
        <v>#DIV/0!</v>
      </c>
      <c r="E5" s="2685"/>
      <c r="F5" s="2686"/>
      <c r="G5" s="2686"/>
      <c r="H5" s="2687"/>
      <c r="I5" s="2687"/>
      <c r="J5" s="2687"/>
      <c r="K5" s="2687"/>
    </row>
    <row r="6" spans="1:11" ht="16.5">
      <c r="A6" s="2512" t="s">
        <v>656</v>
      </c>
      <c r="B6" s="2512">
        <f ca="1">SUM(G14:G23)</f>
        <v>247.45580000000001</v>
      </c>
      <c r="C6" s="2512">
        <f ca="1">IF(B6=G14,结果表!H108,ROUND(B6*10000/$B$1,0))</f>
        <v>25212</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98.15</v>
      </c>
      <c r="C14" s="2518"/>
      <c r="D14" s="2518">
        <f ca="1">结果表!G23/10000</f>
        <v>247.45580000000001</v>
      </c>
      <c r="E14" s="2518">
        <f ca="1">结果表!G20</f>
        <v>25212</v>
      </c>
      <c r="F14" s="2518" t="e">
        <f ca="1">ROUND(D14*10000/C14,0)</f>
        <v>#DIV/0!</v>
      </c>
      <c r="G14" s="2518">
        <f ca="1">D14</f>
        <v>247.45580000000001</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北京市朝阳区慧忠路5号12层C1201、C1202、C1203、C1205、C1206共5套办公用房房地产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3435</v>
      </c>
      <c r="D4" s="1756" t="s">
        <v>3430</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1268</v>
      </c>
      <c r="B5" s="3585">
        <v>25</v>
      </c>
      <c r="C5" s="3601"/>
      <c r="D5" s="3621"/>
      <c r="E5" s="131" t="s">
        <v>1269</v>
      </c>
      <c r="F5" s="1757"/>
      <c r="G5" s="1757"/>
      <c r="H5" s="1757"/>
      <c r="I5" s="1373"/>
    </row>
    <row r="6" spans="1:12" ht="12.75">
      <c r="A6" s="3598"/>
      <c r="B6" s="3585"/>
      <c r="C6" s="3602"/>
      <c r="D6" s="3621"/>
      <c r="E6" s="131" t="s">
        <v>1270</v>
      </c>
      <c r="F6" s="1757"/>
      <c r="G6" s="1757"/>
      <c r="H6" s="1757"/>
      <c r="I6" s="1373"/>
    </row>
    <row r="7" spans="1:12" ht="12.75">
      <c r="A7" s="3598"/>
      <c r="B7" s="3585"/>
      <c r="C7" s="3603"/>
      <c r="D7" s="3621"/>
      <c r="E7" s="131" t="s">
        <v>1271</v>
      </c>
      <c r="F7" s="1757"/>
      <c r="G7" s="1757"/>
      <c r="H7" s="1757"/>
      <c r="I7" s="1373"/>
    </row>
    <row r="8" spans="1:12" ht="12.75">
      <c r="A8" s="3598" t="s">
        <v>1272</v>
      </c>
      <c r="B8" s="3585">
        <v>15</v>
      </c>
      <c r="C8" s="3601"/>
      <c r="D8" s="3621"/>
      <c r="E8" s="131" t="s">
        <v>1273</v>
      </c>
      <c r="F8" s="1757"/>
      <c r="G8" s="1757"/>
      <c r="H8" s="1757"/>
      <c r="I8" s="1373"/>
    </row>
    <row r="9" spans="1:12" ht="12.75">
      <c r="A9" s="3598"/>
      <c r="B9" s="3585"/>
      <c r="C9" s="3603"/>
      <c r="D9" s="3621"/>
      <c r="E9" s="131" t="s">
        <v>1274</v>
      </c>
      <c r="F9" s="1757"/>
      <c r="G9" s="1757"/>
      <c r="H9" s="1757"/>
      <c r="I9" s="1373"/>
    </row>
    <row r="10" spans="1:12" ht="12.75">
      <c r="A10" s="3598" t="s">
        <v>1275</v>
      </c>
      <c r="B10" s="3585">
        <v>15</v>
      </c>
      <c r="C10" s="3601"/>
      <c r="D10" s="3621"/>
      <c r="E10" s="131" t="s">
        <v>1276</v>
      </c>
      <c r="F10" s="1757"/>
      <c r="G10" s="1757"/>
      <c r="H10" s="1757"/>
      <c r="I10" s="1373"/>
    </row>
    <row r="11" spans="1:12" ht="12.75">
      <c r="A11" s="3598"/>
      <c r="B11" s="3585"/>
      <c r="C11" s="3603"/>
      <c r="D11" s="3621"/>
      <c r="E11" s="131" t="s">
        <v>1277</v>
      </c>
      <c r="F11" s="1757"/>
      <c r="G11" s="1757"/>
      <c r="H11" s="1757"/>
      <c r="I11" s="1373"/>
    </row>
    <row r="12" spans="1:12" ht="12.75">
      <c r="A12" s="3598" t="s">
        <v>1278</v>
      </c>
      <c r="B12" s="3585">
        <v>15</v>
      </c>
      <c r="C12" s="3601"/>
      <c r="D12" s="3621"/>
      <c r="E12" s="131" t="s">
        <v>1279</v>
      </c>
      <c r="F12" s="1757"/>
      <c r="G12" s="1757"/>
      <c r="H12" s="1757"/>
      <c r="I12" s="1373"/>
    </row>
    <row r="13" spans="1:12" ht="12.75">
      <c r="A13" s="3598"/>
      <c r="B13" s="3585"/>
      <c r="C13" s="3603"/>
      <c r="D13" s="3621"/>
      <c r="E13" s="131" t="s">
        <v>1280</v>
      </c>
      <c r="F13" s="1757"/>
      <c r="G13" s="1757"/>
      <c r="H13" s="1757"/>
      <c r="I13" s="1373"/>
    </row>
    <row r="14" spans="1:12" ht="12.75">
      <c r="A14" s="3598" t="s">
        <v>1281</v>
      </c>
      <c r="B14" s="3585">
        <v>30</v>
      </c>
      <c r="C14" s="3601">
        <v>6</v>
      </c>
      <c r="D14" s="3621">
        <v>4</v>
      </c>
      <c r="E14" s="131" t="s">
        <v>1282</v>
      </c>
      <c r="F14" s="1757"/>
      <c r="G14" s="1757"/>
      <c r="H14" s="1757"/>
      <c r="I14" s="1373"/>
    </row>
    <row r="15" spans="1:12" ht="12.75">
      <c r="A15" s="3598"/>
      <c r="B15" s="3585"/>
      <c r="C15" s="3602"/>
      <c r="D15" s="3621"/>
      <c r="E15" s="131" t="s">
        <v>1283</v>
      </c>
      <c r="F15" s="1757"/>
      <c r="G15" s="1757"/>
      <c r="H15" s="1757"/>
      <c r="I15" s="1373"/>
    </row>
    <row r="16" spans="1:12" ht="12.75">
      <c r="A16" s="3598"/>
      <c r="B16" s="3585"/>
      <c r="C16" s="3603"/>
      <c r="D16" s="362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08" t="s">
        <v>2131</v>
      </c>
      <c r="F18" s="3609"/>
      <c r="G18" s="3609"/>
      <c r="H18" s="3609"/>
      <c r="I18" s="3609"/>
      <c r="K18" s="302" t="s">
        <v>1289</v>
      </c>
      <c r="L18" s="302">
        <f>IF(C1="",'数据-汇总表'!E3,SUMIF(项目类型,C1,'数据-汇总表'!E17:E26)+SUMIF(项目类型,C1,'数据-汇总表'!I17:I26))</f>
        <v>98.15</v>
      </c>
      <c r="M18" s="302">
        <f>IF(C1="",'数据-汇总表'!E3,SUMIF(项目类型,C1,'数据-汇总表'!E17:E26))</f>
        <v>98.15</v>
      </c>
    </row>
    <row r="19" spans="1:36" ht="15">
      <c r="A19" s="1761" t="s">
        <v>1290</v>
      </c>
      <c r="B19" s="1762" t="s">
        <v>1291</v>
      </c>
      <c r="C19" s="134">
        <f ca="1">SUMIF(INDIRECT("'"&amp;C4&amp;"'"&amp;"!A:A"),结果表!B19,INDIRECT("'"&amp;C4&amp;"'"&amp;"!B:B"))</f>
        <v>320.45979999999997</v>
      </c>
      <c r="D19" s="135">
        <f ca="1">SUMIF(INDIRECT("'"&amp;D4&amp;"'"&amp;"!A:A"),结果表!B19,INDIRECT("'"&amp;D4&amp;"'"&amp;"!B:B"))</f>
        <v>137.9641</v>
      </c>
      <c r="E19" s="1761" t="s">
        <v>1292</v>
      </c>
      <c r="F19" s="1762" t="s">
        <v>1291</v>
      </c>
      <c r="G19" s="136">
        <f ca="1">ROUND(C19*$C$18+D19*$D$18,0)</f>
        <v>247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32650</v>
      </c>
      <c r="D20" s="138">
        <f ca="1">SUMIF(INDIRECT("'"&amp;D4&amp;"'"&amp;"!A:A"),结果表!B20,INDIRECT("'"&amp;D4&amp;"'"&amp;"!B:B"))</f>
        <v>14056</v>
      </c>
      <c r="E20" s="1764"/>
      <c r="F20" s="1026" t="s">
        <v>1295</v>
      </c>
      <c r="G20" s="139">
        <f ca="1">ROUND(C20*$C$18+D20*$D$18,0)</f>
        <v>25212</v>
      </c>
      <c r="H20" s="808" t="s">
        <v>1296</v>
      </c>
      <c r="I20" s="129"/>
      <c r="J20" s="725">
        <v>25000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1.3227767223502345</v>
      </c>
      <c r="E22" s="129"/>
      <c r="F22" s="129"/>
      <c r="G22" s="129"/>
      <c r="H22" s="129"/>
      <c r="I22" s="129"/>
    </row>
    <row r="23" spans="1:36" ht="13.5" thickBot="1">
      <c r="A23" s="1747"/>
      <c r="B23" s="1747"/>
      <c r="C23" s="1747"/>
      <c r="D23" s="1747"/>
      <c r="E23" s="129"/>
      <c r="F23" s="129"/>
      <c r="G23" s="129">
        <f ca="1">ROUND(G20*'数据-汇总表'!F19,0)</f>
        <v>2474558</v>
      </c>
      <c r="H23" s="129"/>
      <c r="I23" s="129"/>
    </row>
    <row r="24" spans="1:36" ht="14.25">
      <c r="A24" s="3592" t="s">
        <v>1299</v>
      </c>
      <c r="B24" s="1762" t="s">
        <v>1291</v>
      </c>
      <c r="C24" s="136">
        <f>IF(B30=0,0,D30)</f>
        <v>0</v>
      </c>
      <c r="D24" s="1769"/>
      <c r="E24" s="129"/>
      <c r="F24" s="129"/>
      <c r="G24" s="129"/>
      <c r="H24" s="129"/>
      <c r="I24" s="129"/>
    </row>
    <row r="25" spans="1:36" ht="14.25">
      <c r="A25" s="35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25212</v>
      </c>
      <c r="D32" s="1775" t="s">
        <v>3436</v>
      </c>
      <c r="E32" s="129"/>
      <c r="F32" s="129"/>
      <c r="G32" s="129"/>
      <c r="H32" s="129"/>
      <c r="I32" s="129"/>
    </row>
    <row r="33" spans="1:15" ht="15">
      <c r="A33" s="786" t="s">
        <v>1306</v>
      </c>
      <c r="B33" s="1776"/>
      <c r="C33" s="1777" t="s">
        <v>3437</v>
      </c>
      <c r="D33" s="1778" t="s">
        <v>3430</v>
      </c>
      <c r="E33" s="1779" t="s">
        <v>1307</v>
      </c>
      <c r="F33" s="1780" t="str">
        <f>IF(D32="楼面单价","取值（单价）","取值（总价）")</f>
        <v>取值（单价）</v>
      </c>
      <c r="G33" s="129"/>
      <c r="H33" s="129"/>
      <c r="I33" s="129"/>
    </row>
    <row r="34" spans="1:15" ht="15">
      <c r="A34" s="1781"/>
      <c r="B34" s="1782" t="s">
        <v>1308</v>
      </c>
      <c r="C34" s="148">
        <f ca="1">IF(C33="自定义",F34,C32-C35)</f>
        <v>14522</v>
      </c>
      <c r="D34" s="861">
        <f ca="1">IF(C33="自定义",ROUND(C34/C32,3),IF(C33="收益比率",SUMIF(INDIRECT("'"&amp;D33&amp;"'"&amp;"!b:b"),"土地收益比率",INDIRECT("'"&amp;D33&amp;"'"&amp;"!c:c")),SUMIF(INDIRECT("'"&amp;D33&amp;"'"&amp;"!b:b"),"土地成本比率",INDIRECT("'"&amp;D33&amp;"'"&amp;"!c:c"))))</f>
        <v>0.57600000000000007</v>
      </c>
      <c r="E34" s="1783" t="s">
        <v>1309</v>
      </c>
      <c r="F34" s="1330"/>
      <c r="G34" s="129"/>
      <c r="H34" s="129"/>
      <c r="I34" s="129"/>
    </row>
    <row r="35" spans="1:15" ht="15.75" thickBot="1">
      <c r="A35" s="1784"/>
      <c r="B35" s="1785" t="s">
        <v>1310</v>
      </c>
      <c r="C35" s="1170">
        <f ca="1">IF(C33="自定义",F35,ROUND(C32*D35,0))</f>
        <v>10690</v>
      </c>
      <c r="D35" s="1171">
        <f ca="1">IF(C33="自定义",ROUND(C35/C32,3),IF(C33="收益比率",SUMIF(INDIRECT("'"&amp;D33&amp;"'"&amp;"!b:b"),"建筑物收益比率",INDIRECT("'"&amp;D33&amp;"'"&amp;"!c:c")),SUMIF(INDIRECT("'"&amp;D33&amp;"'"&amp;"!b:b"),"建筑物成本比率",INDIRECT("'"&amp;D33&amp;"'"&amp;"!c:c"))))</f>
        <v>0.42399999999999999</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9" t="s">
        <v>1326</v>
      </c>
      <c r="B45" s="3590"/>
      <c r="C45" s="3591"/>
      <c r="D45" s="155">
        <f ca="1">ROUND(H101*F45,0)</f>
        <v>247</v>
      </c>
      <c r="E45" s="156" t="s">
        <v>1327</v>
      </c>
      <c r="F45" s="157">
        <v>1</v>
      </c>
      <c r="G45" s="158" t="s">
        <v>1328</v>
      </c>
      <c r="H45" s="129"/>
      <c r="I45" s="129"/>
      <c r="J45" s="3667" t="s">
        <v>1329</v>
      </c>
      <c r="K45" s="3667"/>
      <c r="L45" s="3667"/>
      <c r="M45" s="3667"/>
      <c r="N45" s="3667"/>
      <c r="O45" s="3667"/>
    </row>
    <row r="46" spans="1:15" ht="14.25" customHeight="1">
      <c r="A46" s="3586" t="s">
        <v>1330</v>
      </c>
      <c r="B46" s="3587"/>
      <c r="C46" s="3587"/>
      <c r="D46" s="3587"/>
      <c r="E46" s="3587"/>
      <c r="F46" s="3587"/>
      <c r="G46" s="3588"/>
      <c r="H46" s="1806"/>
      <c r="I46" s="159"/>
      <c r="J46" s="2523">
        <v>1</v>
      </c>
      <c r="K46" s="3648" t="s">
        <v>1331</v>
      </c>
      <c r="L46" s="3648"/>
      <c r="M46" s="3668"/>
      <c r="N46" s="3668"/>
      <c r="O46" s="3668"/>
    </row>
    <row r="47" spans="1:15" ht="12" customHeight="1">
      <c r="A47" s="160" t="s">
        <v>1332</v>
      </c>
      <c r="B47" s="161"/>
      <c r="C47" s="162"/>
      <c r="D47" s="1087" t="s">
        <v>1333</v>
      </c>
      <c r="E47" s="302" t="s">
        <v>1334</v>
      </c>
      <c r="F47" s="163" t="s">
        <v>1335</v>
      </c>
      <c r="G47" s="2546" t="s">
        <v>1336</v>
      </c>
      <c r="H47" s="2547"/>
      <c r="I47" s="159"/>
      <c r="J47" s="2523">
        <v>2</v>
      </c>
      <c r="K47" s="3648" t="s">
        <v>1337</v>
      </c>
      <c r="L47" s="3648"/>
      <c r="M47" s="3669">
        <f>'数据-取费表'!B2</f>
        <v>45874</v>
      </c>
      <c r="N47" s="3669"/>
      <c r="O47" s="3669"/>
    </row>
    <row r="48" spans="1:15" ht="25.5">
      <c r="A48" s="3617" t="s">
        <v>1338</v>
      </c>
      <c r="B48" s="3600"/>
      <c r="C48" s="360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8" t="s">
        <v>1340</v>
      </c>
      <c r="L48" s="3648"/>
      <c r="M48" s="3670">
        <f ca="1">H101</f>
        <v>247</v>
      </c>
      <c r="N48" s="3670"/>
      <c r="O48" s="3670"/>
    </row>
    <row r="49" spans="1:35" ht="25.5" customHeight="1">
      <c r="A49" s="2333" t="s">
        <v>1341</v>
      </c>
      <c r="B49" s="3584" t="s">
        <v>1342</v>
      </c>
      <c r="C49" s="3584"/>
      <c r="D49" s="1590">
        <v>0</v>
      </c>
      <c r="E49" s="324" t="s">
        <v>1343</v>
      </c>
      <c r="F49" s="2424" t="s">
        <v>28</v>
      </c>
      <c r="G49" s="3654"/>
      <c r="H49" s="2310" t="s">
        <v>2134</v>
      </c>
      <c r="I49" s="2311"/>
      <c r="J49" s="2523">
        <v>4</v>
      </c>
      <c r="K49" s="3648" t="str">
        <f>IF(项目基本情况!E8="房地产抵押价值","房地产抵押价值","抵押担保权已注销时的房地产抵押价值")</f>
        <v>房地产抵押价值</v>
      </c>
      <c r="L49" s="3648"/>
      <c r="M49" s="3670">
        <f ca="1">IF(项目基本情况!E8="房地产抵押价值",H107,H109)</f>
        <v>247</v>
      </c>
      <c r="N49" s="3670"/>
      <c r="O49" s="3670"/>
    </row>
    <row r="50" spans="1:35" ht="25.5" customHeight="1">
      <c r="A50" s="2551"/>
      <c r="B50" s="3584" t="s">
        <v>1344</v>
      </c>
      <c r="C50" s="3584"/>
      <c r="D50" s="2552"/>
      <c r="E50" s="332"/>
      <c r="F50" s="2424"/>
      <c r="G50" s="3655"/>
      <c r="H50" s="2312" t="s">
        <v>2135</v>
      </c>
      <c r="I50" s="2311"/>
      <c r="J50" s="3667" t="s">
        <v>1345</v>
      </c>
      <c r="K50" s="3667"/>
      <c r="L50" s="3667"/>
      <c r="M50" s="3667"/>
      <c r="N50" s="3667"/>
      <c r="O50" s="3667"/>
    </row>
    <row r="51" spans="1:35" ht="20.45" customHeight="1">
      <c r="A51" s="2553"/>
      <c r="B51" s="3584" t="s">
        <v>1346</v>
      </c>
      <c r="C51" s="3584"/>
      <c r="D51" s="1087"/>
      <c r="E51" s="327"/>
      <c r="F51" s="2424"/>
      <c r="G51" s="3656"/>
      <c r="H51" s="2312" t="s">
        <v>2136</v>
      </c>
      <c r="I51" s="2311"/>
      <c r="J51" s="2524" t="s">
        <v>1347</v>
      </c>
      <c r="K51" s="3648" t="s">
        <v>1348</v>
      </c>
      <c r="L51" s="3648"/>
      <c r="M51" s="2524" t="s">
        <v>1349</v>
      </c>
      <c r="N51" s="2524" t="s">
        <v>1350</v>
      </c>
      <c r="O51" s="2524" t="s">
        <v>1351</v>
      </c>
    </row>
    <row r="52" spans="1:35" ht="24" customHeight="1">
      <c r="A52" s="2335" t="s">
        <v>1352</v>
      </c>
      <c r="B52" s="3584" t="s">
        <v>1353</v>
      </c>
      <c r="C52" s="3584"/>
      <c r="D52" s="1087">
        <f ca="1">ROUND(D45*'数据-取费表'!B41/(1+'数据-取费表'!C42),0)</f>
        <v>13</v>
      </c>
      <c r="E52" s="2334" t="s">
        <v>1354</v>
      </c>
      <c r="F52" s="2554">
        <f>'数据-取费表'!B41</f>
        <v>5.6000000000000001E-2</v>
      </c>
      <c r="G52" s="2555"/>
      <c r="H52" s="2544"/>
      <c r="I52" s="1807"/>
      <c r="J52" s="2523">
        <v>1</v>
      </c>
      <c r="K52" s="3649" t="s">
        <v>1355</v>
      </c>
      <c r="L52" s="3649"/>
      <c r="M52" s="2525" t="b">
        <f>D48</f>
        <v>0</v>
      </c>
      <c r="N52" s="2523" t="str">
        <f>E48</f>
        <v>销售额×税（费）率</v>
      </c>
      <c r="O52" s="2526">
        <f>F48</f>
        <v>5.6000000000000001E-2</v>
      </c>
    </row>
    <row r="53" spans="1:35" ht="12" customHeight="1">
      <c r="A53" s="2335" t="s">
        <v>1356</v>
      </c>
      <c r="B53" s="3610" t="s">
        <v>2291</v>
      </c>
      <c r="C53" s="3611"/>
      <c r="D53" s="1087">
        <f ca="1">ROUND(D45*'数据-取费表'!B41/(1+'数据-取费表'!C42),0)</f>
        <v>13</v>
      </c>
      <c r="E53" s="2334" t="s">
        <v>1354</v>
      </c>
      <c r="F53" s="2554">
        <f>'数据-取费表'!B41</f>
        <v>5.6000000000000001E-2</v>
      </c>
      <c r="G53" s="2555"/>
      <c r="H53" s="2544"/>
      <c r="I53" s="1807"/>
      <c r="J53" s="2523">
        <v>2</v>
      </c>
      <c r="K53" s="3649" t="s">
        <v>1357</v>
      </c>
      <c r="L53" s="3649"/>
      <c r="M53" s="2525">
        <f t="shared" ref="M53:O54" ca="1" si="0">D55</f>
        <v>0</v>
      </c>
      <c r="N53" s="2523" t="str">
        <f t="shared" si="0"/>
        <v>销售额×税（费）率</v>
      </c>
      <c r="O53" s="2526" t="str">
        <f t="shared" si="0"/>
        <v>免征</v>
      </c>
    </row>
    <row r="54" spans="1:35" ht="12" customHeight="1">
      <c r="A54" s="2335" t="s">
        <v>1358</v>
      </c>
      <c r="B54" s="3610" t="s">
        <v>2292</v>
      </c>
      <c r="C54" s="3611"/>
      <c r="D54" s="1087">
        <f ca="1">C68</f>
        <v>13</v>
      </c>
      <c r="E54" s="327" t="s">
        <v>1359</v>
      </c>
      <c r="F54" s="2554">
        <f>'数据-取费表'!B41</f>
        <v>5.6000000000000001E-2</v>
      </c>
      <c r="G54" s="2555"/>
      <c r="H54" s="2556"/>
      <c r="I54" s="1807"/>
      <c r="J54" s="2523">
        <v>3</v>
      </c>
      <c r="K54" s="3649" t="s">
        <v>1360</v>
      </c>
      <c r="L54" s="3649"/>
      <c r="M54" s="2525">
        <f t="shared" ca="1" si="0"/>
        <v>140</v>
      </c>
      <c r="N54" s="2523" t="str">
        <f t="shared" si="0"/>
        <v>增值额×税（费）率</v>
      </c>
      <c r="O54" s="2527" t="str">
        <f t="shared" si="0"/>
        <v>免征</v>
      </c>
    </row>
    <row r="55" spans="1:35" ht="24" customHeight="1">
      <c r="A55" s="3599" t="s">
        <v>1361</v>
      </c>
      <c r="B55" s="3600"/>
      <c r="C55" s="3600"/>
      <c r="D55" s="2324">
        <f ca="1">IF(H55="个人住宅",0,ROUND(D45*I55,0))</f>
        <v>0</v>
      </c>
      <c r="E55" s="2334" t="s">
        <v>1362</v>
      </c>
      <c r="F55" s="2554" t="str">
        <f>IF(H55="正常",I55,"免征")</f>
        <v>免征</v>
      </c>
      <c r="G55" s="2555"/>
      <c r="H55" s="2550"/>
      <c r="I55" s="165">
        <f>'数据-取费表'!B49</f>
        <v>5.0000000000000001E-4</v>
      </c>
      <c r="J55" s="2523">
        <f>IF(H59="非个人房产","",4)</f>
        <v>4</v>
      </c>
      <c r="K55" s="3649" t="str">
        <f>IF(H59="非个人房产","——","个人所得税")</f>
        <v>个人所得税</v>
      </c>
      <c r="L55" s="3649"/>
      <c r="M55" s="2528">
        <f ca="1">D59</f>
        <v>2</v>
      </c>
      <c r="N55" s="2040" t="str">
        <f>E59</f>
        <v>差额计税</v>
      </c>
      <c r="O55" s="2529">
        <f>F59</f>
        <v>0.01</v>
      </c>
    </row>
    <row r="56" spans="1:35" ht="24.75">
      <c r="A56" s="3599" t="s">
        <v>1363</v>
      </c>
      <c r="B56" s="3600"/>
      <c r="C56" s="3600"/>
      <c r="D56" s="2324">
        <f ca="1">IF(H56="个人住宅",D57,D58)</f>
        <v>140</v>
      </c>
      <c r="E56" s="2334" t="s">
        <v>1364</v>
      </c>
      <c r="F56" s="2554" t="str">
        <f>IF(H56="正常",F58,"免征")</f>
        <v>免征</v>
      </c>
      <c r="G56" s="2557" t="s">
        <v>1365</v>
      </c>
      <c r="H56" s="2558"/>
      <c r="I56" s="1808"/>
      <c r="J56" s="2523" t="str">
        <f>IF(项目基本情况!K6="上海银行",IF(J55="",4,J55+1),"")</f>
        <v/>
      </c>
      <c r="K56" s="3672" t="str">
        <f>IF(项目基本情况!K6="上海银行","其他处置费用","")</f>
        <v/>
      </c>
      <c r="L56" s="3673"/>
      <c r="M56" s="2525" t="str">
        <f>IF(项目基本情况!K6="上海银行",M69,"")</f>
        <v/>
      </c>
      <c r="N56" s="3672" t="str">
        <f>IF(项目基本情况!K6="上海银行","包含处置中涉及的律师、诉讼、拍卖、评估等费用","")</f>
        <v/>
      </c>
      <c r="O56" s="3675"/>
    </row>
    <row r="57" spans="1:35" ht="12.75">
      <c r="A57" s="2335" t="s">
        <v>1341</v>
      </c>
      <c r="B57" s="3610" t="s">
        <v>1366</v>
      </c>
      <c r="C57" s="3611"/>
      <c r="D57" s="1590">
        <v>0</v>
      </c>
      <c r="E57" s="324" t="s">
        <v>1343</v>
      </c>
      <c r="F57" s="302"/>
      <c r="G57" s="2555"/>
      <c r="H57" s="2559"/>
      <c r="I57" s="1808"/>
      <c r="J57" s="3649">
        <f>IF(AND(J55="",J56=""),4,IF(项目基本情况!K6="上海银行",结果表!J56+1,结果表!J55+1))</f>
        <v>5</v>
      </c>
      <c r="K57" s="3649" t="s">
        <v>1367</v>
      </c>
      <c r="L57" s="2530" t="s">
        <v>1368</v>
      </c>
      <c r="M57" s="2531"/>
      <c r="N57" s="2532">
        <f ca="1">SUMIF(M52:M56,"&lt;9e307")</f>
        <v>142</v>
      </c>
      <c r="O57" s="2533"/>
      <c r="P57" s="2689">
        <f ca="1">N57/M49</f>
        <v>0.5748987854251012</v>
      </c>
    </row>
    <row r="58" spans="1:35" ht="24.75">
      <c r="A58" s="2335" t="s">
        <v>1352</v>
      </c>
      <c r="B58" s="3610" t="s">
        <v>1369</v>
      </c>
      <c r="C58" s="3584"/>
      <c r="D58" s="2324">
        <f ca="1">IF(H58="转让取得",C81,C97)</f>
        <v>140</v>
      </c>
      <c r="E58" s="2334" t="s">
        <v>1364</v>
      </c>
      <c r="F58" s="302" t="s">
        <v>28</v>
      </c>
      <c r="G58" s="2555"/>
      <c r="H58" s="2558"/>
      <c r="I58" s="1808"/>
      <c r="J58" s="3649"/>
      <c r="K58" s="3649"/>
      <c r="L58" s="2530" t="s">
        <v>1370</v>
      </c>
      <c r="M58" s="2534"/>
      <c r="N58" s="2535" t="str">
        <f ca="1">NUMBERSTRING(INT(N57*10000),2)&amp;"元整"</f>
        <v>壹佰肆拾贰万元整</v>
      </c>
      <c r="O58" s="2536"/>
    </row>
    <row r="59" spans="1:35" ht="24.75" thickBot="1">
      <c r="A59" s="3652" t="s">
        <v>1371</v>
      </c>
      <c r="B59" s="3653"/>
      <c r="C59" s="3653"/>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0">
        <f>J57+1</f>
        <v>6</v>
      </c>
      <c r="K59" s="3649" t="s">
        <v>1372</v>
      </c>
      <c r="L59" s="2523" t="s">
        <v>1368</v>
      </c>
      <c r="M59" s="2537"/>
      <c r="N59" s="2538">
        <f ca="1">M49-N57</f>
        <v>105</v>
      </c>
      <c r="O59" s="2539"/>
    </row>
    <row r="60" spans="1:35" ht="12" customHeight="1">
      <c r="A60" s="1809"/>
      <c r="B60" s="1747"/>
      <c r="C60" s="1747"/>
      <c r="D60" s="1747"/>
      <c r="E60" s="1578"/>
      <c r="F60" s="1808"/>
      <c r="G60" s="1808"/>
      <c r="H60" s="1810"/>
      <c r="I60" s="129"/>
      <c r="J60" s="3651"/>
      <c r="K60" s="3649"/>
      <c r="L60" s="2530" t="s">
        <v>1370</v>
      </c>
      <c r="M60" s="2534"/>
      <c r="N60" s="2535" t="str">
        <f ca="1">NUMBERSTRING(INT(N59*10000),2)&amp;"元整"</f>
        <v>壹佰零伍万元整</v>
      </c>
      <c r="O60" s="2536"/>
    </row>
    <row r="61" spans="1:35" ht="13.5" thickBot="1">
      <c r="A61" s="3597" t="s">
        <v>1373</v>
      </c>
      <c r="B61" s="3597"/>
      <c r="C61" s="3597"/>
      <c r="D61" s="3597"/>
      <c r="E61" s="3597"/>
      <c r="F61" s="1808"/>
      <c r="G61" s="1808"/>
      <c r="H61" s="1810"/>
      <c r="I61" s="129"/>
      <c r="J61" s="2523">
        <f>J59+1</f>
        <v>7</v>
      </c>
      <c r="K61" s="3649" t="s">
        <v>1374</v>
      </c>
      <c r="L61" s="3649"/>
      <c r="M61" s="2540"/>
      <c r="N61" s="2541">
        <f ca="1">ROUND(N59*10000/'数据-汇总表'!E3,0)</f>
        <v>10698</v>
      </c>
      <c r="O61" s="2542"/>
    </row>
    <row r="62" spans="1:35" ht="12.75">
      <c r="A62" s="3615" t="s">
        <v>1375</v>
      </c>
      <c r="B62" s="3616"/>
      <c r="C62" s="2021"/>
      <c r="D62" s="2021" t="s">
        <v>1376</v>
      </c>
      <c r="E62" s="166" t="s">
        <v>1377</v>
      </c>
      <c r="F62" s="1808"/>
      <c r="G62" s="1808"/>
      <c r="H62" s="1810"/>
      <c r="I62" s="129"/>
    </row>
    <row r="63" spans="1:35" ht="12.75">
      <c r="A63" s="173" t="s">
        <v>330</v>
      </c>
      <c r="B63" s="167" t="s">
        <v>1378</v>
      </c>
      <c r="C63" s="2564">
        <f ca="1">ROUND((C64+C65)/(1+'数据-取费表'!C42),0)</f>
        <v>235</v>
      </c>
      <c r="D63" s="167"/>
      <c r="E63" s="168"/>
      <c r="F63" s="1808"/>
      <c r="G63" s="1808"/>
      <c r="H63" s="1810"/>
      <c r="I63" s="129"/>
      <c r="J63" s="3674" t="s">
        <v>1379</v>
      </c>
      <c r="K63" s="1332" t="s">
        <v>1380</v>
      </c>
      <c r="L63" s="1332">
        <f ca="1">IF(M49&gt;10000,M49*0.5%,IF(AND(M49&gt;1000,M49&lt;=10000),M49*1%,IF(AND(M49&gt;100,M49&lt;=1000),M49*3%,IF(AND(M49&gt;10,M49&lt;=100),M49*5%,M49*8%))))</f>
        <v>7.41</v>
      </c>
      <c r="M63" s="302">
        <f ca="1">ROUND(L63,1)</f>
        <v>7.4</v>
      </c>
      <c r="N63" s="2543"/>
      <c r="Z63" s="1752"/>
      <c r="AI63" s="1753"/>
    </row>
    <row r="64" spans="1:35" ht="14.25" customHeight="1">
      <c r="A64" s="169" t="s">
        <v>325</v>
      </c>
      <c r="B64" s="170" t="s">
        <v>1381</v>
      </c>
      <c r="C64" s="2565">
        <f ca="1">D45</f>
        <v>247</v>
      </c>
      <c r="D64" s="170" t="s">
        <v>26</v>
      </c>
      <c r="E64" s="172"/>
      <c r="F64" s="1808"/>
      <c r="G64" s="1808"/>
      <c r="H64" s="1810"/>
      <c r="I64" s="129"/>
      <c r="J64" s="3674"/>
      <c r="K64" s="1332" t="s">
        <v>1382</v>
      </c>
      <c r="L64" s="1332">
        <f ca="1">IF(M49&gt;2000,M49*0.5%,IF(AND(M49&gt;1000,M49&lt;=2000),M49*0.6%,IF(AND(M49&gt;500,M49&lt;=1000),M49*0.7%,IF(AND(M49&gt;200,M49&lt;=500),M49*0.8%,IF(AND(M49&gt;100,M49&lt;=200),M49*0.9%,IF(AND(M49&gt;50,M49&lt;=100),M49*1%,IF(AND(M49&gt;20,M49&lt;=50),M49*1.5%,IF(AND(M49&gt;10,M49&lt;=20),M49*2%,IF(AND(M49&gt;1,M49&lt;=10),M49*2.5%)))))))))</f>
        <v>1.976</v>
      </c>
      <c r="M64" s="302">
        <f t="shared" ref="M64:M65" ca="1" si="1">ROUND(L64,1)</f>
        <v>2</v>
      </c>
      <c r="N64" s="2544" t="s">
        <v>1383</v>
      </c>
      <c r="Z64" s="1752"/>
      <c r="AI64" s="1753"/>
    </row>
    <row r="65" spans="1:35" ht="14.25" customHeight="1">
      <c r="A65" s="169" t="s">
        <v>326</v>
      </c>
      <c r="B65" s="170" t="s">
        <v>1384</v>
      </c>
      <c r="C65" s="2566"/>
      <c r="D65" s="170"/>
      <c r="E65" s="172"/>
      <c r="F65" s="1808"/>
      <c r="G65" s="1808"/>
      <c r="H65" s="1810"/>
      <c r="I65" s="129"/>
      <c r="J65" s="3674"/>
      <c r="K65" s="1332" t="s">
        <v>1385</v>
      </c>
      <c r="L65" s="1332">
        <f ca="1">IF(M49&gt;1000,M49*0.1%,IF(AND(M49&gt;500,M49&lt;=1000),M49*0.5%,IF(AND(M49&gt;50,M49&lt;=500),M49*1%,IF(AND(M49&gt;1,M49&lt;=50),M49*1.5%))))</f>
        <v>2.4700000000000002</v>
      </c>
      <c r="M65" s="302">
        <f t="shared" ca="1" si="1"/>
        <v>2.5</v>
      </c>
      <c r="N65" s="2544" t="s">
        <v>1383</v>
      </c>
      <c r="Z65" s="1752"/>
      <c r="AI65" s="1753"/>
    </row>
    <row r="66" spans="1:35" ht="14.25" customHeight="1">
      <c r="A66" s="173" t="s">
        <v>327</v>
      </c>
      <c r="B66" s="174" t="s">
        <v>1386</v>
      </c>
      <c r="C66" s="2567"/>
      <c r="D66" s="174" t="s">
        <v>26</v>
      </c>
      <c r="E66" s="1338" t="s">
        <v>671</v>
      </c>
      <c r="F66" s="1808"/>
      <c r="G66" s="1808"/>
      <c r="H66" s="1810"/>
      <c r="I66" s="129"/>
      <c r="J66" s="3674"/>
      <c r="K66" s="1332" t="s">
        <v>1387</v>
      </c>
      <c r="L66" s="1332">
        <f ca="1">M49*0.5%</f>
        <v>1.2350000000000001</v>
      </c>
      <c r="M66" s="302">
        <f ca="1">IF(L66&gt;0.5,0.5,ROUND(L66,0))</f>
        <v>0.5</v>
      </c>
      <c r="N66" s="2544" t="s">
        <v>1388</v>
      </c>
      <c r="Z66" s="1752"/>
      <c r="AI66" s="1753"/>
    </row>
    <row r="67" spans="1:35" ht="14.25" customHeight="1">
      <c r="A67" s="173" t="s">
        <v>328</v>
      </c>
      <c r="B67" s="174" t="s">
        <v>1389</v>
      </c>
      <c r="C67" s="2568">
        <f ca="1">C63-C66</f>
        <v>235</v>
      </c>
      <c r="D67" s="170" t="s">
        <v>26</v>
      </c>
      <c r="E67" s="172"/>
      <c r="F67" s="1808"/>
      <c r="G67" s="1808"/>
      <c r="H67" s="1810"/>
      <c r="I67" s="129"/>
      <c r="J67" s="3674"/>
      <c r="K67" s="1332" t="s">
        <v>1390</v>
      </c>
      <c r="L67" s="1332">
        <f ca="1">IF(M49&gt;=10000,(8.25+(M49-10000)*0.01%),IF(AND(M49&gt;=8000,M49&lt;10000),(7.85+(M49-8000)*0.02%),IF(AND(M49&gt;=5000,M49&lt;8000),(6.65+(M49-5000)*0.04%),IF(AND(M49&gt;=2000,M49&lt;5000),(4.25+(PM49-2000)*0.08%),IF(AND(M49&gt;=1000,M49&lt;2000),(2.75+(M49-1000)*0.15%),IF(AND(M49&gt;=100,M49&lt;1000),(0.5+(M49-100)*0.25%),IF(AND(M49&gt;0,M49&lt;100),M49*0.5%)))))))</f>
        <v>0.86749999999999994</v>
      </c>
      <c r="M67" s="302">
        <f ca="1">ROUND(L67*0.9,1)</f>
        <v>0.8</v>
      </c>
      <c r="N67" s="2543"/>
      <c r="Z67" s="1752"/>
      <c r="AI67" s="1753"/>
    </row>
    <row r="68" spans="1:35" ht="14.25" customHeight="1" thickBot="1">
      <c r="A68" s="176" t="s">
        <v>329</v>
      </c>
      <c r="B68" s="177" t="s">
        <v>1391</v>
      </c>
      <c r="C68" s="2569">
        <f ca="1">IF(C67&lt;=0,0,ROUND(C67*D68,0))</f>
        <v>13</v>
      </c>
      <c r="D68" s="2570">
        <f>'数据-取费表'!B41</f>
        <v>5.6000000000000001E-2</v>
      </c>
      <c r="E68" s="178"/>
      <c r="F68" s="1808"/>
      <c r="G68" s="1808"/>
      <c r="H68" s="1810"/>
      <c r="I68" s="129"/>
      <c r="J68" s="3674"/>
      <c r="K68" s="1332" t="s">
        <v>1392</v>
      </c>
      <c r="L68" s="1332">
        <f ca="1">IF(M49&gt;10000,M49*0.5%,IF(AND(M49&gt;5000,M49&lt;=10000),M49*1%,IF(AND(M49&gt;1000,M49&lt;=5000),M49*2%,IF(AND(M49&gt;200,M49&lt;=1000),M49*3%,M49*5%))))</f>
        <v>7.41</v>
      </c>
      <c r="M68" s="302">
        <f ca="1">ROUND(L68,1)</f>
        <v>7.4</v>
      </c>
      <c r="N68" s="2543"/>
      <c r="Z68" s="1752"/>
      <c r="AI68" s="1753"/>
    </row>
    <row r="69" spans="1:35" s="1772" customFormat="1" ht="16.5" customHeight="1">
      <c r="A69" s="1811"/>
      <c r="B69" s="1812"/>
      <c r="C69" s="1813"/>
      <c r="D69" s="1814"/>
      <c r="E69" s="1815"/>
      <c r="F69" s="1578"/>
      <c r="G69" s="1578"/>
      <c r="H69" s="1577"/>
      <c r="I69" s="1747"/>
      <c r="J69" s="3674"/>
      <c r="K69" s="1332" t="s">
        <v>1393</v>
      </c>
      <c r="L69" s="1332"/>
      <c r="M69" s="302">
        <f ca="1">ROUND(SUM(M63:M68),0)</f>
        <v>21</v>
      </c>
      <c r="N69" s="2545">
        <f ca="1">M69/M49</f>
        <v>8.5020242914979755E-2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6" t="s">
        <v>1394</v>
      </c>
      <c r="B70" s="3637"/>
      <c r="C70" s="3637"/>
      <c r="D70" s="3637"/>
      <c r="E70" s="3637"/>
      <c r="F70" s="3637"/>
      <c r="G70" s="3637"/>
      <c r="H70" s="363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1375</v>
      </c>
      <c r="B71" s="361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235</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0" t="s">
        <v>1402</v>
      </c>
      <c r="F76" s="3584"/>
      <c r="G76" s="3584"/>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94" t="s">
        <v>1406</v>
      </c>
      <c r="F78" s="3595"/>
      <c r="G78" s="3595"/>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6" t="s">
        <v>2129</v>
      </c>
      <c r="H90" s="367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4" t="s">
        <v>1422</v>
      </c>
      <c r="F92" s="3595"/>
      <c r="G92" s="3595"/>
      <c r="H92" s="360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94" t="s">
        <v>1406</v>
      </c>
      <c r="F93" s="3595"/>
      <c r="G93" s="3595"/>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5" t="s">
        <v>1426</v>
      </c>
      <c r="F94" s="3606"/>
      <c r="G94" s="3606"/>
      <c r="H94" s="360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8" t="s">
        <v>1428</v>
      </c>
      <c r="B100" s="3579"/>
      <c r="C100" s="3579"/>
      <c r="D100" s="3596"/>
      <c r="E100" s="3579" t="s">
        <v>1429</v>
      </c>
      <c r="F100" s="3579"/>
      <c r="G100" s="3579"/>
      <c r="H100" s="3596"/>
      <c r="I100" s="129"/>
    </row>
    <row r="101" spans="1:35" ht="18.75" customHeight="1">
      <c r="A101" s="3657" t="s">
        <v>1430</v>
      </c>
      <c r="B101" s="3658"/>
      <c r="C101" s="2585" t="str">
        <f>C4</f>
        <v>比较法-办公</v>
      </c>
      <c r="D101" s="2586" t="str">
        <f>D4</f>
        <v>收益法 (元)</v>
      </c>
      <c r="E101" s="3671" t="s">
        <v>1431</v>
      </c>
      <c r="F101" s="3628"/>
      <c r="G101" s="1827" t="s">
        <v>1432</v>
      </c>
      <c r="H101" s="2595">
        <f ca="1">H118</f>
        <v>247</v>
      </c>
      <c r="I101" s="129"/>
    </row>
    <row r="102" spans="1:35" ht="18.75" customHeight="1">
      <c r="A102" s="3630" t="s">
        <v>1433</v>
      </c>
      <c r="B102" s="2584" t="s">
        <v>1432</v>
      </c>
      <c r="C102" s="2585">
        <f ca="1">IF(D32="楼面单价",ROUND(C19,0),C19)</f>
        <v>320</v>
      </c>
      <c r="D102" s="2586">
        <f ca="1">IF(D32="楼面单价",ROUND(D19,0),D19)</f>
        <v>138</v>
      </c>
      <c r="E102" s="3671"/>
      <c r="F102" s="3628"/>
      <c r="G102" s="1827" t="s">
        <v>1434</v>
      </c>
      <c r="H102" s="2555">
        <f ca="1">I118</f>
        <v>25212</v>
      </c>
      <c r="I102" s="129"/>
    </row>
    <row r="103" spans="1:35" ht="42.75" customHeight="1">
      <c r="A103" s="3630"/>
      <c r="B103" s="2584" t="s">
        <v>1434</v>
      </c>
      <c r="C103" s="2587">
        <f ca="1">C20</f>
        <v>32650</v>
      </c>
      <c r="D103" s="2588">
        <f ca="1">D20</f>
        <v>14056</v>
      </c>
      <c r="E103" s="3665" t="s">
        <v>1435</v>
      </c>
      <c r="F103" s="3666"/>
      <c r="G103" s="1828" t="s">
        <v>1436</v>
      </c>
      <c r="H103" s="2595">
        <f>IF(D36="正常操作",H104+H105+H106,H105+H106)</f>
        <v>0</v>
      </c>
      <c r="I103" s="129"/>
    </row>
    <row r="104" spans="1:35" ht="18.75" customHeight="1">
      <c r="A104" s="3630" t="s">
        <v>1437</v>
      </c>
      <c r="B104" s="2589" t="s">
        <v>1432</v>
      </c>
      <c r="C104" s="2590">
        <f ca="1">H118</f>
        <v>247</v>
      </c>
      <c r="D104" s="2591"/>
      <c r="E104" s="1674" t="s">
        <v>1438</v>
      </c>
      <c r="F104" s="1666"/>
      <c r="G104" s="1828" t="s">
        <v>1436</v>
      </c>
      <c r="H104" s="2596">
        <f>IF(D36="同一抵押权人同一抵押物续贷",C36&amp;"（续贷，未扣减，详见特别提示）",C36)</f>
        <v>0</v>
      </c>
      <c r="I104" s="129"/>
    </row>
    <row r="105" spans="1:35" ht="18.75" customHeight="1" thickBot="1">
      <c r="A105" s="3631"/>
      <c r="B105" s="2592" t="s">
        <v>1434</v>
      </c>
      <c r="C105" s="2593">
        <f ca="1">I118</f>
        <v>25212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7" t="str">
        <f>IF(项目基本情况!E8="已注销","——","3.房地产抵押价值")</f>
        <v>3.房地产抵押价值</v>
      </c>
      <c r="F107" s="3628"/>
      <c r="G107" s="1827" t="s">
        <v>1432</v>
      </c>
      <c r="H107" s="2595">
        <f ca="1">IF(E107="——","——",H101-H103)</f>
        <v>247</v>
      </c>
      <c r="I107" s="129"/>
    </row>
    <row r="108" spans="1:35" ht="18.75" customHeight="1">
      <c r="A108" s="129"/>
      <c r="B108" s="129"/>
      <c r="C108" s="129"/>
      <c r="D108" s="129"/>
      <c r="E108" s="3627"/>
      <c r="F108" s="3628"/>
      <c r="G108" s="1827" t="s">
        <v>1434</v>
      </c>
      <c r="H108" s="2555">
        <f ca="1">IF(H107=H101,H102,ROUND(H107*10000/'数据-汇总表'!E3,0))</f>
        <v>25212</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7" t="s">
        <v>1432</v>
      </c>
      <c r="H109" s="2598" t="str">
        <f>IF(E109="——","——",H101-H105-H106)</f>
        <v>——</v>
      </c>
      <c r="I109" s="129"/>
    </row>
    <row r="110" spans="1:35" ht="18.75" customHeight="1">
      <c r="A110" s="129"/>
      <c r="B110" s="129"/>
      <c r="C110" s="129"/>
      <c r="D110" s="129"/>
      <c r="E110" s="3627"/>
      <c r="F110" s="3628"/>
      <c r="G110" s="1827" t="s">
        <v>1434</v>
      </c>
      <c r="H110" s="2555"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7" t="s">
        <v>1432</v>
      </c>
      <c r="H111" s="2595" t="str">
        <f>IF(E111="——","——",N59)</f>
        <v>——</v>
      </c>
      <c r="I111" s="129"/>
    </row>
    <row r="112" spans="1:35" ht="18.75" customHeight="1" thickBot="1">
      <c r="A112" s="129"/>
      <c r="B112" s="129"/>
      <c r="C112" s="129"/>
      <c r="D112" s="129"/>
      <c r="E112" s="3660"/>
      <c r="F112" s="3661"/>
      <c r="G112" s="1830" t="s">
        <v>1434</v>
      </c>
      <c r="H112" s="2599" t="str">
        <f>IF(E111="——","——",N61)</f>
        <v>——</v>
      </c>
      <c r="I112" s="129"/>
    </row>
    <row r="113" spans="1:27" ht="18.75" customHeight="1">
      <c r="A113" s="129"/>
      <c r="B113" s="129"/>
      <c r="C113" s="129"/>
      <c r="D113" s="129"/>
      <c r="E113" s="3632" t="s">
        <v>1440</v>
      </c>
      <c r="F113" s="3632"/>
      <c r="G113" s="3632"/>
      <c r="H113" s="3632"/>
      <c r="I113" s="129"/>
    </row>
    <row r="114" spans="1:27" ht="3.75" customHeight="1">
      <c r="A114" s="1747"/>
      <c r="B114" s="1747"/>
      <c r="C114" s="1747"/>
      <c r="D114" s="1747"/>
      <c r="E114" s="1809"/>
      <c r="F114" s="1809"/>
      <c r="G114" s="1809"/>
      <c r="H114" s="1809"/>
      <c r="I114" s="1747"/>
    </row>
    <row r="115" spans="1:27" ht="18.75" customHeight="1">
      <c r="A115" s="3642" t="s">
        <v>1442</v>
      </c>
      <c r="B115" s="3643"/>
      <c r="C115" s="3643"/>
      <c r="D115" s="3643"/>
      <c r="E115" s="3643"/>
      <c r="F115" s="3643"/>
      <c r="G115" s="3643"/>
      <c r="H115" s="3643"/>
      <c r="I115" s="3644"/>
    </row>
    <row r="116" spans="1:27" ht="27" customHeight="1">
      <c r="A116" s="3598" t="s">
        <v>1443</v>
      </c>
      <c r="B116" s="3633" t="s">
        <v>1444</v>
      </c>
      <c r="C116" s="3633" t="s">
        <v>1445</v>
      </c>
      <c r="D116" s="3646" t="s">
        <v>1446</v>
      </c>
      <c r="E116" s="3647"/>
      <c r="F116" s="3641" t="s">
        <v>1447</v>
      </c>
      <c r="G116" s="3641"/>
      <c r="H116" s="3598" t="s">
        <v>1448</v>
      </c>
      <c r="I116" s="3598"/>
    </row>
    <row r="117" spans="1:27" ht="18.75" customHeight="1">
      <c r="A117" s="3598"/>
      <c r="B117" s="3634"/>
      <c r="C117" s="3634"/>
      <c r="D117" s="2329" t="s">
        <v>1449</v>
      </c>
      <c r="E117" s="2329" t="s">
        <v>1450</v>
      </c>
      <c r="F117" s="2329" t="s">
        <v>1449</v>
      </c>
      <c r="G117" s="2329" t="s">
        <v>1451</v>
      </c>
      <c r="H117" s="2329" t="s">
        <v>1449</v>
      </c>
      <c r="I117" s="2329" t="s">
        <v>1451</v>
      </c>
    </row>
    <row r="118" spans="1:27" ht="24.75" customHeight="1">
      <c r="A118" s="2600" t="str">
        <f>项目基本情况!S2</f>
        <v>北京市朝阳区慧忠路5号12层C1201、C1202、C1203、C1205、C1206共5套办公用房房地产</v>
      </c>
      <c r="B118" s="2329">
        <f>M18</f>
        <v>98.15</v>
      </c>
      <c r="C118" s="2329">
        <f>M19</f>
        <v>0</v>
      </c>
      <c r="D118" s="2329">
        <f ca="1">ROUND(IF(D32="总价",C34,E118*B118/10000),0)</f>
        <v>143</v>
      </c>
      <c r="E118" s="2329">
        <f ca="1">ROUND(IF(C33="自定义",IF(D32="楼面单价",C34,D118*10000/B118),I118-G118),0)</f>
        <v>14522</v>
      </c>
      <c r="F118" s="2329">
        <f ca="1">ROUND(IF(D32="总价",C35,G118*B118/10000),0)</f>
        <v>105</v>
      </c>
      <c r="G118" s="2329">
        <f ca="1">ROUND(IF(D32="楼面单价",C35,F118*10000/B118),0)</f>
        <v>10690</v>
      </c>
      <c r="H118" s="2329">
        <f ca="1">ROUND(IF(D32="总价",C32,I118*B118/10000),0)</f>
        <v>247</v>
      </c>
      <c r="I118" s="2329">
        <f ca="1">ROUND(IF(D32="楼面单价",C32,H118*10000/B118),0)</f>
        <v>25212</v>
      </c>
    </row>
    <row r="119" spans="1:27" ht="18.75" customHeight="1">
      <c r="A119" s="3598" t="s">
        <v>1452</v>
      </c>
      <c r="B119" s="3598"/>
      <c r="C119" s="3598"/>
      <c r="D119" s="3638" t="str">
        <f ca="1">NUMBERSTRING(INT(D118*10000),2)&amp;"元整"</f>
        <v>壹佰肆拾叁万元整</v>
      </c>
      <c r="E119" s="3640"/>
      <c r="F119" s="3638" t="str">
        <f ca="1">NUMBERSTRING(INT(F118*10000),2)&amp;"元整"</f>
        <v>壹佰零伍万元整</v>
      </c>
      <c r="G119" s="3640"/>
      <c r="H119" s="3638" t="str">
        <f ca="1">NUMBERSTRING(INT(H118*10000),2)&amp;"元整"</f>
        <v>贰佰肆拾柒万元整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8" t="s">
        <v>1452</v>
      </c>
      <c r="B121" s="3639"/>
      <c r="C121" s="3640"/>
      <c r="D121" s="3638" t="str">
        <f>IF(D120=0,"零元整",NUMBERSTRING(INT(D120*10000),2)&amp;"元整")</f>
        <v>零元整</v>
      </c>
      <c r="E121" s="3639"/>
      <c r="F121" s="3639"/>
      <c r="G121" s="3639"/>
      <c r="H121" s="3639"/>
      <c r="I121" s="3640"/>
      <c r="AA121" s="725"/>
    </row>
    <row r="122" spans="1:27" ht="18.75" customHeight="1">
      <c r="A122" s="3629" t="str">
        <f>IF(项目基本情况!B9="房地产市场价值","",MID(E107,3,LEN(E107)-2))</f>
        <v>房地产抵押价值</v>
      </c>
      <c r="B122" s="3629"/>
      <c r="C122" s="3629"/>
      <c r="D122" s="3662">
        <f ca="1">H107</f>
        <v>247</v>
      </c>
      <c r="E122" s="3663"/>
      <c r="F122" s="3663"/>
      <c r="G122" s="3663"/>
      <c r="H122" s="3663"/>
      <c r="I122" s="3664"/>
      <c r="AA122" s="725"/>
    </row>
    <row r="123" spans="1:27" ht="18.75" customHeight="1">
      <c r="A123" s="3598" t="s">
        <v>1452</v>
      </c>
      <c r="B123" s="3598"/>
      <c r="C123" s="3598"/>
      <c r="D123" s="3638" t="str">
        <f ca="1">NUMBERSTRING(INT(D122*10000),2)&amp;"元整"</f>
        <v>贰佰肆拾柒万元整</v>
      </c>
      <c r="E123" s="3639"/>
      <c r="F123" s="3639"/>
      <c r="G123" s="3639"/>
      <c r="H123" s="3639"/>
      <c r="I123" s="3640"/>
      <c r="AA123" s="725"/>
    </row>
    <row r="124" spans="1:27" ht="18.75" customHeight="1">
      <c r="A124" s="3629" t="str">
        <f>IF(项目基本情况!B9="房地产市场价值","",MID(E109,3,LEN(E109)-2))</f>
        <v/>
      </c>
      <c r="B124" s="3629"/>
      <c r="C124" s="3629"/>
      <c r="D124" s="3662" t="str">
        <f>H109</f>
        <v>——</v>
      </c>
      <c r="E124" s="3663"/>
      <c r="F124" s="3663"/>
      <c r="G124" s="3663"/>
      <c r="H124" s="3663"/>
      <c r="I124" s="3664"/>
      <c r="AA124" s="725"/>
    </row>
    <row r="125" spans="1:27" ht="18.75" customHeight="1">
      <c r="A125" s="3598" t="s">
        <v>1452</v>
      </c>
      <c r="B125" s="3598"/>
      <c r="C125" s="3598"/>
      <c r="D125" s="3638" t="e">
        <f>NUMBERSTRING(INT(D124*10000),2)&amp;"元整"</f>
        <v>#VALUE!</v>
      </c>
      <c r="E125" s="3639"/>
      <c r="F125" s="3639"/>
      <c r="G125" s="3639"/>
      <c r="H125" s="3639"/>
      <c r="I125" s="3640"/>
      <c r="AA125" s="725"/>
    </row>
    <row r="126" spans="1:27" ht="18.75" customHeight="1">
      <c r="A126" s="3629" t="str">
        <f>IF(项目基本情况!B9="房地产市场价值","",MID(E111,3,LEN(E111)-2))</f>
        <v/>
      </c>
      <c r="B126" s="3629"/>
      <c r="C126" s="3629"/>
      <c r="D126" s="3662" t="str">
        <f>H111</f>
        <v>——</v>
      </c>
      <c r="E126" s="3663"/>
      <c r="F126" s="3663"/>
      <c r="G126" s="3663"/>
      <c r="H126" s="3663"/>
      <c r="I126" s="3664"/>
      <c r="AA126" s="725"/>
    </row>
    <row r="127" spans="1:27" ht="18.75" customHeight="1">
      <c r="A127" s="3598" t="s">
        <v>1452</v>
      </c>
      <c r="B127" s="3598"/>
      <c r="C127" s="3598"/>
      <c r="D127" s="3638" t="e">
        <f>NUMBERSTRING(INT(D126*10000),2)&amp;"元整"</f>
        <v>#VALUE!</v>
      </c>
      <c r="E127" s="3639"/>
      <c r="F127" s="3639"/>
      <c r="G127" s="3639"/>
      <c r="H127" s="3639"/>
      <c r="I127" s="3640"/>
      <c r="AA127" s="725"/>
    </row>
    <row r="128" spans="1:27" ht="21.75" customHeight="1">
      <c r="A128" s="3645" t="s">
        <v>1453</v>
      </c>
      <c r="B128" s="3645"/>
      <c r="C128" s="3645"/>
      <c r="D128" s="3645"/>
      <c r="E128" s="3645"/>
      <c r="F128" s="3645"/>
      <c r="G128" s="3645"/>
      <c r="H128" s="3645"/>
      <c r="I128" s="364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98.15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98.15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98.15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8" t="s">
        <v>1544</v>
      </c>
    </row>
    <row r="43" spans="1:7" ht="13.5" customHeight="1">
      <c r="A43" s="780" t="s">
        <v>347</v>
      </c>
      <c r="B43" s="215" t="s">
        <v>1545</v>
      </c>
      <c r="C43" s="238">
        <f ca="1">ROUND(IF('数据-取费表'!B22&lt;=1,C39*F22*'数据-取费表'!B21/2,C39*(POWER((1+F22),'数据-取费表'!B21/2)-1)),0)</f>
        <v>0</v>
      </c>
      <c r="D43" s="238"/>
      <c r="E43" s="238"/>
      <c r="F43" s="239"/>
      <c r="G43" s="3679"/>
    </row>
    <row r="44" spans="1:7" ht="13.5" customHeight="1">
      <c r="A44" s="780" t="s">
        <v>348</v>
      </c>
      <c r="B44" s="215" t="s">
        <v>1546</v>
      </c>
      <c r="C44" s="238">
        <f ca="1">ROUND(IF('数据-取费表'!B22&lt;=1,C40*F22*'数据-取费表'!B21/2,C40*(POWER((1+F22),'数据-取费表'!B21/2)-1)),4)</f>
        <v>5.9999999999999995E-4</v>
      </c>
      <c r="D44" s="238"/>
      <c r="E44" s="238"/>
      <c r="F44" s="239"/>
      <c r="G44" s="3680"/>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79</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f ca="1">C31+C51</f>
        <v>57</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北京市朝阳区慧忠路5号12层C1201、C1202、C1203、C1205、C1206共5套办公用房房地产抵押价值预评估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59.5593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6068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19630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19630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19630</v>
      </c>
      <c r="D10" s="845">
        <f ca="1">IF(B1="",'数据-汇总表'!E6,IF(INDIRECT("'数据-取费表'!c"&amp;$G$1)="住宅",INDIRECT("'数据-取费表'!s"&amp;$G$1),INDIRECT("'数据-取费表'!k"&amp;$G$1)+INDIRECT("'数据-取费表'!s"&amp;$G$1)))</f>
        <v>98.15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19630</v>
      </c>
      <c r="D19" s="849">
        <f ca="1">D9+D10</f>
        <v>98.15</v>
      </c>
      <c r="E19" s="211">
        <f>'数据-取费表'!B31</f>
        <v>200</v>
      </c>
      <c r="F19" s="231"/>
      <c r="G19" s="1856"/>
    </row>
    <row r="20" spans="1:7" s="214" customFormat="1" ht="13.5" customHeight="1">
      <c r="A20" s="255" t="s">
        <v>1574</v>
      </c>
      <c r="B20" s="210" t="s">
        <v>1575</v>
      </c>
      <c r="C20" s="232">
        <f ca="1">ROUND((C5+C19)*F20,0)</f>
        <v>1178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2425</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1195</v>
      </c>
      <c r="D24" s="238"/>
      <c r="E24" s="238"/>
      <c r="F24" s="239"/>
      <c r="G24" s="240" t="s">
        <v>1586</v>
      </c>
    </row>
    <row r="25" spans="1:7" s="214" customFormat="1" ht="24">
      <c r="A25" s="780" t="s">
        <v>1476</v>
      </c>
      <c r="B25" s="215" t="s">
        <v>1587</v>
      </c>
      <c r="C25" s="1128">
        <f ca="1">ROUND(IF('数据-取费表'!B22&lt;=1,C20*F22*'数据-取费表'!B22/2,C20*(POWER((1+F22),'数据-取费表'!B22/2)-1)),0)</f>
        <v>35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6066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53005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597243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539825</v>
      </c>
      <c r="D34" s="217"/>
      <c r="E34" s="220"/>
      <c r="F34" s="257"/>
      <c r="G34" s="219"/>
    </row>
    <row r="35" spans="1:7" ht="13.5" customHeight="1">
      <c r="A35" s="780" t="s">
        <v>351</v>
      </c>
      <c r="B35" s="215" t="s">
        <v>1527</v>
      </c>
      <c r="C35" s="220">
        <f ca="1">ROUND(C34*F35,0)</f>
        <v>26991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19630</v>
      </c>
      <c r="D37" s="217">
        <f ca="1">D19</f>
        <v>98.15</v>
      </c>
      <c r="E37" s="249">
        <f>'数据-取费表'!B35</f>
        <v>200</v>
      </c>
      <c r="F37" s="259"/>
      <c r="G37" s="261"/>
    </row>
    <row r="38" spans="1:7" ht="13.5" customHeight="1">
      <c r="A38" s="780" t="s">
        <v>354</v>
      </c>
      <c r="B38" s="215" t="s">
        <v>1533</v>
      </c>
      <c r="C38" s="220">
        <f ca="1">ROUND(C34*F38,0)</f>
        <v>10797</v>
      </c>
      <c r="D38" s="220"/>
      <c r="E38" s="220"/>
      <c r="F38" s="259">
        <f>'数据-取费表'!B36</f>
        <v>0.02</v>
      </c>
      <c r="G38" s="219" t="s">
        <v>1528</v>
      </c>
    </row>
    <row r="39" spans="1:7" s="214" customFormat="1" ht="13.5" customHeight="1">
      <c r="A39" s="255" t="s">
        <v>1534</v>
      </c>
      <c r="B39" s="210" t="s">
        <v>1535</v>
      </c>
      <c r="C39" s="232">
        <f ca="1">ROUND(C33*F20,0)</f>
        <v>17917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18455</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17917</v>
      </c>
      <c r="D42" s="238"/>
      <c r="E42" s="238"/>
      <c r="F42" s="239"/>
      <c r="G42" s="3678" t="s">
        <v>1591</v>
      </c>
    </row>
    <row r="43" spans="1:7" ht="13.5" customHeight="1">
      <c r="A43" s="780" t="s">
        <v>347</v>
      </c>
      <c r="B43" s="215" t="s">
        <v>1545</v>
      </c>
      <c r="C43" s="238">
        <f ca="1">ROUND(IF('数据-取费表'!B22&lt;=1,C39*F22*'数据-取费表'!B20/2,C39*(POWER((1+F22),'数据-取费表'!B20/2)-1)),0)</f>
        <v>538</v>
      </c>
      <c r="D43" s="238"/>
      <c r="E43" s="238"/>
      <c r="F43" s="239"/>
      <c r="G43" s="3679"/>
    </row>
    <row r="44" spans="1:7" ht="13.5" customHeight="1">
      <c r="A44" s="780" t="s">
        <v>348</v>
      </c>
      <c r="B44" s="215" t="s">
        <v>1546</v>
      </c>
      <c r="C44" s="238">
        <f ca="1">ROUND(IF('数据-取费表'!B22&lt;=1,C40*F22*'数据-取费表'!B20/2,C40*(POWER((1+F22),'数据-取费表'!B20/2)-1)),4)</f>
        <v>5.9999999999999995E-4</v>
      </c>
      <c r="D44" s="238"/>
      <c r="E44" s="238"/>
      <c r="F44" s="239"/>
      <c r="G44" s="3680"/>
    </row>
    <row r="45" spans="1:7" s="214" customFormat="1" ht="13.5" customHeight="1">
      <c r="A45" s="255" t="s">
        <v>1547</v>
      </c>
      <c r="B45" s="244" t="s">
        <v>1513</v>
      </c>
      <c r="C45" s="245">
        <f ca="1">C46</f>
        <v>92274</v>
      </c>
      <c r="D45" s="235">
        <f ca="1">C47</f>
        <v>3.0000000000000001E-3</v>
      </c>
      <c r="E45" s="236" t="s">
        <v>1539</v>
      </c>
      <c r="F45" s="246">
        <f ca="1">F27</f>
        <v>0.15</v>
      </c>
      <c r="G45" s="247" t="s">
        <v>1548</v>
      </c>
    </row>
    <row r="46" spans="1:7" s="214" customFormat="1" ht="13.5" customHeight="1">
      <c r="A46" s="780" t="s">
        <v>346</v>
      </c>
      <c r="B46" s="248" t="s">
        <v>1549</v>
      </c>
      <c r="C46" s="249">
        <f ca="1">ROUND((C33+C39)*F27,0)</f>
        <v>92274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786360</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f ca="1">ROUND(C49*F50,0)</f>
        <v>542588</v>
      </c>
      <c r="D51" s="232"/>
      <c r="E51" s="232"/>
      <c r="F51" s="264"/>
      <c r="G51" s="234" t="s">
        <v>1560</v>
      </c>
    </row>
    <row r="52" spans="1:7" s="208" customFormat="1" ht="16.5" thickBot="1">
      <c r="A52" s="265" t="s">
        <v>1561</v>
      </c>
      <c r="B52" s="266"/>
      <c r="C52" s="267">
        <f ca="1">C31+C51</f>
        <v>595593</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-204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98.15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0</v>
      </c>
      <c r="D6" s="155" t="s">
        <v>2109</v>
      </c>
      <c r="E6" s="302" t="s">
        <v>696</v>
      </c>
      <c r="F6" s="303">
        <f ca="1">INDIRECT("'数据-取费表'!u"&amp;$G$1)</f>
        <v>0</v>
      </c>
      <c r="G6" s="1384"/>
      <c r="H6" s="1069" t="s">
        <v>398</v>
      </c>
      <c r="I6" s="3683" t="s">
        <v>694</v>
      </c>
      <c r="J6" s="301">
        <f ca="1">ROUND(M6*M8*M7*(1-M9)/10000,0)</f>
        <v>0</v>
      </c>
      <c r="K6" s="155" t="s">
        <v>2108</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693"/>
      <c r="B4" s="3694"/>
      <c r="C4" s="3694"/>
      <c r="D4" s="3695"/>
      <c r="E4" s="3695"/>
      <c r="F4" s="3695"/>
      <c r="G4" s="3695"/>
      <c r="H4" s="3695"/>
      <c r="I4" s="3695"/>
      <c r="J4" s="369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690" t="s">
        <v>1960</v>
      </c>
      <c r="X8" s="369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692"/>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69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97" t="s">
        <v>3254</v>
      </c>
      <c r="B20" s="167" t="s">
        <v>1994</v>
      </c>
      <c r="C20" s="3324" t="e">
        <f>ROUND(IF(F21="与级别开发程度一致",0,(G21-E21)/C21),0)</f>
        <v>#DIV/0!</v>
      </c>
      <c r="D20" s="3340" t="s">
        <v>1998</v>
      </c>
      <c r="E20" s="3341"/>
      <c r="F20" s="3703" t="s">
        <v>1995</v>
      </c>
      <c r="G20" s="3704"/>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9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02"/>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99" t="s">
        <v>3294</v>
      </c>
      <c r="B103" s="3699"/>
      <c r="C103" s="3699"/>
      <c r="D103" s="3699"/>
      <c r="E103" s="3699"/>
      <c r="F103" s="3699"/>
      <c r="G103" s="3699"/>
      <c r="H103" s="3699"/>
      <c r="I103" s="3699"/>
      <c r="J103" s="3699"/>
      <c r="K103" s="3389"/>
      <c r="L103" s="3389"/>
      <c r="M103" s="3389"/>
      <c r="N103" s="3389"/>
    </row>
    <row r="104" spans="1:14">
      <c r="A104" s="3700" t="s">
        <v>3295</v>
      </c>
      <c r="B104" s="3700" t="s">
        <v>3296</v>
      </c>
      <c r="C104" s="3390" t="s">
        <v>3297</v>
      </c>
      <c r="D104" s="3391"/>
      <c r="E104" s="3391"/>
      <c r="F104" s="3391"/>
      <c r="G104" s="3391"/>
      <c r="H104" s="3391"/>
      <c r="I104" s="3391"/>
      <c r="J104" s="3392"/>
      <c r="K104" s="3393"/>
      <c r="L104" s="3393"/>
      <c r="M104" s="3393"/>
      <c r="N104" s="3393"/>
    </row>
    <row r="105" spans="1:14">
      <c r="A105" s="3700"/>
      <c r="B105" s="3700"/>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86"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7"/>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68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689" t="s">
        <v>3311</v>
      </c>
      <c r="B113" s="3689"/>
      <c r="C113" s="3689"/>
      <c r="D113" s="3689"/>
      <c r="E113" s="3689"/>
      <c r="F113" s="3689"/>
      <c r="G113" s="3689"/>
      <c r="H113" s="3689"/>
      <c r="I113" s="3689"/>
      <c r="J113" s="368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H11"/>
  <sheetViews>
    <sheetView workbookViewId="0">
      <selection activeCell="J21" sqref="J21"/>
    </sheetView>
  </sheetViews>
  <sheetFormatPr defaultRowHeight="13.5"/>
  <sheetData>
    <row r="5" spans="5:8">
      <c r="E5" s="3492" t="s">
        <v>3492</v>
      </c>
      <c r="F5" s="3492" t="s">
        <v>3493</v>
      </c>
      <c r="G5" s="3492" t="s">
        <v>3494</v>
      </c>
      <c r="H5" s="3492" t="s">
        <v>3495</v>
      </c>
    </row>
    <row r="6" spans="5:8">
      <c r="E6" s="3493">
        <v>1201</v>
      </c>
      <c r="F6" s="3493">
        <v>98.15</v>
      </c>
      <c r="G6" s="3493">
        <f ca="1">结果表!G20</f>
        <v>25212</v>
      </c>
      <c r="H6" s="3493">
        <f ca="1">ROUND(F6*G6/10000,4)</f>
        <v>247.45580000000001</v>
      </c>
    </row>
    <row r="7" spans="5:8">
      <c r="E7" s="3493">
        <v>1202</v>
      </c>
      <c r="F7" s="3493">
        <v>345.73</v>
      </c>
      <c r="G7" s="3493">
        <f ca="1">G6</f>
        <v>25212</v>
      </c>
      <c r="H7" s="3493">
        <f t="shared" ref="H7:H10" ca="1" si="0">ROUND(F7*G7/10000,4)</f>
        <v>871.65449999999998</v>
      </c>
    </row>
    <row r="8" spans="5:8">
      <c r="E8" s="3493">
        <v>1203</v>
      </c>
      <c r="F8" s="3493">
        <v>196.31</v>
      </c>
      <c r="G8" s="3493">
        <f ca="1">G6</f>
        <v>25212</v>
      </c>
      <c r="H8" s="3493">
        <f t="shared" ca="1" si="0"/>
        <v>494.93680000000001</v>
      </c>
    </row>
    <row r="9" spans="5:8">
      <c r="E9" s="3493">
        <v>1205</v>
      </c>
      <c r="F9" s="3493">
        <v>165.3</v>
      </c>
      <c r="G9" s="3493">
        <f ca="1">G6</f>
        <v>25212</v>
      </c>
      <c r="H9" s="3493">
        <f t="shared" ca="1" si="0"/>
        <v>416.75439999999998</v>
      </c>
    </row>
    <row r="10" spans="5:8">
      <c r="E10" s="3493">
        <v>1206</v>
      </c>
      <c r="F10" s="3493">
        <v>181.87</v>
      </c>
      <c r="G10" s="3493">
        <f ca="1">G6</f>
        <v>25212</v>
      </c>
      <c r="H10" s="3493">
        <f t="shared" ca="1" si="0"/>
        <v>458.53059999999999</v>
      </c>
    </row>
    <row r="11" spans="5:8">
      <c r="E11" s="3494" t="s">
        <v>3496</v>
      </c>
      <c r="F11" s="3494">
        <f>SUM(F6:F10)</f>
        <v>987.36</v>
      </c>
      <c r="G11" s="3494"/>
      <c r="H11" s="3494">
        <f ca="1">SUM(H6:H10)</f>
        <v>2489.3321000000001</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90" zoomScaleNormal="70" zoomScaleSheetLayoutView="90" workbookViewId="0">
      <selection activeCell="K43" sqref="K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3438</v>
      </c>
      <c r="F1" s="1879" t="s">
        <v>3439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320.45979999999997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32650</v>
      </c>
      <c r="C3" s="354" t="s">
        <v>1768</v>
      </c>
      <c r="D3" s="353">
        <f>IF(D1="",'数据-汇总表'!E3,SUMIF('数据-汇总表'!$C19:$C33,D1,'数据-汇总表'!$E19:$E33))</f>
        <v>98.15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27" t="s">
        <v>1775</v>
      </c>
      <c r="Q4" s="3728"/>
      <c r="R4" s="3733" t="s">
        <v>1771</v>
      </c>
      <c r="S4" s="3734"/>
      <c r="T4" s="3733" t="s">
        <v>1772</v>
      </c>
      <c r="U4" s="3734"/>
      <c r="V4" s="3739" t="s">
        <v>1773</v>
      </c>
      <c r="W4" s="3739"/>
      <c r="X4" s="1958"/>
      <c r="Y4" s="3733" t="s">
        <v>1775</v>
      </c>
      <c r="Z4" s="3734"/>
      <c r="AA4" s="3751" t="s">
        <v>1771</v>
      </c>
      <c r="AB4" s="3751" t="s">
        <v>1772</v>
      </c>
      <c r="AC4" s="3720" t="s">
        <v>1773</v>
      </c>
    </row>
    <row r="5" spans="1:29" ht="15">
      <c r="A5" s="358"/>
      <c r="B5" s="359"/>
      <c r="C5" s="3743" t="s">
        <v>3480</v>
      </c>
      <c r="D5" s="3744"/>
      <c r="E5" s="3754" t="s">
        <v>3485</v>
      </c>
      <c r="F5" s="3755"/>
      <c r="G5" s="3743" t="s">
        <v>3487</v>
      </c>
      <c r="H5" s="3744"/>
      <c r="I5" s="3743" t="s">
        <v>3490</v>
      </c>
      <c r="J5" s="3744"/>
      <c r="K5" s="559"/>
      <c r="L5" s="2714"/>
      <c r="M5" s="2715"/>
      <c r="N5" s="2715"/>
      <c r="O5" s="2715"/>
      <c r="P5" s="3729"/>
      <c r="Q5" s="3730"/>
      <c r="R5" s="3735"/>
      <c r="S5" s="3736"/>
      <c r="T5" s="3735"/>
      <c r="U5" s="3736"/>
      <c r="V5" s="3740"/>
      <c r="W5" s="3740"/>
      <c r="X5" s="1355"/>
      <c r="Y5" s="3735"/>
      <c r="Z5" s="3736"/>
      <c r="AA5" s="3752"/>
      <c r="AB5" s="3752"/>
      <c r="AC5" s="3721"/>
    </row>
    <row r="6" spans="1:29" ht="15.75" thickBot="1">
      <c r="A6" s="360"/>
      <c r="B6" s="361"/>
      <c r="C6" s="3741" t="s">
        <v>1677</v>
      </c>
      <c r="D6" s="3742"/>
      <c r="E6" s="3749" t="s">
        <v>1677</v>
      </c>
      <c r="F6" s="3750"/>
      <c r="G6" s="3741" t="s">
        <v>1677</v>
      </c>
      <c r="H6" s="3742"/>
      <c r="I6" s="3741" t="s">
        <v>1677</v>
      </c>
      <c r="J6" s="3742"/>
      <c r="K6" s="559" t="s">
        <v>1678</v>
      </c>
      <c r="L6" s="2714"/>
      <c r="M6" s="2715"/>
      <c r="N6" s="2715"/>
      <c r="O6" s="2715"/>
      <c r="P6" s="3731"/>
      <c r="Q6" s="3732"/>
      <c r="R6" s="3735"/>
      <c r="S6" s="3736"/>
      <c r="T6" s="3737"/>
      <c r="U6" s="3738"/>
      <c r="V6" s="3740"/>
      <c r="W6" s="3740"/>
      <c r="X6" s="1355"/>
      <c r="Y6" s="3737"/>
      <c r="Z6" s="3738"/>
      <c r="AA6" s="3753"/>
      <c r="AB6" s="3753"/>
      <c r="AC6" s="3722"/>
    </row>
    <row r="7" spans="1:29" s="108" customFormat="1" ht="15.75" thickBot="1">
      <c r="A7" s="362" t="s">
        <v>1679</v>
      </c>
      <c r="B7" s="363"/>
      <c r="C7" s="364">
        <f>'数据-取费表'!B2</f>
        <v>45874</v>
      </c>
      <c r="D7" s="365">
        <v>100</v>
      </c>
      <c r="E7" s="366">
        <f>C7</f>
        <v>45874</v>
      </c>
      <c r="F7" s="367">
        <f>SUMIF(59:59,YEAR(E7)&amp;"-"&amp;MONTH(E7),60:60)</f>
        <v>100</v>
      </c>
      <c r="G7" s="366">
        <f>C7</f>
        <v>45874</v>
      </c>
      <c r="H7" s="365">
        <f>SUMIF(59:59,YEAR(G7)&amp;"-"&amp;MONTH(G7),60:60)</f>
        <v>100</v>
      </c>
      <c r="I7" s="366">
        <f>C7</f>
        <v>45874</v>
      </c>
      <c r="J7" s="365">
        <f>SUMIF(59:59,YEAR(I7)&amp;"-"&amp;MONTH(I7),60:60)</f>
        <v>100</v>
      </c>
      <c r="K7" s="560"/>
      <c r="L7" s="2716"/>
      <c r="M7" s="2717"/>
      <c r="N7" s="2717"/>
      <c r="O7" s="2717"/>
      <c r="P7" s="3745" t="s">
        <v>1680</v>
      </c>
      <c r="Q7" s="3748"/>
      <c r="R7" s="701" t="s">
        <v>14</v>
      </c>
      <c r="S7" s="702">
        <f t="shared" ref="S7:S15" si="0">F7</f>
        <v>100</v>
      </c>
      <c r="T7" s="701" t="s">
        <v>14</v>
      </c>
      <c r="U7" s="702">
        <f t="shared" ref="U7:U15" si="1">H7</f>
        <v>100</v>
      </c>
      <c r="V7" s="701" t="s">
        <v>14</v>
      </c>
      <c r="W7" s="702">
        <f t="shared" ref="W7:W15" si="2">J7</f>
        <v>100</v>
      </c>
      <c r="X7" s="703"/>
      <c r="Y7" s="3747" t="s">
        <v>1680</v>
      </c>
      <c r="Z7" s="3746"/>
      <c r="AA7" s="704">
        <f>D7/F7</f>
        <v>1</v>
      </c>
      <c r="AB7" s="704">
        <f>D7/H7</f>
        <v>1</v>
      </c>
      <c r="AC7" s="1959">
        <f>D7/J7</f>
        <v>1</v>
      </c>
    </row>
    <row r="8" spans="1:29" s="108" customFormat="1" ht="15.75" thickBot="1">
      <c r="A8" s="362" t="s">
        <v>1681</v>
      </c>
      <c r="B8" s="363"/>
      <c r="C8" s="368" t="s">
        <v>3440</v>
      </c>
      <c r="D8" s="365">
        <v>100</v>
      </c>
      <c r="E8" s="368" t="s">
        <v>3442</v>
      </c>
      <c r="F8" s="367">
        <f>SUMIF(62:62,E8,63:63)-SUMIF(62:62,C8,63:63)+100</f>
        <v>108</v>
      </c>
      <c r="G8" s="368" t="s">
        <v>3442</v>
      </c>
      <c r="H8" s="365">
        <f>SUMIF(62:62,G8,63:63)-SUMIF(62:62,C8,63:63)+100</f>
        <v>108</v>
      </c>
      <c r="I8" s="368" t="s">
        <v>3442</v>
      </c>
      <c r="J8" s="365">
        <f>SUMIF(62:62,I8,63:63)-SUMIF(62:62,C8,63:63)+100</f>
        <v>108</v>
      </c>
      <c r="K8" s="560"/>
      <c r="L8" s="2716"/>
      <c r="M8" s="2717"/>
      <c r="N8" s="2717"/>
      <c r="O8" s="2717"/>
      <c r="P8" s="3745" t="s">
        <v>1683</v>
      </c>
      <c r="Q8" s="3746"/>
      <c r="R8" s="701" t="s">
        <v>14</v>
      </c>
      <c r="S8" s="702">
        <f t="shared" si="0"/>
        <v>108</v>
      </c>
      <c r="T8" s="701" t="s">
        <v>14</v>
      </c>
      <c r="U8" s="702">
        <f t="shared" si="1"/>
        <v>108</v>
      </c>
      <c r="V8" s="701" t="s">
        <v>14</v>
      </c>
      <c r="W8" s="702">
        <f t="shared" si="2"/>
        <v>108</v>
      </c>
      <c r="X8" s="703"/>
      <c r="Y8" s="3747" t="s">
        <v>1683</v>
      </c>
      <c r="Z8" s="3746"/>
      <c r="AA8" s="704">
        <f t="shared" ref="AA8:AA47" si="3">D8/F8</f>
        <v>0.92592592592592593</v>
      </c>
      <c r="AB8" s="704">
        <f t="shared" ref="AB8:AB47" si="4">D8/H8</f>
        <v>0.92592592592592593</v>
      </c>
      <c r="AC8" s="1959">
        <f t="shared" ref="AC8:AC47" si="5">D8/J8</f>
        <v>0.92592592592592593</v>
      </c>
    </row>
    <row r="9" spans="1:29" s="108" customFormat="1">
      <c r="A9" s="369" t="s">
        <v>1684</v>
      </c>
      <c r="B9" s="63" t="s">
        <v>1685</v>
      </c>
      <c r="C9" s="3477"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05"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1959">
        <f t="shared" si="5"/>
        <v>1</v>
      </c>
    </row>
    <row r="10" spans="1:29" s="378" customFormat="1" ht="27">
      <c r="A10" s="374"/>
      <c r="B10" s="375" t="s">
        <v>1688</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05"/>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5"/>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5"/>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5"/>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5"/>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11"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t="s">
        <v>3468</v>
      </c>
      <c r="D16" s="399"/>
      <c r="E16" s="1904" t="s">
        <v>3468</v>
      </c>
      <c r="F16" s="399"/>
      <c r="G16" s="1904" t="s">
        <v>3468</v>
      </c>
      <c r="H16" s="401"/>
      <c r="I16" s="1904" t="s">
        <v>3468</v>
      </c>
      <c r="J16" s="399"/>
      <c r="K16" s="564"/>
      <c r="L16" s="2721"/>
      <c r="M16" s="2715"/>
      <c r="N16" s="2715"/>
      <c r="O16" s="2715"/>
      <c r="P16" s="3712"/>
      <c r="Q16" s="1352"/>
      <c r="R16" s="705"/>
      <c r="S16" s="706"/>
      <c r="T16" s="705"/>
      <c r="U16" s="706"/>
      <c r="V16" s="705"/>
      <c r="W16" s="706"/>
      <c r="X16" s="1355"/>
      <c r="Y16" s="371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12"/>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t="s">
        <v>3468</v>
      </c>
      <c r="D18" s="401"/>
      <c r="E18" s="1964" t="s">
        <v>3468</v>
      </c>
      <c r="F18" s="401"/>
      <c r="G18" s="1964" t="s">
        <v>3468</v>
      </c>
      <c r="H18" s="399"/>
      <c r="I18" s="1964" t="s">
        <v>3468</v>
      </c>
      <c r="J18" s="399"/>
      <c r="K18" s="564"/>
      <c r="L18" s="2721"/>
      <c r="M18" s="2715"/>
      <c r="N18" s="2715"/>
      <c r="O18" s="2715"/>
      <c r="P18" s="3712"/>
      <c r="Q18" s="1352"/>
      <c r="R18" s="705"/>
      <c r="S18" s="706"/>
      <c r="T18" s="705"/>
      <c r="U18" s="706"/>
      <c r="V18" s="705"/>
      <c r="W18" s="706"/>
      <c r="X18" s="1355"/>
      <c r="Y18" s="371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12"/>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t="s">
        <v>3468</v>
      </c>
      <c r="D20" s="399"/>
      <c r="E20" s="1904" t="s">
        <v>3468</v>
      </c>
      <c r="F20" s="399"/>
      <c r="G20" s="1904" t="s">
        <v>3468</v>
      </c>
      <c r="H20" s="399"/>
      <c r="I20" s="1904" t="s">
        <v>3468</v>
      </c>
      <c r="J20" s="399"/>
      <c r="K20" s="564"/>
      <c r="L20" s="2721"/>
      <c r="M20" s="2715"/>
      <c r="N20" s="2715"/>
      <c r="O20" s="2715"/>
      <c r="P20" s="3712"/>
      <c r="Q20" s="1352"/>
      <c r="R20" s="705"/>
      <c r="S20" s="706"/>
      <c r="T20" s="705"/>
      <c r="U20" s="706"/>
      <c r="V20" s="705"/>
      <c r="W20" s="706"/>
      <c r="X20" s="1355"/>
      <c r="Y20" s="371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t="s">
        <v>3491</v>
      </c>
      <c r="D22" s="399"/>
      <c r="E22" s="1964" t="s">
        <v>3491</v>
      </c>
      <c r="F22" s="399"/>
      <c r="G22" s="1964" t="s">
        <v>3491</v>
      </c>
      <c r="H22" s="399"/>
      <c r="I22" s="1964" t="s">
        <v>3491</v>
      </c>
      <c r="J22" s="399"/>
      <c r="K22" s="1130"/>
      <c r="L22" s="2721"/>
      <c r="M22" s="2715"/>
      <c r="N22" s="2715"/>
      <c r="O22" s="2715"/>
      <c r="P22" s="3712"/>
      <c r="Q22" s="1352"/>
      <c r="R22" s="705"/>
      <c r="S22" s="706"/>
      <c r="T22" s="705"/>
      <c r="U22" s="706"/>
      <c r="V22" s="705"/>
      <c r="W22" s="706"/>
      <c r="X22" s="1355"/>
      <c r="Y22" s="371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12"/>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t="s">
        <v>3468</v>
      </c>
      <c r="D24" s="399"/>
      <c r="E24" s="1904" t="s">
        <v>3468</v>
      </c>
      <c r="F24" s="399"/>
      <c r="G24" s="1904" t="s">
        <v>3468</v>
      </c>
      <c r="H24" s="399"/>
      <c r="I24" s="1904" t="s">
        <v>3468</v>
      </c>
      <c r="J24" s="399"/>
      <c r="K24" s="564"/>
      <c r="L24" s="2721"/>
      <c r="M24" s="2715"/>
      <c r="N24" s="2715"/>
      <c r="O24" s="2715"/>
      <c r="P24" s="3712"/>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2"/>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2"/>
      <c r="Q26" s="1352"/>
      <c r="R26" s="705"/>
      <c r="S26" s="706"/>
      <c r="T26" s="705"/>
      <c r="U26" s="706"/>
      <c r="V26" s="705"/>
      <c r="W26" s="706"/>
      <c r="X26" s="1355"/>
      <c r="Y26" s="3714"/>
      <c r="Z26" s="1356"/>
      <c r="AA26" s="1353">
        <v>1</v>
      </c>
      <c r="AB26" s="1353">
        <v>1</v>
      </c>
      <c r="AC26" s="1962">
        <v>1</v>
      </c>
    </row>
    <row r="27" spans="1:29" ht="15">
      <c r="A27" s="379"/>
      <c r="B27" s="580" t="s">
        <v>1783</v>
      </c>
      <c r="C27" s="582" t="s">
        <v>3470</v>
      </c>
      <c r="D27" s="386">
        <v>100</v>
      </c>
      <c r="E27" s="565" t="s">
        <v>3472</v>
      </c>
      <c r="F27" s="386">
        <f>SUMIF(89:89,E27,90:90)-SUMIF(89:89,C27,90:90)+100</f>
        <v>98</v>
      </c>
      <c r="G27" s="582" t="s">
        <v>3472</v>
      </c>
      <c r="H27" s="386">
        <f>SUMIF(89:89,G27,90:90)-SUMIF(89:89,C27,90:90)+100</f>
        <v>98</v>
      </c>
      <c r="I27" s="565" t="s">
        <v>3470</v>
      </c>
      <c r="J27" s="386">
        <f>SUMIF(89:89,I27,90:90)-SUMIF(89:89,C27,90:90)+100</f>
        <v>100</v>
      </c>
      <c r="K27" s="561">
        <v>2</v>
      </c>
      <c r="L27" s="2721"/>
      <c r="M27" s="2715"/>
      <c r="N27" s="2715"/>
      <c r="O27" s="2715"/>
      <c r="P27" s="3712"/>
      <c r="Q27" s="1352" t="str">
        <f t="shared" ref="Q27:Q47" si="11">B27</f>
        <v>楼层</v>
      </c>
      <c r="R27" s="705" t="s">
        <v>14</v>
      </c>
      <c r="S27" s="706">
        <f>F27</f>
        <v>98</v>
      </c>
      <c r="T27" s="705" t="s">
        <v>14</v>
      </c>
      <c r="U27" s="706">
        <f>H27</f>
        <v>98</v>
      </c>
      <c r="V27" s="705" t="s">
        <v>14</v>
      </c>
      <c r="W27" s="706">
        <f>J27</f>
        <v>100</v>
      </c>
      <c r="X27" s="1355"/>
      <c r="Y27" s="3714"/>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2"/>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2"/>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2"/>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2"/>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t="s">
        <v>3449</v>
      </c>
      <c r="D33" s="418">
        <v>100</v>
      </c>
      <c r="E33" s="1967" t="s">
        <v>3449</v>
      </c>
      <c r="F33" s="412">
        <f>SUMIF(101:101,E33,102:102)-SUMIF(101:101,C33,102:102)+100</f>
        <v>100</v>
      </c>
      <c r="G33" s="1967" t="s">
        <v>3449</v>
      </c>
      <c r="H33" s="386">
        <f>SUMIF(101:101,G33,102:102)-SUMIF(101:101,C33,102:102)+100</f>
        <v>100</v>
      </c>
      <c r="I33" s="1967" t="s">
        <v>3449</v>
      </c>
      <c r="J33" s="418">
        <f>SUMIF(101:101,I33,102:102)-SUMIF(101:101,C33,102:102)+100</f>
        <v>100</v>
      </c>
      <c r="K33" s="561">
        <v>3</v>
      </c>
      <c r="L33" s="2721"/>
      <c r="M33" s="2715"/>
      <c r="N33" s="2715"/>
      <c r="O33" s="2715"/>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98.15</v>
      </c>
      <c r="D34" s="127">
        <v>100</v>
      </c>
      <c r="E34" s="381">
        <v>671.41</v>
      </c>
      <c r="F34" s="376">
        <f>LOOKUP(E34,104:104,105:105)-LOOKUP(C34,104:104,105:105)+100</f>
        <v>99</v>
      </c>
      <c r="G34" s="380">
        <v>278.02</v>
      </c>
      <c r="H34" s="127">
        <f>LOOKUP(G34,104:104,105:105)-LOOKUP(C34,104:104,105:105)+100</f>
        <v>100</v>
      </c>
      <c r="I34" s="380">
        <v>125.75</v>
      </c>
      <c r="J34" s="127">
        <f>LOOKUP(I34,104:104,105:105)-LOOKUP(C34,104:104,105:105)+100</f>
        <v>100</v>
      </c>
      <c r="K34" s="562"/>
      <c r="L34" s="2720"/>
      <c r="M34" s="2722"/>
      <c r="N34" s="2722"/>
      <c r="O34" s="2722"/>
      <c r="P34" s="3716"/>
      <c r="Q34" s="707" t="str">
        <f t="shared" si="11"/>
        <v>项目建筑规模</v>
      </c>
      <c r="R34" s="708" t="s">
        <v>14</v>
      </c>
      <c r="S34" s="709">
        <f t="shared" si="12"/>
        <v>99</v>
      </c>
      <c r="T34" s="708" t="s">
        <v>14</v>
      </c>
      <c r="U34" s="709">
        <f t="shared" si="13"/>
        <v>100</v>
      </c>
      <c r="V34" s="708" t="s">
        <v>14</v>
      </c>
      <c r="W34" s="709">
        <f t="shared" si="14"/>
        <v>100</v>
      </c>
      <c r="X34" s="710"/>
      <c r="Y34" s="3718"/>
      <c r="Z34" s="711" t="str">
        <f t="shared" si="15"/>
        <v>项目建筑规模</v>
      </c>
      <c r="AA34" s="1353">
        <f t="shared" si="3"/>
        <v>1.0101010101010102</v>
      </c>
      <c r="AB34" s="1353">
        <f t="shared" si="4"/>
        <v>1</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1</v>
      </c>
      <c r="L35" s="2721"/>
      <c r="M35" s="2715"/>
      <c r="N35" s="2715"/>
      <c r="O35" s="2715"/>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21"/>
      <c r="M36" s="2715"/>
      <c r="N36" s="2715"/>
      <c r="O36" s="2715"/>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f>'数据-取费表'!N6</f>
        <v>0.69</v>
      </c>
      <c r="D37" s="386">
        <v>100</v>
      </c>
      <c r="E37" s="425">
        <v>0.72</v>
      </c>
      <c r="F37" s="412">
        <f>LOOKUP(E37,111:111,112:112)-LOOKUP(C37,111:111,112:112)+100</f>
        <v>102</v>
      </c>
      <c r="G37" s="425">
        <v>0.74</v>
      </c>
      <c r="H37" s="412">
        <f>LOOKUP(G37,111:111,112:112)-LOOKUP(C37,111:111,112:112)+100</f>
        <v>102</v>
      </c>
      <c r="I37" s="425">
        <v>0.71</v>
      </c>
      <c r="J37" s="386">
        <f>LOOKUP(I37,111:111,112:112)-LOOKUP(C37,111:111,112:112)+100</f>
        <v>102</v>
      </c>
      <c r="K37" s="561">
        <v>2</v>
      </c>
      <c r="L37" s="2721"/>
      <c r="M37" s="2715"/>
      <c r="N37" s="2715"/>
      <c r="O37" s="2715"/>
      <c r="P37" s="3716"/>
      <c r="Q37" s="1352" t="str">
        <f t="shared" si="11"/>
        <v>成新度</v>
      </c>
      <c r="R37" s="705" t="s">
        <v>14</v>
      </c>
      <c r="S37" s="706">
        <f t="shared" si="12"/>
        <v>102</v>
      </c>
      <c r="T37" s="705" t="s">
        <v>14</v>
      </c>
      <c r="U37" s="706">
        <f t="shared" si="13"/>
        <v>102</v>
      </c>
      <c r="V37" s="705" t="s">
        <v>14</v>
      </c>
      <c r="W37" s="706">
        <f t="shared" si="14"/>
        <v>102</v>
      </c>
      <c r="X37" s="1355"/>
      <c r="Y37" s="3718"/>
      <c r="Z37" s="1356" t="str">
        <f t="shared" si="15"/>
        <v>成新度</v>
      </c>
      <c r="AA37" s="1353">
        <f t="shared" si="3"/>
        <v>0.98039215686274506</v>
      </c>
      <c r="AB37" s="1353">
        <f t="shared" si="4"/>
        <v>0.98039215686274506</v>
      </c>
      <c r="AC37" s="1962">
        <f t="shared" si="5"/>
        <v>0.98039215686274506</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t="s">
        <v>3481</v>
      </c>
      <c r="D39" s="386">
        <v>100</v>
      </c>
      <c r="E39" s="411" t="s">
        <v>3481</v>
      </c>
      <c r="F39" s="412">
        <f>SUMIF(115:115,E39,116:116)-SUMIF(115:115,C39,116:116)+100</f>
        <v>100</v>
      </c>
      <c r="G39" s="411" t="s">
        <v>3481</v>
      </c>
      <c r="H39" s="386">
        <f>SUMIF(115:115,G39,116:116)-SUMIF(115:115,C39,116:116)+100</f>
        <v>100</v>
      </c>
      <c r="I39" s="411" t="s">
        <v>3481</v>
      </c>
      <c r="J39" s="386">
        <f>SUMIF(115:115,I39,116:116)-SUMIF(115:115,C39,116:116)+100</f>
        <v>100</v>
      </c>
      <c r="K39" s="561">
        <v>1</v>
      </c>
      <c r="L39" s="2721"/>
      <c r="M39" s="2715"/>
      <c r="N39" s="2715"/>
      <c r="O39" s="2715"/>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1"/>
      <c r="M40" s="2715"/>
      <c r="N40" s="2715"/>
      <c r="O40" s="2715"/>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t="s">
        <v>3458</v>
      </c>
      <c r="D41" s="386">
        <v>100</v>
      </c>
      <c r="E41" s="565" t="s">
        <v>3458</v>
      </c>
      <c r="F41" s="412">
        <f>SUMIF(119:119,E41,120:120)-SUMIF(119:119,C41,120:120)+100</f>
        <v>100</v>
      </c>
      <c r="G41" s="565" t="s">
        <v>3458</v>
      </c>
      <c r="H41" s="386">
        <f>SUMIF(119:119,G41,120:120)-SUMIF(119:119,C41,120:120)+100</f>
        <v>100</v>
      </c>
      <c r="I41" s="565" t="s">
        <v>3458</v>
      </c>
      <c r="J41" s="386">
        <f>SUMIF(119:119,I41,120:120)-SUMIF(119:119,C41,120:120)+100</f>
        <v>100</v>
      </c>
      <c r="K41" s="561">
        <v>2</v>
      </c>
      <c r="L41" s="2721"/>
      <c r="M41" s="2715"/>
      <c r="N41" s="2715"/>
      <c r="O41" s="2715"/>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t="s">
        <v>3454</v>
      </c>
      <c r="D43" s="386">
        <v>100</v>
      </c>
      <c r="E43" s="411" t="s">
        <v>3488</v>
      </c>
      <c r="F43" s="412">
        <f>SUMIF(123:123,E43,124:124)-SUMIF(123:123,C43,124:124)+100</f>
        <v>98</v>
      </c>
      <c r="G43" s="411" t="s">
        <v>3488</v>
      </c>
      <c r="H43" s="386">
        <f>SUMIF(123:123,G43,124:124)-SUMIF(123:123,C43,124:124)+100</f>
        <v>98</v>
      </c>
      <c r="I43" s="411" t="s">
        <v>3488</v>
      </c>
      <c r="J43" s="386">
        <f>SUMIF(123:123,I43,124:124)-SUMIF(123:123,C43,124:124)+100</f>
        <v>98</v>
      </c>
      <c r="K43" s="561">
        <v>2</v>
      </c>
      <c r="L43" s="2721"/>
      <c r="M43" s="2715"/>
      <c r="N43" s="2715"/>
      <c r="O43" s="2715"/>
      <c r="P43" s="3716"/>
      <c r="Q43" s="1352" t="str">
        <f t="shared" si="11"/>
        <v>内部装修</v>
      </c>
      <c r="R43" s="705" t="s">
        <v>14</v>
      </c>
      <c r="S43" s="706">
        <f t="shared" si="12"/>
        <v>98</v>
      </c>
      <c r="T43" s="705" t="s">
        <v>14</v>
      </c>
      <c r="U43" s="706">
        <f t="shared" si="13"/>
        <v>98</v>
      </c>
      <c r="V43" s="705" t="s">
        <v>14</v>
      </c>
      <c r="W43" s="706">
        <f t="shared" si="14"/>
        <v>98</v>
      </c>
      <c r="X43" s="1355"/>
      <c r="Y43" s="3718"/>
      <c r="Z43" s="1356" t="str">
        <f t="shared" si="15"/>
        <v>内部装修</v>
      </c>
      <c r="AA43" s="1353">
        <f t="shared" si="3"/>
        <v>1.0204081632653061</v>
      </c>
      <c r="AB43" s="1353">
        <f t="shared" si="4"/>
        <v>1.0204081632653061</v>
      </c>
      <c r="AC43" s="1962">
        <f t="shared" si="5"/>
        <v>1.0204081632653061</v>
      </c>
    </row>
    <row r="44" spans="1:29" ht="15">
      <c r="A44" s="423"/>
      <c r="B44" s="375" t="s">
        <v>1707</v>
      </c>
      <c r="C44" s="411" t="s">
        <v>3468</v>
      </c>
      <c r="D44" s="386">
        <v>100</v>
      </c>
      <c r="E44" s="411" t="s">
        <v>3468</v>
      </c>
      <c r="F44" s="412">
        <f>SUMIF(125:125,E44,126:126)-SUMIF(125:125,C44,126:126)+100</f>
        <v>100</v>
      </c>
      <c r="G44" s="411" t="s">
        <v>3468</v>
      </c>
      <c r="H44" s="386">
        <f>SUMIF(125:125,G44,126:126)-SUMIF(125:125,C44,126:126)+100</f>
        <v>100</v>
      </c>
      <c r="I44" s="411" t="s">
        <v>3468</v>
      </c>
      <c r="J44" s="386">
        <f>SUMIF(125:125,I44,126:126)-SUMIF(125:125,C44,126:126)+100</f>
        <v>100</v>
      </c>
      <c r="K44" s="561">
        <v>1</v>
      </c>
      <c r="L44" s="2721"/>
      <c r="M44" s="2715"/>
      <c r="N44" s="2715"/>
      <c r="O44" s="2715"/>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3491" t="s">
        <v>3489</v>
      </c>
      <c r="C45" s="420">
        <v>2000</v>
      </c>
      <c r="D45" s="127">
        <v>100</v>
      </c>
      <c r="E45" s="383">
        <v>2003</v>
      </c>
      <c r="F45" s="376">
        <f>SUMIF(127:127,E45,128:128)-SUMIF(127:127,C45,128:128)+100</f>
        <v>100</v>
      </c>
      <c r="G45" s="383">
        <v>2006</v>
      </c>
      <c r="H45" s="127">
        <f>SUMIF(127:127,G45,128:128)-SUMIF(127:127,C45,128:128)+100</f>
        <v>100</v>
      </c>
      <c r="I45" s="383">
        <v>2002</v>
      </c>
      <c r="J45" s="127">
        <f>SUMIF(127:127,I45,128:128)-SUMIF(127:127,C45,128:128)+100</f>
        <v>100</v>
      </c>
      <c r="K45" s="562"/>
      <c r="L45" s="2716"/>
      <c r="M45" s="2717"/>
      <c r="N45" s="2717"/>
      <c r="O45" s="2717"/>
      <c r="P45" s="3716"/>
      <c r="Q45" s="1343" t="str">
        <f t="shared" si="11"/>
        <v>建成年代</v>
      </c>
      <c r="R45" s="701" t="s">
        <v>14</v>
      </c>
      <c r="S45" s="702">
        <f t="shared" si="12"/>
        <v>100</v>
      </c>
      <c r="T45" s="701" t="s">
        <v>14</v>
      </c>
      <c r="U45" s="702">
        <f t="shared" si="13"/>
        <v>100</v>
      </c>
      <c r="V45" s="701" t="s">
        <v>14</v>
      </c>
      <c r="W45" s="702">
        <f t="shared" si="14"/>
        <v>100</v>
      </c>
      <c r="X45" s="703"/>
      <c r="Y45" s="3718"/>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v>33035</v>
      </c>
      <c r="F48" s="1157"/>
      <c r="G48" s="1158">
        <v>35969</v>
      </c>
      <c r="H48" s="1159"/>
      <c r="I48" s="1156">
        <v>34991</v>
      </c>
      <c r="J48" s="436"/>
      <c r="K48" s="714"/>
      <c r="L48" s="2723"/>
      <c r="M48" s="2715"/>
      <c r="N48" s="2715"/>
      <c r="O48" s="2715"/>
      <c r="P48" s="3705" t="str">
        <f>A48</f>
        <v>成交单价（元/平方米）</v>
      </c>
      <c r="Q48" s="3706"/>
      <c r="R48" s="3707">
        <f>E48</f>
        <v>33035</v>
      </c>
      <c r="S48" s="3707"/>
      <c r="T48" s="3707">
        <f>G48</f>
        <v>35969</v>
      </c>
      <c r="U48" s="3707"/>
      <c r="V48" s="3707">
        <f>I48</f>
        <v>34991</v>
      </c>
      <c r="W48" s="3707"/>
      <c r="X48" s="397"/>
      <c r="Y48" s="712"/>
      <c r="Z48" s="397"/>
      <c r="AA48" s="397"/>
      <c r="AB48" s="397"/>
      <c r="AC48" s="578"/>
    </row>
    <row r="49" spans="1:29" ht="15.75" thickBot="1">
      <c r="A49" s="437" t="s">
        <v>1793</v>
      </c>
      <c r="B49" s="438"/>
      <c r="C49" s="1160">
        <f>R50</f>
        <v>32650</v>
      </c>
      <c r="D49" s="2317" t="s">
        <v>2138</v>
      </c>
      <c r="E49" s="1161">
        <f>R49</f>
        <v>31540</v>
      </c>
      <c r="F49" s="2318"/>
      <c r="G49" s="1160">
        <f>T49</f>
        <v>33998</v>
      </c>
      <c r="H49" s="2318"/>
      <c r="I49" s="1161">
        <f>V49</f>
        <v>32412</v>
      </c>
      <c r="J49" s="2318"/>
      <c r="K49" s="2320">
        <f>F49+H49+J49</f>
        <v>0</v>
      </c>
      <c r="L49" s="2723"/>
      <c r="M49" s="2715"/>
      <c r="N49" s="2715"/>
      <c r="O49" s="2715"/>
      <c r="P49" s="3705" t="str">
        <f>A49</f>
        <v>比较价值（元/平方米）</v>
      </c>
      <c r="Q49" s="3706"/>
      <c r="R49" s="3707">
        <f>IF(F1="售价",ROUND(PRODUCT(R48,AA7:AA47),0),ROUND(PRODUCT(R48,AA7:AA47),1))</f>
        <v>31540</v>
      </c>
      <c r="S49" s="3707"/>
      <c r="T49" s="3707">
        <f>IF(F1="售价",ROUND(PRODUCT(T48,AB7:AB47),0),ROUND(PRODUCT(T48,AB7:AB47),1))</f>
        <v>33998</v>
      </c>
      <c r="U49" s="3707"/>
      <c r="V49" s="3707">
        <f>IF(F1="售价",ROUND(PRODUCT(V48,AC7:AC47),0),ROUND(PRODUCT(V48,AC7:AC47),1))</f>
        <v>32412</v>
      </c>
      <c r="W49" s="3707"/>
      <c r="X49" s="397"/>
      <c r="Y49" s="397"/>
      <c r="Z49" s="397"/>
      <c r="AA49" s="397"/>
      <c r="AB49" s="397"/>
      <c r="AC49" s="578"/>
    </row>
    <row r="50" spans="1:29" ht="15.75" thickBot="1">
      <c r="A50" s="441" t="s">
        <v>1794</v>
      </c>
      <c r="B50" s="442"/>
      <c r="C50" s="1163">
        <f>R50</f>
        <v>32650</v>
      </c>
      <c r="D50" s="1163"/>
      <c r="E50" s="1163"/>
      <c r="F50" s="1163"/>
      <c r="G50" s="1163"/>
      <c r="H50" s="1163"/>
      <c r="I50" s="1163"/>
      <c r="J50" s="443"/>
      <c r="K50" s="715"/>
      <c r="L50" s="2723"/>
      <c r="M50" s="2715"/>
      <c r="N50" s="2715"/>
      <c r="O50" s="2715"/>
      <c r="P50" s="3708" t="str">
        <f>A50</f>
        <v>估价对象XX用房的比较价值（楼面单价，元/平方米）</v>
      </c>
      <c r="Q50" s="3709"/>
      <c r="R50" s="3710">
        <f>IF(F1="售价",ROUND(IF(D49="简单平均",AVERAGE(R49:V49),R49*F49+T49*H49+V49*J49),0),ROUND(IF(D49="简单平均",AVERAGE(R49:V49),R49*F49+T49*H49+V49*J49),1))</f>
        <v>32650</v>
      </c>
      <c r="S50" s="3710"/>
      <c r="T50" s="3710"/>
      <c r="U50" s="3710"/>
      <c r="V50" s="3710"/>
      <c r="W50" s="371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4.7400126823081701E-2</v>
      </c>
      <c r="F53" s="449" t="str">
        <f>IF(OR(E53&gt;=0.3,E53&lt;=-0.3),"超过30%","")</f>
        <v/>
      </c>
      <c r="G53" s="448">
        <f>IF(G48&lt;G49,G49/G48-1,G48/G49-1)</f>
        <v>5.7973998470498334E-2</v>
      </c>
      <c r="H53" s="449" t="str">
        <f>IF(OR(G53&gt;=0.3,G53&lt;=-0.3),"超过30%","")</f>
        <v/>
      </c>
      <c r="I53" s="448">
        <f>IF(I48&lt;I49,I49/I48-1,I48/I49-1)</f>
        <v>7.9569295322720057E-2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7.7932783766645475E-2</v>
      </c>
      <c r="F54" s="449" t="str">
        <f>IF(OR(E54&gt;=0.2,E54&lt;=-0.2),"超过20%","")</f>
        <v/>
      </c>
      <c r="G54" s="448">
        <f>IF(G49&lt;I49,I49/G49-1,G49/I49-1)</f>
        <v>4.8932494137973626E-2</v>
      </c>
      <c r="H54" s="449" t="str">
        <f>IF(OR(G54&gt;=0.2,G54&lt;=-0.2),"超过20%","")</f>
        <v/>
      </c>
      <c r="I54" s="448">
        <f>IF(I49&lt;E49,E49/I49-1,I49/E49-1)</f>
        <v>2.7647431832593439E-2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8.8814893294990149E-2</v>
      </c>
      <c r="F55" s="449" t="str">
        <f>IF(OR(E55&gt;=0.3,E55&lt;=-0.3),"超过30%","")</f>
        <v/>
      </c>
      <c r="G55" s="448">
        <f>IF(G48&lt;I48,I48/G48-1,G48/I48-1)</f>
        <v>2.7950044297105014E-2</v>
      </c>
      <c r="H55" s="449" t="str">
        <f>IF(OR(G55&gt;=0.3,G55&lt;=-0.3),"超过30%","")</f>
        <v/>
      </c>
      <c r="I55" s="448">
        <f>IF(I48&lt;E48,E48/I48-1,I48/E48-1)</f>
        <v>5.9209928863326766E-2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3443</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108</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3444</v>
      </c>
      <c r="D66" s="532" t="s">
        <v>3445</v>
      </c>
      <c r="E66" s="532" t="s">
        <v>3446</v>
      </c>
      <c r="F66" s="532" t="s">
        <v>3447</v>
      </c>
      <c r="G66" s="532" t="s">
        <v>3448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3469</v>
      </c>
      <c r="D89" s="3480" t="s">
        <v>3471</v>
      </c>
      <c r="E89" s="3480" t="s">
        <v>3473</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79" t="s">
        <v>3450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0(含)-400</v>
      </c>
      <c r="D103" s="527" t="str">
        <f t="shared" ref="D103:L103" si="24">D104&amp;"(含)"&amp;"-"&amp;E104</f>
        <v>400(含)-800</v>
      </c>
      <c r="E103" s="527" t="str">
        <f t="shared" si="24"/>
        <v>800(含)-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400</v>
      </c>
      <c r="E104" s="544">
        <v>800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0" t="s">
        <v>3451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0" t="s">
        <v>3453</v>
      </c>
      <c r="D108" s="3480" t="s">
        <v>3455</v>
      </c>
      <c r="E108" s="3480" t="s">
        <v>3456</v>
      </c>
      <c r="F108" s="3481" t="s">
        <v>3457</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80" t="s">
        <v>3466</v>
      </c>
      <c r="D113" s="3480" t="s">
        <v>3467</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0" t="s">
        <v>3464</v>
      </c>
      <c r="D115" s="3480" t="s">
        <v>3465</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80" t="s">
        <v>3460</v>
      </c>
      <c r="D117" s="3480" t="s">
        <v>3461</v>
      </c>
      <c r="E117" s="3480" t="s">
        <v>3462</v>
      </c>
      <c r="F117" s="3480" t="s">
        <v>3463</v>
      </c>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3459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0" t="s">
        <v>3453</v>
      </c>
      <c r="D123" s="3480" t="s">
        <v>3455</v>
      </c>
      <c r="E123" s="3480" t="s">
        <v>3456</v>
      </c>
      <c r="F123" s="3481" t="s">
        <v>3457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0" zoomScaleNormal="70" zoomScaleSheetLayoutView="80" workbookViewId="0">
      <selection activeCell="C36" sqref="C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137.9641</v>
      </c>
      <c r="C2" s="1387" t="s">
        <v>879</v>
      </c>
      <c r="D2" s="1471">
        <f ca="1">C40+J29+L46</f>
        <v>1379641</v>
      </c>
      <c r="E2" s="1388" t="s">
        <v>880</v>
      </c>
      <c r="F2" s="1389"/>
      <c r="G2" s="2705"/>
      <c r="H2" s="2694"/>
      <c r="I2" s="2694"/>
      <c r="J2" s="2694"/>
      <c r="K2" s="2695"/>
      <c r="L2" s="2694"/>
      <c r="M2" s="2694"/>
    </row>
    <row r="3" spans="1:37" ht="18" customHeight="1" thickBot="1">
      <c r="A3" s="1390" t="s">
        <v>881</v>
      </c>
      <c r="B3" s="1391">
        <f ca="1">IF(ISERROR(D2/F43),0,ROUND(D2/F43,0))</f>
        <v>14056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112989</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112848</v>
      </c>
      <c r="D6" s="155" t="s">
        <v>2106</v>
      </c>
      <c r="E6" s="302" t="s">
        <v>696</v>
      </c>
      <c r="F6" s="303">
        <f ca="1">INDIRECT("'数据-取费表'!u"&amp;$G$1)</f>
        <v>3.5</v>
      </c>
      <c r="G6" s="1384"/>
      <c r="H6" s="1069" t="s">
        <v>398</v>
      </c>
      <c r="I6" s="3683" t="s">
        <v>694</v>
      </c>
      <c r="J6" s="301">
        <f ca="1">ROUND(M6*M8*M7*(1-M9),0)</f>
        <v>0</v>
      </c>
      <c r="K6" s="1376"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98.15</v>
      </c>
      <c r="G7" s="1384"/>
      <c r="H7" s="304"/>
      <c r="I7" s="3684"/>
      <c r="J7" s="306"/>
      <c r="K7" s="307"/>
      <c r="L7" s="302" t="s">
        <v>697</v>
      </c>
      <c r="M7" s="303">
        <f ca="1">F7</f>
        <v>98.15</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542588</v>
      </c>
      <c r="D13" s="1081" t="s">
        <v>705</v>
      </c>
      <c r="E13" s="1081" t="s">
        <v>706</v>
      </c>
      <c r="F13" s="1082">
        <f ca="1">INDIRECT("'数据-取费表'!y"&amp;$G$1)</f>
        <v>0.69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539825</v>
      </c>
      <c r="D14" s="1345" t="s">
        <v>708</v>
      </c>
      <c r="E14" s="1342"/>
      <c r="F14" s="319"/>
      <c r="G14" s="1384"/>
      <c r="H14" s="982" t="s">
        <v>398</v>
      </c>
      <c r="I14" s="302" t="s">
        <v>709</v>
      </c>
      <c r="J14" s="21">
        <f ca="1">C29</f>
        <v>786360</v>
      </c>
      <c r="K14" s="12"/>
      <c r="L14" s="807"/>
      <c r="M14" s="808"/>
    </row>
    <row r="15" spans="1:37" s="1397" customFormat="1" ht="18" customHeight="1" thickBot="1">
      <c r="A15" s="982" t="s">
        <v>399</v>
      </c>
      <c r="B15" s="302" t="s">
        <v>710</v>
      </c>
      <c r="C15" s="21">
        <f ca="1">ROUND(C14*F15,0)</f>
        <v>26991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2359</v>
      </c>
      <c r="K16" s="1087" t="s">
        <v>715</v>
      </c>
      <c r="L16" s="1088"/>
      <c r="M16" s="1072"/>
    </row>
    <row r="17" spans="1:37" s="1397" customFormat="1" ht="18" customHeight="1">
      <c r="A17" s="982" t="s">
        <v>681</v>
      </c>
      <c r="B17" s="302" t="s">
        <v>716</v>
      </c>
      <c r="C17" s="21">
        <f ca="1">ROUND(F17*(F43+INDIRECT("'数据-取费表'!S"&amp;$G$1)),0)</f>
        <v>19630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10797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597243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17917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2359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18455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-2359</v>
      </c>
      <c r="K25" s="1095" t="s">
        <v>753</v>
      </c>
      <c r="L25" s="1096"/>
      <c r="M25" s="1097"/>
    </row>
    <row r="26" spans="1:37" ht="18" customHeight="1">
      <c r="A26" s="982" t="s">
        <v>397</v>
      </c>
      <c r="B26" s="302" t="s">
        <v>754</v>
      </c>
      <c r="C26" s="21">
        <f ca="1">ROUND((C19+C20)*F26,0)</f>
        <v>92274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786360</v>
      </c>
      <c r="D29" s="1092"/>
      <c r="E29" s="1090"/>
      <c r="F29" s="1093"/>
      <c r="G29" s="1396"/>
      <c r="H29" s="334" t="s">
        <v>396</v>
      </c>
      <c r="I29" s="335" t="s">
        <v>768</v>
      </c>
      <c r="J29" s="336">
        <f ca="1">ROUND(J26/(1+F40)^F41,0)</f>
        <v>0</v>
      </c>
      <c r="K29" s="337" t="s">
        <v>769</v>
      </c>
      <c r="L29" s="338"/>
      <c r="M29" s="339">
        <f ca="1">INDIRECT("'数据-取费表'!k"&amp;$G$1)</f>
        <v>98.15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23513</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18916</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6019</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12897</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2359</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ROUND(C13*F37,0)</f>
        <v>543</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1695</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89476</v>
      </c>
      <c r="D39" s="1095" t="s">
        <v>773</v>
      </c>
      <c r="E39" s="1096"/>
      <c r="F39" s="1097"/>
      <c r="G39" s="1384"/>
      <c r="H39" s="2699"/>
      <c r="I39" s="1398"/>
      <c r="J39" s="1399"/>
      <c r="K39" s="2703"/>
      <c r="L39" s="2699"/>
      <c r="M39" s="2699"/>
    </row>
    <row r="40" spans="1:18" ht="18" customHeight="1">
      <c r="A40" s="299" t="s">
        <v>395</v>
      </c>
      <c r="B40" s="300" t="s">
        <v>774</v>
      </c>
      <c r="C40" s="301">
        <f ca="1">ROUND(C39*(1-((1+F42)/(1+F40))^F41)/(F40-F42),0)</f>
        <v>1312481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13372</v>
      </c>
      <c r="D43" s="337" t="s">
        <v>777</v>
      </c>
      <c r="E43" s="338" t="s">
        <v>778</v>
      </c>
      <c r="F43" s="339">
        <f ca="1">INDIRECT("'数据-取费表'!k"&amp;$G$1)</f>
        <v>98.15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-134.84219999999999</v>
      </c>
      <c r="D45" s="3431" t="s">
        <v>3353</v>
      </c>
      <c r="E45" s="1400"/>
      <c r="F45" s="1400"/>
      <c r="O45" s="1403" t="s">
        <v>808</v>
      </c>
      <c r="P45" s="1461"/>
      <c r="Q45" s="1461"/>
      <c r="R45" s="1461"/>
    </row>
    <row r="46" spans="1:18" s="1384" customFormat="1" ht="13.5" thickBot="1">
      <c r="A46" s="1404" t="s">
        <v>809</v>
      </c>
      <c r="C46" s="1405">
        <f ca="1">ROUND(C45,0)</f>
        <v>-135</v>
      </c>
      <c r="D46" s="1406" t="str">
        <f>C2</f>
        <v>万元</v>
      </c>
      <c r="I46" s="1407" t="s">
        <v>810</v>
      </c>
      <c r="J46" s="1408"/>
      <c r="K46" s="1409"/>
      <c r="L46" s="1410">
        <f ca="1">IF(M47="住宅",0,IF(L48&gt;J51,L60,J60))</f>
        <v>67160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1312481</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21.35</v>
      </c>
      <c r="O48" s="1418" t="s">
        <v>404</v>
      </c>
      <c r="P48" s="1419" t="s">
        <v>821</v>
      </c>
      <c r="Q48" s="1420">
        <f ca="1">J60</f>
        <v>67160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2000</v>
      </c>
      <c r="K49" s="1423" t="s">
        <v>824</v>
      </c>
      <c r="L49" s="1427"/>
      <c r="O49" s="1428" t="s">
        <v>405</v>
      </c>
      <c r="P49" s="1419" t="s">
        <v>825</v>
      </c>
      <c r="Q49" s="1420">
        <f ca="1">C29</f>
        <v>786360</v>
      </c>
      <c r="R49" s="1420" t="s">
        <v>818</v>
      </c>
    </row>
    <row r="50" spans="1:18" s="1384" customFormat="1" ht="13.5" thickBot="1">
      <c r="A50" s="976"/>
      <c r="B50" s="979"/>
      <c r="C50" s="980"/>
      <c r="D50" s="953"/>
      <c r="E50" s="1056" t="s">
        <v>697</v>
      </c>
      <c r="F50" s="1057">
        <f ca="1">F7</f>
        <v>98.15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843187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21.35</v>
      </c>
      <c r="K53" s="3681" t="s">
        <v>837</v>
      </c>
      <c r="L53" s="3682"/>
      <c r="O53" s="1418" t="s">
        <v>409</v>
      </c>
      <c r="P53" s="1419" t="s">
        <v>838</v>
      </c>
      <c r="Q53" s="1420">
        <f ca="1">Q47+Q48</f>
        <v>1379641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542588</v>
      </c>
      <c r="D56" s="1447"/>
      <c r="E56" s="1448"/>
      <c r="F56" s="1440"/>
      <c r="I56" s="1449" t="s">
        <v>842</v>
      </c>
      <c r="J56" s="1450" t="s">
        <v>3434</v>
      </c>
      <c r="K56" s="1421" t="s">
        <v>843</v>
      </c>
      <c r="L56" s="1424" t="str">
        <f ca="1">IF(L48&lt;J51,"——",L48-J51)</f>
        <v>——</v>
      </c>
      <c r="O56" s="1418" t="s">
        <v>403</v>
      </c>
      <c r="P56" s="1419" t="s">
        <v>817</v>
      </c>
      <c r="Q56" s="1420">
        <f ca="1">C40+J29</f>
        <v>1312481</v>
      </c>
      <c r="R56" s="1420" t="s">
        <v>818</v>
      </c>
    </row>
    <row r="57" spans="1:18" s="1384" customFormat="1" ht="24.75" thickBot="1">
      <c r="A57" s="1451"/>
      <c r="B57" s="950" t="s">
        <v>767</v>
      </c>
      <c r="C57" s="238">
        <f ca="1">C29</f>
        <v>786360</v>
      </c>
      <c r="D57" s="1452"/>
      <c r="E57" s="1453"/>
      <c r="F57" s="1454"/>
      <c r="I57" s="1455" t="s">
        <v>844</v>
      </c>
      <c r="J57" s="1456">
        <f ca="1">IF(OR(M47="住宅",J51&lt;L48,J56="是"),"——",J51-L48)</f>
        <v>13.649999999999999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2902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314544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67160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1312481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2359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543</v>
      </c>
      <c r="D65" s="964" t="s">
        <v>743</v>
      </c>
      <c r="E65" s="950" t="s">
        <v>744</v>
      </c>
      <c r="F65" s="330">
        <f t="shared" ca="1" si="0"/>
        <v>1E-3</v>
      </c>
      <c r="I65" s="1462" t="s">
        <v>867</v>
      </c>
      <c r="J65" s="1463">
        <v>40</v>
      </c>
      <c r="K65" s="1463">
        <v>30</v>
      </c>
      <c r="L65" s="1463">
        <v>50</v>
      </c>
      <c r="M65" s="1465">
        <v>0.02</v>
      </c>
      <c r="O65" s="1418" t="s">
        <v>403</v>
      </c>
      <c r="P65" s="1419" t="s">
        <v>868</v>
      </c>
      <c r="Q65" s="1420">
        <f ca="1">C40+J29</f>
        <v>1312481</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-2902</v>
      </c>
      <c r="D67" s="963" t="s">
        <v>753</v>
      </c>
      <c r="E67" s="968"/>
      <c r="F67" s="969"/>
      <c r="O67" s="1428" t="s">
        <v>405</v>
      </c>
      <c r="P67" s="1419" t="s">
        <v>850</v>
      </c>
      <c r="Q67" s="1466">
        <f ca="1">L51</f>
        <v>843187</v>
      </c>
      <c r="R67" s="1420" t="s">
        <v>870</v>
      </c>
    </row>
    <row r="68" spans="1:18" s="1384" customFormat="1" ht="16.5" thickBot="1">
      <c r="A68" s="947" t="s">
        <v>395</v>
      </c>
      <c r="B68" s="948" t="s">
        <v>774</v>
      </c>
      <c r="C68" s="301">
        <f ca="1">ROUND(C67*(1-((1+F70)/(1+F68))^F69)/(F68-F70),0)</f>
        <v>-35941</v>
      </c>
      <c r="D68" s="965" t="s">
        <v>758</v>
      </c>
      <c r="E68" s="950" t="s">
        <v>759</v>
      </c>
      <c r="F68" s="312">
        <f ca="1">F40</f>
        <v>5.5E-2</v>
      </c>
      <c r="O68" s="1428" t="s">
        <v>406</v>
      </c>
      <c r="P68" s="1467" t="s">
        <v>871</v>
      </c>
      <c r="Q68" s="1420">
        <f ca="1">ROUND(Q69-Q70*Q71,0)</f>
        <v>51495</v>
      </c>
      <c r="R68" s="1420" t="s">
        <v>414</v>
      </c>
    </row>
    <row r="69" spans="1:18" s="1384" customFormat="1" ht="13.5" thickBot="1">
      <c r="A69" s="951"/>
      <c r="B69" s="952"/>
      <c r="C69" s="306"/>
      <c r="D69" s="970" t="s">
        <v>762</v>
      </c>
      <c r="E69" s="950" t="s">
        <v>763</v>
      </c>
      <c r="F69" s="333">
        <f ca="1">F41</f>
        <v>21.35</v>
      </c>
      <c r="O69" s="1428" t="s">
        <v>411</v>
      </c>
      <c r="P69" s="1467" t="s">
        <v>872</v>
      </c>
      <c r="Q69" s="1420">
        <f ca="1">C39</f>
        <v>89476</v>
      </c>
      <c r="R69" s="1420" t="s">
        <v>818</v>
      </c>
    </row>
    <row r="70" spans="1:18" s="1384" customFormat="1" ht="13.5" thickBot="1">
      <c r="A70" s="954"/>
      <c r="B70" s="955"/>
      <c r="C70" s="310"/>
      <c r="D70" s="966"/>
      <c r="E70" s="950" t="s">
        <v>766</v>
      </c>
      <c r="F70" s="1054"/>
      <c r="O70" s="1428" t="s">
        <v>412</v>
      </c>
      <c r="P70" s="1467" t="s">
        <v>873</v>
      </c>
      <c r="Q70" s="1420">
        <f ca="1">C13</f>
        <v>542588</v>
      </c>
      <c r="R70" s="1420" t="s">
        <v>818</v>
      </c>
    </row>
    <row r="71" spans="1:18" s="1384" customFormat="1" ht="13.5" thickBot="1">
      <c r="A71" s="971" t="s">
        <v>396</v>
      </c>
      <c r="B71" s="972" t="s">
        <v>776</v>
      </c>
      <c r="C71" s="336">
        <f ca="1">ROUND(C68/F71,0)</f>
        <v>-366</v>
      </c>
      <c r="D71" s="973" t="s">
        <v>777</v>
      </c>
      <c r="E71" s="974" t="s">
        <v>778</v>
      </c>
      <c r="F71" s="339">
        <f ca="1">F43</f>
        <v>98.15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37981</v>
      </c>
      <c r="D75" s="1384"/>
      <c r="E75" s="1384"/>
      <c r="F75" s="1384"/>
      <c r="K75" s="1402"/>
      <c r="L75" s="1384"/>
      <c r="O75" s="1418" t="s">
        <v>409</v>
      </c>
      <c r="P75" s="1419" t="s">
        <v>838</v>
      </c>
      <c r="Q75" s="1420">
        <f ca="1">Q65+Q66</f>
        <v>1312481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0.57600000000000007</v>
      </c>
    </row>
    <row r="80" spans="1:18">
      <c r="B80" s="340" t="s">
        <v>800</v>
      </c>
      <c r="C80" s="274">
        <f ca="1">ROUND(C75/C39,3)</f>
        <v>0.42399999999999999</v>
      </c>
    </row>
    <row r="81" spans="2:3">
      <c r="B81" s="270" t="s">
        <v>801</v>
      </c>
      <c r="C81" s="238"/>
    </row>
    <row r="82" spans="2:3">
      <c r="B82" s="273" t="s">
        <v>802</v>
      </c>
      <c r="C82" s="275">
        <f ca="1">1-C83</f>
        <v>0.58699999999999997</v>
      </c>
    </row>
    <row r="83" spans="2:3">
      <c r="B83" s="273" t="s">
        <v>803</v>
      </c>
      <c r="C83" s="274">
        <f ca="1">ROUND(C13/C40,3)</f>
        <v>0.41299999999999998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62" t="s">
        <v>2317</v>
      </c>
      <c r="K2" s="3763"/>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64" t="s">
        <v>2327</v>
      </c>
      <c r="K3" s="3765"/>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64" t="s">
        <v>2329</v>
      </c>
      <c r="K4" s="3765"/>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70" t="s">
        <v>2333</v>
      </c>
      <c r="B6" s="3771"/>
      <c r="C6" s="3772"/>
      <c r="D6" s="2869"/>
      <c r="E6" s="2870"/>
      <c r="F6" s="2871"/>
      <c r="G6" s="2872"/>
      <c r="H6" s="2847"/>
      <c r="I6" s="2848"/>
      <c r="J6" s="3756">
        <v>1</v>
      </c>
      <c r="K6" s="375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56"/>
      <c r="K7" s="3758"/>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73" t="s">
        <v>2347</v>
      </c>
      <c r="C8" s="3774"/>
      <c r="D8" s="2888" t="s">
        <v>2348</v>
      </c>
      <c r="E8" s="2889" t="s">
        <v>2349</v>
      </c>
      <c r="F8" s="2890" t="s">
        <v>2350</v>
      </c>
      <c r="G8" s="2891"/>
      <c r="H8" s="2847"/>
      <c r="I8" s="2848"/>
      <c r="J8" s="3756"/>
      <c r="K8" s="3758"/>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73" t="s">
        <v>2353</v>
      </c>
      <c r="C9" s="3774"/>
      <c r="D9" s="2888">
        <f>ROUND(D6*E9,0)</f>
        <v>0</v>
      </c>
      <c r="E9" s="2892"/>
      <c r="F9" s="2893" t="s">
        <v>2354</v>
      </c>
      <c r="G9" s="2872"/>
      <c r="H9" s="2847"/>
      <c r="I9" s="2848"/>
      <c r="J9" s="3756"/>
      <c r="K9" s="3758"/>
      <c r="L9" s="2882" t="s">
        <v>2355</v>
      </c>
      <c r="M9" s="2883"/>
      <c r="N9" s="2859"/>
      <c r="O9" s="2884"/>
      <c r="P9" s="2884"/>
      <c r="Q9" s="2885">
        <v>365</v>
      </c>
      <c r="R9" s="2886">
        <f t="shared" si="0"/>
        <v>0</v>
      </c>
      <c r="S9" s="2840"/>
      <c r="T9" s="2840"/>
      <c r="U9" s="2840"/>
      <c r="V9" s="2848"/>
    </row>
    <row r="10" spans="1:22" s="2852" customFormat="1" ht="13.15" customHeight="1">
      <c r="A10" s="2887">
        <v>2</v>
      </c>
      <c r="B10" s="3773" t="s">
        <v>2356</v>
      </c>
      <c r="C10" s="3774"/>
      <c r="D10" s="2888">
        <f>ROUND(D6*E10,0)</f>
        <v>0</v>
      </c>
      <c r="E10" s="2892"/>
      <c r="F10" s="2893" t="s">
        <v>2357</v>
      </c>
      <c r="G10" s="2872"/>
      <c r="H10" s="2847"/>
      <c r="I10" s="2848"/>
      <c r="J10" s="3756"/>
      <c r="K10" s="3758"/>
      <c r="L10" s="2882" t="s">
        <v>2358</v>
      </c>
      <c r="M10" s="2883"/>
      <c r="N10" s="2859"/>
      <c r="O10" s="2884"/>
      <c r="P10" s="2884"/>
      <c r="Q10" s="2885">
        <v>365</v>
      </c>
      <c r="R10" s="2886">
        <f t="shared" si="0"/>
        <v>0</v>
      </c>
      <c r="S10" s="2840"/>
      <c r="T10" s="2840"/>
      <c r="U10" s="2840"/>
      <c r="V10" s="2848"/>
    </row>
    <row r="11" spans="1:22" s="2852" customFormat="1" ht="13.15" customHeight="1">
      <c r="A11" s="2887">
        <v>3</v>
      </c>
      <c r="B11" s="3773" t="s">
        <v>2359</v>
      </c>
      <c r="C11" s="3774"/>
      <c r="D11" s="2888">
        <f>D12+D14+D15+D16</f>
        <v>0</v>
      </c>
      <c r="E11" s="2894" t="e">
        <f>D11/D6</f>
        <v>#DIV/0!</v>
      </c>
      <c r="F11" s="2890"/>
      <c r="G11" s="2891"/>
      <c r="H11" s="2847"/>
      <c r="I11" s="2848"/>
      <c r="J11" s="3756"/>
      <c r="K11" s="3758"/>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66" t="s">
        <v>2362</v>
      </c>
      <c r="C12" s="3767"/>
      <c r="D12" s="2896">
        <f>ROUND(D13*1.2%*(1-30%),0)</f>
        <v>0</v>
      </c>
      <c r="E12" s="2897">
        <v>1.2E-2</v>
      </c>
      <c r="F12" s="2890" t="s">
        <v>2363</v>
      </c>
      <c r="G12" s="2891"/>
      <c r="H12" s="2847"/>
      <c r="I12" s="2848"/>
      <c r="J12" s="3756"/>
      <c r="K12" s="3758"/>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56"/>
      <c r="K13" s="3758"/>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66" t="s">
        <v>2368</v>
      </c>
      <c r="C14" s="3767"/>
      <c r="D14" s="2896">
        <f>ROUND(E14*B5/10000,0)</f>
        <v>0</v>
      </c>
      <c r="E14" s="2885"/>
      <c r="F14" s="2890" t="s">
        <v>2369</v>
      </c>
      <c r="G14" s="2891"/>
      <c r="H14" s="2847"/>
      <c r="I14" s="2848"/>
      <c r="J14" s="3756"/>
      <c r="K14" s="375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66" t="s">
        <v>2372</v>
      </c>
      <c r="C15" s="3767"/>
      <c r="D15" s="2896">
        <f>ROUND(D6*E15,0)</f>
        <v>0</v>
      </c>
      <c r="E15" s="2897">
        <v>5.5E-2</v>
      </c>
      <c r="F15" s="2890" t="s">
        <v>2373</v>
      </c>
      <c r="G15" s="2872"/>
      <c r="H15" s="2847"/>
      <c r="I15" s="2848"/>
      <c r="J15" s="3756">
        <v>2</v>
      </c>
      <c r="K15" s="375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66" t="s">
        <v>2381</v>
      </c>
      <c r="C16" s="3767"/>
      <c r="D16" s="2907">
        <f>D6*E16</f>
        <v>0</v>
      </c>
      <c r="E16" s="2908"/>
      <c r="F16" s="2893" t="s">
        <v>2382</v>
      </c>
      <c r="G16" s="2872"/>
      <c r="H16" s="2847"/>
      <c r="I16" s="2848"/>
      <c r="J16" s="3756"/>
      <c r="K16" s="3758"/>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68" t="s">
        <v>2384</v>
      </c>
      <c r="C17" s="3769"/>
      <c r="D17" s="2910">
        <f>ROUND(D6*E17,0)</f>
        <v>0</v>
      </c>
      <c r="E17" s="2911"/>
      <c r="F17" s="2912" t="s">
        <v>2385</v>
      </c>
      <c r="G17" s="2872"/>
      <c r="H17" s="2847"/>
      <c r="I17" s="2848"/>
      <c r="J17" s="3756"/>
      <c r="K17" s="3758"/>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56"/>
      <c r="K18" s="3758"/>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56"/>
      <c r="K19" s="375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6">
        <v>3</v>
      </c>
      <c r="K20" s="375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56"/>
      <c r="K21" s="3758"/>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56"/>
      <c r="K22" s="3758"/>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56"/>
      <c r="K23" s="3758"/>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56"/>
      <c r="K24" s="375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60">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6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62" t="s">
        <v>2317</v>
      </c>
      <c r="K32" s="3763"/>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64" t="s">
        <v>2327</v>
      </c>
      <c r="K33" s="3765"/>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64" t="s">
        <v>2329</v>
      </c>
      <c r="K34" s="376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56">
        <v>1</v>
      </c>
      <c r="K36" s="3757"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56"/>
      <c r="K37" s="3758"/>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6"/>
      <c r="K38" s="3758"/>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56"/>
      <c r="K39" s="3758"/>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56"/>
      <c r="K40" s="3759"/>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60">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6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137.9641</v>
      </c>
      <c r="C2" s="1872" t="s">
        <v>1651</v>
      </c>
      <c r="D2" s="1873" t="s">
        <v>1652</v>
      </c>
      <c r="E2" s="2607">
        <f>SUM(E6:E13)</f>
        <v>98.15</v>
      </c>
      <c r="F2" s="2706"/>
      <c r="G2" s="1489"/>
      <c r="H2" s="1489"/>
      <c r="I2" s="1489"/>
      <c r="J2" s="1489"/>
      <c r="K2" s="1489"/>
      <c r="L2" s="1489"/>
      <c r="M2" s="1489"/>
      <c r="N2" s="1489"/>
      <c r="O2" s="1489"/>
      <c r="P2" s="1489"/>
      <c r="Q2" s="1489"/>
      <c r="R2" s="1489"/>
      <c r="S2" s="1489"/>
    </row>
    <row r="3" spans="1:22" ht="15.75">
      <c r="A3" s="1870" t="s">
        <v>686</v>
      </c>
      <c r="B3" s="2601">
        <f ca="1">ROUND(B2*10000/E2,0)</f>
        <v>14056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75" t="s">
        <v>1654</v>
      </c>
      <c r="C5" s="3776"/>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137.9641</v>
      </c>
      <c r="C6" s="1872" t="s">
        <v>1651</v>
      </c>
      <c r="D6" s="2708"/>
      <c r="E6" s="2606">
        <f>IF(OR(A6=0,F6="否"),0,'数据-取费表'!K6+'数据-取费表'!S6)</f>
        <v>98.15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98.15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3" t="s">
        <v>1667</v>
      </c>
      <c r="D4" s="3724"/>
      <c r="E4" s="3725" t="s">
        <v>1668</v>
      </c>
      <c r="F4" s="3726"/>
      <c r="G4" s="3723" t="s">
        <v>1669</v>
      </c>
      <c r="H4" s="3724"/>
      <c r="I4" s="3723" t="s">
        <v>1670</v>
      </c>
      <c r="J4" s="3724"/>
      <c r="K4" s="1889" t="s">
        <v>1671</v>
      </c>
      <c r="L4" s="2714"/>
      <c r="M4" s="2715"/>
      <c r="N4" s="2715"/>
      <c r="O4" s="2715"/>
      <c r="P4" s="3781" t="s">
        <v>1672</v>
      </c>
      <c r="Q4" s="3782"/>
      <c r="R4" s="3785" t="s">
        <v>1668</v>
      </c>
      <c r="S4" s="3786"/>
      <c r="T4" s="3785" t="s">
        <v>1669</v>
      </c>
      <c r="U4" s="3786"/>
      <c r="V4" s="3740" t="s">
        <v>1670</v>
      </c>
      <c r="W4" s="3740"/>
      <c r="X4" s="1355"/>
      <c r="Y4" s="3785" t="s">
        <v>1672</v>
      </c>
      <c r="Z4" s="3786"/>
      <c r="AA4" s="3780" t="s">
        <v>1668</v>
      </c>
      <c r="AB4" s="3780" t="s">
        <v>1669</v>
      </c>
      <c r="AC4" s="3780" t="s">
        <v>1670</v>
      </c>
    </row>
    <row r="5" spans="1:29" ht="15">
      <c r="A5" s="358"/>
      <c r="B5" s="359"/>
      <c r="C5" s="3787" t="s">
        <v>1673</v>
      </c>
      <c r="D5" s="3744"/>
      <c r="E5" s="3788" t="s">
        <v>1674</v>
      </c>
      <c r="F5" s="3755"/>
      <c r="G5" s="3787" t="s">
        <v>1675</v>
      </c>
      <c r="H5" s="3744"/>
      <c r="I5" s="3787" t="s">
        <v>1676</v>
      </c>
      <c r="J5" s="3744"/>
      <c r="K5" s="1890"/>
      <c r="L5" s="2714"/>
      <c r="M5" s="2715"/>
      <c r="N5" s="2715"/>
      <c r="O5" s="2715"/>
      <c r="P5" s="3783"/>
      <c r="Q5" s="3730"/>
      <c r="R5" s="3735"/>
      <c r="S5" s="3736"/>
      <c r="T5" s="3735"/>
      <c r="U5" s="3736"/>
      <c r="V5" s="3740"/>
      <c r="W5" s="3740"/>
      <c r="X5" s="1355"/>
      <c r="Y5" s="3735"/>
      <c r="Z5" s="3736"/>
      <c r="AA5" s="3752"/>
      <c r="AB5" s="3752"/>
      <c r="AC5" s="3752"/>
    </row>
    <row r="6" spans="1:29" ht="15.75" thickBot="1">
      <c r="A6" s="360"/>
      <c r="B6" s="361"/>
      <c r="C6" s="3741" t="s">
        <v>1677</v>
      </c>
      <c r="D6" s="3742"/>
      <c r="E6" s="3749" t="s">
        <v>1677</v>
      </c>
      <c r="F6" s="3750"/>
      <c r="G6" s="3741" t="s">
        <v>1677</v>
      </c>
      <c r="H6" s="3742"/>
      <c r="I6" s="3741" t="s">
        <v>1677</v>
      </c>
      <c r="J6" s="3742"/>
      <c r="K6" s="1890" t="s">
        <v>1678</v>
      </c>
      <c r="L6" s="2714"/>
      <c r="M6" s="2715"/>
      <c r="N6" s="2715"/>
      <c r="O6" s="2715"/>
      <c r="P6" s="3784"/>
      <c r="Q6" s="3732"/>
      <c r="R6" s="3735"/>
      <c r="S6" s="3736"/>
      <c r="T6" s="3737"/>
      <c r="U6" s="3738"/>
      <c r="V6" s="3740"/>
      <c r="W6" s="3740"/>
      <c r="X6" s="1355"/>
      <c r="Y6" s="3737"/>
      <c r="Z6" s="3738"/>
      <c r="AA6" s="3753"/>
      <c r="AB6" s="3753"/>
      <c r="AC6" s="3753"/>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47" t="s">
        <v>1680</v>
      </c>
      <c r="Q7" s="3748"/>
      <c r="R7" s="701" t="s">
        <v>20</v>
      </c>
      <c r="S7" s="702">
        <f t="shared" ref="S7:S15" si="0">F7</f>
        <v>0</v>
      </c>
      <c r="T7" s="701" t="s">
        <v>20</v>
      </c>
      <c r="U7" s="702">
        <f t="shared" ref="U7:U15" si="1">H7</f>
        <v>0</v>
      </c>
      <c r="V7" s="701" t="s">
        <v>20</v>
      </c>
      <c r="W7" s="702">
        <f t="shared" ref="W7:W15" si="2">J7</f>
        <v>0</v>
      </c>
      <c r="X7" s="703"/>
      <c r="Y7" s="3747" t="s">
        <v>1680</v>
      </c>
      <c r="Z7" s="374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47" t="s">
        <v>1683</v>
      </c>
      <c r="Q8" s="3746"/>
      <c r="R8" s="701" t="s">
        <v>20</v>
      </c>
      <c r="S8" s="702">
        <f t="shared" si="0"/>
        <v>100</v>
      </c>
      <c r="T8" s="701" t="s">
        <v>20</v>
      </c>
      <c r="U8" s="702">
        <f t="shared" si="1"/>
        <v>100</v>
      </c>
      <c r="V8" s="701" t="s">
        <v>20</v>
      </c>
      <c r="W8" s="702">
        <f t="shared" si="2"/>
        <v>100</v>
      </c>
      <c r="X8" s="703"/>
      <c r="Y8" s="3747" t="s">
        <v>1683</v>
      </c>
      <c r="Z8" s="374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5"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5"/>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5"/>
      <c r="Q11" s="1343" t="str">
        <f t="shared" si="6"/>
        <v>容积率</v>
      </c>
      <c r="R11" s="701" t="s">
        <v>18</v>
      </c>
      <c r="S11" s="702" t="e">
        <f t="shared" si="0"/>
        <v>#N/A</v>
      </c>
      <c r="T11" s="701" t="s">
        <v>18</v>
      </c>
      <c r="U11" s="702" t="e">
        <f t="shared" si="1"/>
        <v>#N/A</v>
      </c>
      <c r="V11" s="701" t="s">
        <v>18</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5"/>
      <c r="Q12" s="1343">
        <f t="shared" si="6"/>
        <v>111</v>
      </c>
      <c r="R12" s="701" t="s">
        <v>18</v>
      </c>
      <c r="S12" s="702">
        <f t="shared" si="0"/>
        <v>100</v>
      </c>
      <c r="T12" s="701" t="s">
        <v>18</v>
      </c>
      <c r="U12" s="702">
        <f t="shared" si="1"/>
        <v>100</v>
      </c>
      <c r="V12" s="701" t="s">
        <v>18</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5"/>
      <c r="Q13" s="1343">
        <f t="shared" si="6"/>
        <v>111</v>
      </c>
      <c r="R13" s="701" t="s">
        <v>18</v>
      </c>
      <c r="S13" s="702">
        <f t="shared" si="0"/>
        <v>100</v>
      </c>
      <c r="T13" s="701" t="s">
        <v>18</v>
      </c>
      <c r="U13" s="702">
        <f t="shared" si="1"/>
        <v>100</v>
      </c>
      <c r="V13" s="701" t="s">
        <v>18</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5"/>
      <c r="Q14" s="1343">
        <f t="shared" si="6"/>
        <v>111</v>
      </c>
      <c r="R14" s="701" t="s">
        <v>18</v>
      </c>
      <c r="S14" s="702">
        <f t="shared" si="0"/>
        <v>100</v>
      </c>
      <c r="T14" s="701" t="s">
        <v>18</v>
      </c>
      <c r="U14" s="702">
        <f t="shared" si="1"/>
        <v>100</v>
      </c>
      <c r="V14" s="701" t="s">
        <v>18</v>
      </c>
      <c r="W14" s="702">
        <f t="shared" si="2"/>
        <v>100</v>
      </c>
      <c r="X14" s="703"/>
      <c r="Y14" s="358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1"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2"/>
      <c r="Q16" s="1352"/>
      <c r="R16" s="705"/>
      <c r="S16" s="706"/>
      <c r="T16" s="705"/>
      <c r="U16" s="706"/>
      <c r="V16" s="705"/>
      <c r="W16" s="706"/>
      <c r="X16" s="1355"/>
      <c r="Y16" s="371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2"/>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2"/>
      <c r="Q18" s="1352"/>
      <c r="R18" s="705"/>
      <c r="S18" s="706"/>
      <c r="T18" s="705"/>
      <c r="U18" s="706"/>
      <c r="V18" s="705"/>
      <c r="W18" s="706"/>
      <c r="X18" s="1355"/>
      <c r="Y18" s="371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2"/>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2"/>
      <c r="Q20" s="1352"/>
      <c r="R20" s="705"/>
      <c r="S20" s="706"/>
      <c r="T20" s="705"/>
      <c r="U20" s="706"/>
      <c r="V20" s="705"/>
      <c r="W20" s="706"/>
      <c r="X20" s="1355"/>
      <c r="Y20" s="371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2"/>
      <c r="Q22" s="1352"/>
      <c r="R22" s="705"/>
      <c r="S22" s="706"/>
      <c r="T22" s="705"/>
      <c r="U22" s="706"/>
      <c r="V22" s="705"/>
      <c r="W22" s="706"/>
      <c r="X22" s="1355"/>
      <c r="Y22" s="371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2"/>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2"/>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2"/>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2"/>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2"/>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2"/>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2"/>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2"/>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77" t="str">
        <f>A49</f>
        <v>估价对象XX用房的比较价值（楼面单价，元/平方米）</v>
      </c>
      <c r="Q49" s="3778"/>
      <c r="R49" s="3779" t="e">
        <f>IF(F1="售价",ROUND(IF(D48="简单平均",AVERAGE(R48:V48),R48*F48+T48*H48+V48*J48),0),ROUND(IF(D48="简单平均",AVERAGE(R48:V48),R48*F48+T48*H48+V48*J48),1))</f>
        <v>#DIV/0!</v>
      </c>
      <c r="S49" s="3779"/>
      <c r="T49" s="3779"/>
      <c r="U49" s="3779"/>
      <c r="V49" s="3779"/>
      <c r="W49" s="377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受贵公司委托，我公司对北京市朝阳区慧忠路5号12层C1201、C1202、C1203、C1205、C1206共5套办公用房房地产抵押价值进行了预评估。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12层C1201、C1202、C1203、C1205、C1206共5套办公用房房地产，为所有。根据《国有土地使用证》[]，估价对象（分摊）出让国有建设用地使用权面积为0平方米，建筑面积为98.15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98.15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98.15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81" t="s">
        <v>1775</v>
      </c>
      <c r="Q4" s="3782"/>
      <c r="R4" s="3785" t="s">
        <v>1771</v>
      </c>
      <c r="S4" s="3786"/>
      <c r="T4" s="3785" t="s">
        <v>1772</v>
      </c>
      <c r="U4" s="3786"/>
      <c r="V4" s="3740" t="s">
        <v>1773</v>
      </c>
      <c r="W4" s="3740"/>
      <c r="X4" s="1355"/>
      <c r="Y4" s="3785" t="s">
        <v>1775</v>
      </c>
      <c r="Z4" s="3786"/>
      <c r="AA4" s="3780" t="s">
        <v>1771</v>
      </c>
      <c r="AB4" s="3740" t="s">
        <v>1772</v>
      </c>
      <c r="AC4" s="3780" t="s">
        <v>1773</v>
      </c>
    </row>
    <row r="5" spans="1:29" ht="15">
      <c r="A5" s="358"/>
      <c r="B5" s="359"/>
      <c r="C5" s="3787" t="s">
        <v>1673</v>
      </c>
      <c r="D5" s="3744"/>
      <c r="E5" s="3788" t="s">
        <v>1674</v>
      </c>
      <c r="F5" s="3755"/>
      <c r="G5" s="3787" t="s">
        <v>1675</v>
      </c>
      <c r="H5" s="3744"/>
      <c r="I5" s="3787" t="s">
        <v>1676</v>
      </c>
      <c r="J5" s="3744"/>
      <c r="K5" s="559"/>
      <c r="L5" s="2714"/>
      <c r="M5" s="2715"/>
      <c r="N5" s="2715"/>
      <c r="O5" s="2715"/>
      <c r="P5" s="3783"/>
      <c r="Q5" s="3730"/>
      <c r="R5" s="3735"/>
      <c r="S5" s="3736"/>
      <c r="T5" s="3735"/>
      <c r="U5" s="3736"/>
      <c r="V5" s="3740"/>
      <c r="W5" s="3740"/>
      <c r="X5" s="1355"/>
      <c r="Y5" s="3735"/>
      <c r="Z5" s="3736"/>
      <c r="AA5" s="3752"/>
      <c r="AB5" s="3740"/>
      <c r="AC5" s="3752"/>
    </row>
    <row r="6" spans="1:29" ht="15.75" thickBot="1">
      <c r="A6" s="360"/>
      <c r="B6" s="361"/>
      <c r="C6" s="3741" t="s">
        <v>1677</v>
      </c>
      <c r="D6" s="3742"/>
      <c r="E6" s="3749" t="s">
        <v>1677</v>
      </c>
      <c r="F6" s="3750"/>
      <c r="G6" s="3741" t="s">
        <v>1677</v>
      </c>
      <c r="H6" s="3742"/>
      <c r="I6" s="3741" t="s">
        <v>1677</v>
      </c>
      <c r="J6" s="3742"/>
      <c r="K6" s="559" t="s">
        <v>1678</v>
      </c>
      <c r="L6" s="2714"/>
      <c r="M6" s="2715"/>
      <c r="N6" s="2715"/>
      <c r="O6" s="2715"/>
      <c r="P6" s="3784"/>
      <c r="Q6" s="3732"/>
      <c r="R6" s="3735"/>
      <c r="S6" s="3736"/>
      <c r="T6" s="3737"/>
      <c r="U6" s="3738"/>
      <c r="V6" s="3740"/>
      <c r="W6" s="3740"/>
      <c r="X6" s="1355"/>
      <c r="Y6" s="3737"/>
      <c r="Z6" s="3738"/>
      <c r="AA6" s="3753"/>
      <c r="AB6" s="3740"/>
      <c r="AC6" s="3753"/>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47" t="s">
        <v>1680</v>
      </c>
      <c r="Q7" s="3748"/>
      <c r="R7" s="701" t="s">
        <v>14</v>
      </c>
      <c r="S7" s="702">
        <f t="shared" ref="S7:S15" si="0">F7</f>
        <v>0</v>
      </c>
      <c r="T7" s="701" t="s">
        <v>14</v>
      </c>
      <c r="U7" s="702">
        <f t="shared" ref="U7:U15" si="1">H7</f>
        <v>0</v>
      </c>
      <c r="V7" s="701" t="s">
        <v>14</v>
      </c>
      <c r="W7" s="702">
        <f t="shared" ref="W7:W15" si="2">J7</f>
        <v>0</v>
      </c>
      <c r="X7" s="703"/>
      <c r="Y7" s="3747" t="s">
        <v>1680</v>
      </c>
      <c r="Z7" s="374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47" t="s">
        <v>1683</v>
      </c>
      <c r="Q8" s="3746"/>
      <c r="R8" s="701" t="s">
        <v>14</v>
      </c>
      <c r="S8" s="702">
        <f t="shared" si="0"/>
        <v>100</v>
      </c>
      <c r="T8" s="701" t="s">
        <v>14</v>
      </c>
      <c r="U8" s="702">
        <f t="shared" si="1"/>
        <v>100</v>
      </c>
      <c r="V8" s="701" t="s">
        <v>14</v>
      </c>
      <c r="W8" s="702">
        <f t="shared" si="2"/>
        <v>100</v>
      </c>
      <c r="X8" s="703"/>
      <c r="Y8" s="3747" t="s">
        <v>1683</v>
      </c>
      <c r="Z8" s="374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5"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5"/>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5"/>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5"/>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5"/>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5"/>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1"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2"/>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2"/>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2"/>
      <c r="Q18" s="1352"/>
      <c r="R18" s="705"/>
      <c r="S18" s="706"/>
      <c r="T18" s="705"/>
      <c r="U18" s="706"/>
      <c r="V18" s="705"/>
      <c r="W18" s="706"/>
      <c r="X18" s="1355"/>
      <c r="Y18" s="371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2"/>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2"/>
      <c r="Q20" s="1352"/>
      <c r="R20" s="705"/>
      <c r="S20" s="706"/>
      <c r="T20" s="705"/>
      <c r="U20" s="706"/>
      <c r="V20" s="705"/>
      <c r="W20" s="706"/>
      <c r="X20" s="1355"/>
      <c r="Y20" s="371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2"/>
      <c r="Q22" s="1352"/>
      <c r="R22" s="705"/>
      <c r="S22" s="706"/>
      <c r="T22" s="705"/>
      <c r="U22" s="706"/>
      <c r="V22" s="705"/>
      <c r="W22" s="706"/>
      <c r="X22" s="1355"/>
      <c r="Y22" s="371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2"/>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2"/>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2"/>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2"/>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2"/>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2"/>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2"/>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2"/>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6" t="str">
        <f>A47</f>
        <v>成交单价（元/平方米）</v>
      </c>
      <c r="Q47" s="3706"/>
      <c r="R47" s="3740">
        <f>E47</f>
        <v>0</v>
      </c>
      <c r="S47" s="3740"/>
      <c r="T47" s="3740">
        <f>G47</f>
        <v>0</v>
      </c>
      <c r="U47" s="3740"/>
      <c r="V47" s="3740">
        <f>I47</f>
        <v>0</v>
      </c>
      <c r="W47" s="374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77" t="str">
        <f>A49</f>
        <v>估价对象XX用房的比较价值（楼面单价，元/平方米）</v>
      </c>
      <c r="Q49" s="3778"/>
      <c r="R49" s="3779" t="e">
        <f>IF(F1="售价",ROUND(IF(D48="简单平均",AVERAGE(R48:V48),R48*F48+T48*H48+V48*J48),0),ROUND(IF(D48="简单平均",AVERAGE(R48:V48),R48*F48+T48*H48+V48*J48),1))</f>
        <v>#DIV/0!</v>
      </c>
      <c r="S49" s="3779"/>
      <c r="T49" s="3779"/>
      <c r="U49" s="3779"/>
      <c r="V49" s="3779"/>
      <c r="W49" s="377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913"/>
      <c r="M4" s="914"/>
      <c r="N4" s="914"/>
      <c r="O4" s="914"/>
      <c r="P4" s="3781" t="s">
        <v>1775</v>
      </c>
      <c r="Q4" s="3782"/>
      <c r="R4" s="3785" t="s">
        <v>1771</v>
      </c>
      <c r="S4" s="3786"/>
      <c r="T4" s="3785" t="s">
        <v>1772</v>
      </c>
      <c r="U4" s="3786"/>
      <c r="V4" s="3740" t="s">
        <v>1773</v>
      </c>
      <c r="W4" s="3740"/>
      <c r="X4" s="1355"/>
      <c r="Y4" s="3785" t="s">
        <v>1775</v>
      </c>
      <c r="Z4" s="3786"/>
      <c r="AA4" s="3780" t="s">
        <v>1771</v>
      </c>
      <c r="AB4" s="3752" t="s">
        <v>1772</v>
      </c>
      <c r="AC4" s="3780" t="s">
        <v>1773</v>
      </c>
    </row>
    <row r="5" spans="1:29" ht="15">
      <c r="A5" s="358"/>
      <c r="B5" s="359"/>
      <c r="C5" s="3787" t="s">
        <v>1673</v>
      </c>
      <c r="D5" s="3744"/>
      <c r="E5" s="3788" t="s">
        <v>1674</v>
      </c>
      <c r="F5" s="3755"/>
      <c r="G5" s="3787" t="s">
        <v>1675</v>
      </c>
      <c r="H5" s="3744"/>
      <c r="I5" s="3787" t="s">
        <v>1676</v>
      </c>
      <c r="J5" s="3744"/>
      <c r="K5" s="559"/>
      <c r="L5" s="913"/>
      <c r="M5" s="914"/>
      <c r="N5" s="914"/>
      <c r="O5" s="914"/>
      <c r="P5" s="3783"/>
      <c r="Q5" s="3730"/>
      <c r="R5" s="3735"/>
      <c r="S5" s="3736"/>
      <c r="T5" s="3735"/>
      <c r="U5" s="3736"/>
      <c r="V5" s="3740"/>
      <c r="W5" s="3740"/>
      <c r="X5" s="1355"/>
      <c r="Y5" s="3735"/>
      <c r="Z5" s="3736"/>
      <c r="AA5" s="3752"/>
      <c r="AB5" s="3752"/>
      <c r="AC5" s="3752"/>
    </row>
    <row r="6" spans="1:29" ht="15.75" thickBot="1">
      <c r="A6" s="360"/>
      <c r="B6" s="361"/>
      <c r="C6" s="3741" t="s">
        <v>1677</v>
      </c>
      <c r="D6" s="3742"/>
      <c r="E6" s="3749" t="s">
        <v>1677</v>
      </c>
      <c r="F6" s="3750"/>
      <c r="G6" s="3741" t="s">
        <v>1677</v>
      </c>
      <c r="H6" s="3742"/>
      <c r="I6" s="3741" t="s">
        <v>1677</v>
      </c>
      <c r="J6" s="3742"/>
      <c r="K6" s="559" t="s">
        <v>1678</v>
      </c>
      <c r="L6" s="913"/>
      <c r="M6" s="914"/>
      <c r="N6" s="914"/>
      <c r="O6" s="914"/>
      <c r="P6" s="3784"/>
      <c r="Q6" s="3732"/>
      <c r="R6" s="3735"/>
      <c r="S6" s="3736"/>
      <c r="T6" s="3737"/>
      <c r="U6" s="3738"/>
      <c r="V6" s="3740"/>
      <c r="W6" s="3740"/>
      <c r="X6" s="1355"/>
      <c r="Y6" s="3737"/>
      <c r="Z6" s="3738"/>
      <c r="AA6" s="3753"/>
      <c r="AB6" s="3753"/>
      <c r="AC6" s="3753"/>
    </row>
    <row r="7" spans="1:29" s="108" customFormat="1" ht="15.75" thickBot="1">
      <c r="A7" s="362" t="s">
        <v>1679</v>
      </c>
      <c r="B7" s="363"/>
      <c r="C7" s="364">
        <f>'数据-取费表'!B2</f>
        <v>45874</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48"/>
      <c r="R7" s="701" t="s">
        <v>14</v>
      </c>
      <c r="S7" s="702">
        <f t="shared" ref="S7:S15" si="0">F7</f>
        <v>0</v>
      </c>
      <c r="T7" s="701" t="s">
        <v>14</v>
      </c>
      <c r="U7" s="702">
        <f t="shared" ref="U7:U15" si="1">H7</f>
        <v>0</v>
      </c>
      <c r="V7" s="701" t="s">
        <v>14</v>
      </c>
      <c r="W7" s="702">
        <f t="shared" ref="W7:W15" si="2">J7</f>
        <v>0</v>
      </c>
      <c r="X7" s="703"/>
      <c r="Y7" s="3747" t="s">
        <v>1680</v>
      </c>
      <c r="Z7" s="374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6"/>
      <c r="R8" s="701" t="s">
        <v>14</v>
      </c>
      <c r="S8" s="702">
        <f t="shared" si="0"/>
        <v>100</v>
      </c>
      <c r="T8" s="701" t="s">
        <v>14</v>
      </c>
      <c r="U8" s="702">
        <f t="shared" si="1"/>
        <v>100</v>
      </c>
      <c r="V8" s="701" t="s">
        <v>14</v>
      </c>
      <c r="W8" s="702">
        <f t="shared" si="2"/>
        <v>100</v>
      </c>
      <c r="X8" s="703"/>
      <c r="Y8" s="3747" t="s">
        <v>1683</v>
      </c>
      <c r="Z8" s="374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9"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7" t="str">
        <f>A43</f>
        <v>估价对象XX用房的比较价值（楼面单价，元/平方米）</v>
      </c>
      <c r="Q43" s="3778"/>
      <c r="R43" s="3779" t="e">
        <f>IF(F1="售价",ROUND(IF(D42="简单平均",AVERAGE(R42:V42),R42*F42+T42*H42+V42*J42),0),ROUND(IF(D42="简单平均",AVERAGE(R42:V42),R42*F42+T42*H42+V42*J42),1))</f>
        <v>#DIV/0!</v>
      </c>
      <c r="S43" s="3779"/>
      <c r="T43" s="3779"/>
      <c r="U43" s="3779"/>
      <c r="V43" s="3779"/>
      <c r="W43" s="377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81" t="s">
        <v>1775</v>
      </c>
      <c r="Q4" s="3782"/>
      <c r="R4" s="3785" t="s">
        <v>1771</v>
      </c>
      <c r="S4" s="3786"/>
      <c r="T4" s="3785" t="s">
        <v>1772</v>
      </c>
      <c r="U4" s="3786"/>
      <c r="V4" s="3740" t="s">
        <v>1773</v>
      </c>
      <c r="W4" s="3740"/>
      <c r="X4" s="1355"/>
      <c r="Y4" s="3785" t="s">
        <v>1775</v>
      </c>
      <c r="Z4" s="3786"/>
      <c r="AA4" s="3780" t="s">
        <v>1771</v>
      </c>
      <c r="AB4" s="3752" t="s">
        <v>1772</v>
      </c>
      <c r="AC4" s="3780" t="s">
        <v>1773</v>
      </c>
    </row>
    <row r="5" spans="1:29" ht="15">
      <c r="A5" s="358"/>
      <c r="B5" s="359"/>
      <c r="C5" s="3787" t="s">
        <v>1673</v>
      </c>
      <c r="D5" s="3744"/>
      <c r="E5" s="3788" t="s">
        <v>1674</v>
      </c>
      <c r="F5" s="3755"/>
      <c r="G5" s="3787" t="s">
        <v>1675</v>
      </c>
      <c r="H5" s="3744"/>
      <c r="I5" s="3787" t="s">
        <v>1676</v>
      </c>
      <c r="J5" s="3744"/>
      <c r="K5" s="559"/>
      <c r="L5" s="2714"/>
      <c r="M5" s="2715"/>
      <c r="N5" s="2715"/>
      <c r="O5" s="2715"/>
      <c r="P5" s="3783"/>
      <c r="Q5" s="3730"/>
      <c r="R5" s="3735"/>
      <c r="S5" s="3736"/>
      <c r="T5" s="3735"/>
      <c r="U5" s="3736"/>
      <c r="V5" s="3740"/>
      <c r="W5" s="3740"/>
      <c r="X5" s="1355"/>
      <c r="Y5" s="3735"/>
      <c r="Z5" s="3736"/>
      <c r="AA5" s="3752"/>
      <c r="AB5" s="3752"/>
      <c r="AC5" s="3752"/>
    </row>
    <row r="6" spans="1:29" ht="15.75" thickBot="1">
      <c r="A6" s="360"/>
      <c r="B6" s="361"/>
      <c r="C6" s="3741" t="s">
        <v>1677</v>
      </c>
      <c r="D6" s="3742"/>
      <c r="E6" s="3749" t="s">
        <v>1677</v>
      </c>
      <c r="F6" s="3750"/>
      <c r="G6" s="3741" t="s">
        <v>1677</v>
      </c>
      <c r="H6" s="3742"/>
      <c r="I6" s="3741" t="s">
        <v>1677</v>
      </c>
      <c r="J6" s="3742"/>
      <c r="K6" s="559" t="s">
        <v>1678</v>
      </c>
      <c r="L6" s="2714"/>
      <c r="M6" s="2715"/>
      <c r="N6" s="2715"/>
      <c r="O6" s="2715"/>
      <c r="P6" s="3784"/>
      <c r="Q6" s="3732"/>
      <c r="R6" s="3735"/>
      <c r="S6" s="3736"/>
      <c r="T6" s="3737"/>
      <c r="U6" s="3738"/>
      <c r="V6" s="3740"/>
      <c r="W6" s="3740"/>
      <c r="X6" s="1355"/>
      <c r="Y6" s="3737"/>
      <c r="Z6" s="3738"/>
      <c r="AA6" s="3753"/>
      <c r="AB6" s="3753"/>
      <c r="AC6" s="3753"/>
    </row>
    <row r="7" spans="1:29" s="108" customFormat="1" ht="15.75" thickBot="1">
      <c r="A7" s="362" t="s">
        <v>1679</v>
      </c>
      <c r="B7" s="363"/>
      <c r="C7" s="364">
        <f>'数据-取费表'!B2</f>
        <v>45874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47" t="s">
        <v>1680</v>
      </c>
      <c r="Q7" s="3748"/>
      <c r="R7" s="701" t="s">
        <v>14</v>
      </c>
      <c r="S7" s="702">
        <f t="shared" ref="S7:S14" si="0">F7</f>
        <v>0</v>
      </c>
      <c r="T7" s="701" t="s">
        <v>14</v>
      </c>
      <c r="U7" s="702">
        <f t="shared" ref="U7:U14" si="1">H7</f>
        <v>0</v>
      </c>
      <c r="V7" s="701" t="s">
        <v>14</v>
      </c>
      <c r="W7" s="702">
        <f t="shared" ref="W7:W14" si="2">J7</f>
        <v>0</v>
      </c>
      <c r="X7" s="703"/>
      <c r="Y7" s="3747" t="s">
        <v>1680</v>
      </c>
      <c r="Z7" s="374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47" t="s">
        <v>1683</v>
      </c>
      <c r="Q8" s="3746"/>
      <c r="R8" s="701" t="s">
        <v>14</v>
      </c>
      <c r="S8" s="702">
        <f t="shared" si="0"/>
        <v>100</v>
      </c>
      <c r="T8" s="701" t="s">
        <v>14</v>
      </c>
      <c r="U8" s="702">
        <f t="shared" si="1"/>
        <v>100</v>
      </c>
      <c r="V8" s="701" t="s">
        <v>14</v>
      </c>
      <c r="W8" s="702">
        <f t="shared" si="2"/>
        <v>100</v>
      </c>
      <c r="X8" s="703"/>
      <c r="Y8" s="3747" t="s">
        <v>1683</v>
      </c>
      <c r="Z8" s="374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4"/>
      <c r="Q15" s="1352"/>
      <c r="R15" s="705"/>
      <c r="S15" s="706"/>
      <c r="T15" s="705"/>
      <c r="U15" s="706"/>
      <c r="V15" s="705"/>
      <c r="W15" s="706"/>
      <c r="X15" s="1355"/>
      <c r="Y15" s="371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4"/>
      <c r="Q17" s="1352"/>
      <c r="R17" s="705"/>
      <c r="S17" s="706"/>
      <c r="T17" s="705"/>
      <c r="U17" s="706"/>
      <c r="V17" s="705"/>
      <c r="W17" s="706"/>
      <c r="X17" s="1355"/>
      <c r="Y17" s="371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4"/>
      <c r="Q19" s="1352"/>
      <c r="R19" s="705"/>
      <c r="S19" s="706"/>
      <c r="T19" s="705"/>
      <c r="U19" s="706"/>
      <c r="V19" s="705"/>
      <c r="W19" s="706"/>
      <c r="X19" s="1355"/>
      <c r="Y19" s="371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8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77" t="str">
        <f>A39</f>
        <v>估价对象XX用房的比较价值（楼面单价，元/平方米）</v>
      </c>
      <c r="Q39" s="3778"/>
      <c r="R39" s="3790" t="e">
        <f>IF(F1="售价",ROUND(IF(D38="简单平均",AVERAGE(R38:W38),R38*F38+T38*H38+V38*J38),0),ROUND(IF(D38="简单平均",AVERAGE(R38:V38),R38*F38+T38*H38+V38*J38),1))</f>
        <v>#DIV/0!</v>
      </c>
      <c r="S39" s="3790"/>
      <c r="T39" s="3790"/>
      <c r="U39" s="3790"/>
      <c r="V39" s="3790"/>
      <c r="W39" s="379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81" t="s">
        <v>1775</v>
      </c>
      <c r="Q4" s="3782"/>
      <c r="R4" s="3785" t="s">
        <v>1771</v>
      </c>
      <c r="S4" s="3786"/>
      <c r="T4" s="3785" t="s">
        <v>1772</v>
      </c>
      <c r="U4" s="3786"/>
      <c r="V4" s="3740" t="s">
        <v>1773</v>
      </c>
      <c r="W4" s="3740"/>
      <c r="X4" s="1355"/>
      <c r="Y4" s="3785" t="s">
        <v>1775</v>
      </c>
      <c r="Z4" s="3786"/>
      <c r="AA4" s="3780" t="s">
        <v>1771</v>
      </c>
      <c r="AB4" s="3752" t="s">
        <v>1772</v>
      </c>
      <c r="AC4" s="3780" t="s">
        <v>1773</v>
      </c>
    </row>
    <row r="5" spans="1:29" ht="15">
      <c r="A5" s="358"/>
      <c r="B5" s="359"/>
      <c r="C5" s="3787" t="s">
        <v>1673</v>
      </c>
      <c r="D5" s="3744"/>
      <c r="E5" s="3788" t="s">
        <v>1674</v>
      </c>
      <c r="F5" s="3755"/>
      <c r="G5" s="3787" t="s">
        <v>1675</v>
      </c>
      <c r="H5" s="3744"/>
      <c r="I5" s="3787" t="s">
        <v>1676</v>
      </c>
      <c r="J5" s="3744"/>
      <c r="K5" s="559"/>
      <c r="L5" s="2714"/>
      <c r="M5" s="2715"/>
      <c r="N5" s="2715"/>
      <c r="O5" s="2715"/>
      <c r="P5" s="3783"/>
      <c r="Q5" s="3730"/>
      <c r="R5" s="3735"/>
      <c r="S5" s="3736"/>
      <c r="T5" s="3735"/>
      <c r="U5" s="3736"/>
      <c r="V5" s="3740"/>
      <c r="W5" s="3740"/>
      <c r="X5" s="1355"/>
      <c r="Y5" s="3735"/>
      <c r="Z5" s="3736"/>
      <c r="AA5" s="3752"/>
      <c r="AB5" s="3752"/>
      <c r="AC5" s="3752"/>
    </row>
    <row r="6" spans="1:29" ht="15.75" thickBot="1">
      <c r="A6" s="360"/>
      <c r="B6" s="361"/>
      <c r="C6" s="3741" t="s">
        <v>1677</v>
      </c>
      <c r="D6" s="3742"/>
      <c r="E6" s="3749" t="s">
        <v>1677</v>
      </c>
      <c r="F6" s="3750"/>
      <c r="G6" s="3741" t="s">
        <v>1677</v>
      </c>
      <c r="H6" s="3742"/>
      <c r="I6" s="3741" t="s">
        <v>1677</v>
      </c>
      <c r="J6" s="3742"/>
      <c r="K6" s="559" t="s">
        <v>1678</v>
      </c>
      <c r="L6" s="2714"/>
      <c r="M6" s="2715"/>
      <c r="N6" s="2715"/>
      <c r="O6" s="2715"/>
      <c r="P6" s="3784"/>
      <c r="Q6" s="3732"/>
      <c r="R6" s="3735"/>
      <c r="S6" s="3736"/>
      <c r="T6" s="3737"/>
      <c r="U6" s="3738"/>
      <c r="V6" s="3740"/>
      <c r="W6" s="3740"/>
      <c r="X6" s="1355"/>
      <c r="Y6" s="3737"/>
      <c r="Z6" s="3738"/>
      <c r="AA6" s="3753"/>
      <c r="AB6" s="3753"/>
      <c r="AC6" s="3753"/>
    </row>
    <row r="7" spans="1:29" s="108" customFormat="1" ht="15.75" thickBot="1">
      <c r="A7" s="362" t="s">
        <v>1679</v>
      </c>
      <c r="B7" s="363"/>
      <c r="C7" s="364">
        <f>'数据-取费表'!B2</f>
        <v>45874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47" t="s">
        <v>1680</v>
      </c>
      <c r="Q7" s="3748"/>
      <c r="R7" s="701" t="s">
        <v>14</v>
      </c>
      <c r="S7" s="702">
        <f t="shared" ref="S7:S14" si="0">F7</f>
        <v>0</v>
      </c>
      <c r="T7" s="701" t="s">
        <v>14</v>
      </c>
      <c r="U7" s="702">
        <f t="shared" ref="U7:U14" si="1">H7</f>
        <v>0</v>
      </c>
      <c r="V7" s="701" t="s">
        <v>14</v>
      </c>
      <c r="W7" s="702">
        <f t="shared" ref="W7:W14" si="2">J7</f>
        <v>0</v>
      </c>
      <c r="X7" s="703"/>
      <c r="Y7" s="3747" t="s">
        <v>1680</v>
      </c>
      <c r="Z7" s="374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47" t="s">
        <v>1683</v>
      </c>
      <c r="Q8" s="3746"/>
      <c r="R8" s="701" t="s">
        <v>14</v>
      </c>
      <c r="S8" s="702">
        <f t="shared" si="0"/>
        <v>100</v>
      </c>
      <c r="T8" s="701" t="s">
        <v>14</v>
      </c>
      <c r="U8" s="702">
        <f t="shared" si="1"/>
        <v>100</v>
      </c>
      <c r="V8" s="701" t="s">
        <v>14</v>
      </c>
      <c r="W8" s="702">
        <f t="shared" si="2"/>
        <v>100</v>
      </c>
      <c r="X8" s="703"/>
      <c r="Y8" s="3747" t="s">
        <v>1683</v>
      </c>
      <c r="Z8" s="374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4"/>
      <c r="Q15" s="1352"/>
      <c r="R15" s="705"/>
      <c r="S15" s="706"/>
      <c r="T15" s="705"/>
      <c r="U15" s="706"/>
      <c r="V15" s="705"/>
      <c r="W15" s="706"/>
      <c r="X15" s="1355"/>
      <c r="Y15" s="371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4"/>
      <c r="Q17" s="1352"/>
      <c r="R17" s="705"/>
      <c r="S17" s="706"/>
      <c r="T17" s="705"/>
      <c r="U17" s="706"/>
      <c r="V17" s="705"/>
      <c r="W17" s="706"/>
      <c r="X17" s="1355"/>
      <c r="Y17" s="371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4"/>
      <c r="Q19" s="1352"/>
      <c r="R19" s="705"/>
      <c r="S19" s="706"/>
      <c r="T19" s="705"/>
      <c r="U19" s="706"/>
      <c r="V19" s="705"/>
      <c r="W19" s="706"/>
      <c r="X19" s="1355"/>
      <c r="Y19" s="371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8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77" t="str">
        <f>A37</f>
        <v>估价对象XX用房的比较价值（楼面单价，元/平方米）</v>
      </c>
      <c r="Q37" s="3778"/>
      <c r="R37" s="3790" t="e">
        <f>IF(F1="售价",ROUND(IF(D36="简单平均",AVERAGE(R36:W36),R36*F36+T36*H36+V36*J36),0),ROUND(IF(D36="简单平均",AVERAGE(R36:V36),R36*F36+T36*H36+V36*J36),1))</f>
        <v>#DIV/0!</v>
      </c>
      <c r="S37" s="3790"/>
      <c r="T37" s="3790"/>
      <c r="U37" s="3790"/>
      <c r="V37" s="3790"/>
      <c r="W37" s="379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3" t="s">
        <v>1770</v>
      </c>
      <c r="D4" s="3724"/>
      <c r="E4" s="3725" t="s">
        <v>1771</v>
      </c>
      <c r="F4" s="3726"/>
      <c r="G4" s="3723" t="s">
        <v>1772</v>
      </c>
      <c r="H4" s="3724"/>
      <c r="I4" s="3723" t="s">
        <v>1773</v>
      </c>
      <c r="J4" s="3724"/>
      <c r="K4" s="559" t="s">
        <v>1774</v>
      </c>
      <c r="L4" s="2714"/>
      <c r="M4" s="2715"/>
      <c r="N4" s="2715"/>
      <c r="O4" s="2715"/>
      <c r="P4" s="3781" t="s">
        <v>1775</v>
      </c>
      <c r="Q4" s="3782"/>
      <c r="R4" s="3785" t="s">
        <v>1771</v>
      </c>
      <c r="S4" s="3786"/>
      <c r="T4" s="3785" t="s">
        <v>1772</v>
      </c>
      <c r="U4" s="3786"/>
      <c r="V4" s="3740" t="s">
        <v>1773</v>
      </c>
      <c r="W4" s="3740"/>
      <c r="X4" s="1355"/>
      <c r="Y4" s="3785" t="s">
        <v>1775</v>
      </c>
      <c r="Z4" s="3786"/>
      <c r="AA4" s="3780" t="s">
        <v>1771</v>
      </c>
      <c r="AB4" s="3752" t="s">
        <v>1772</v>
      </c>
      <c r="AC4" s="3780" t="s">
        <v>1773</v>
      </c>
    </row>
    <row r="5" spans="1:30" ht="15">
      <c r="A5" s="358"/>
      <c r="B5" s="359"/>
      <c r="C5" s="3787" t="s">
        <v>1673</v>
      </c>
      <c r="D5" s="3744"/>
      <c r="E5" s="3788" t="s">
        <v>1674</v>
      </c>
      <c r="F5" s="3755"/>
      <c r="G5" s="3787" t="s">
        <v>1675</v>
      </c>
      <c r="H5" s="3744"/>
      <c r="I5" s="3787" t="s">
        <v>1676</v>
      </c>
      <c r="J5" s="3744"/>
      <c r="K5" s="559"/>
      <c r="L5" s="2714"/>
      <c r="M5" s="2715"/>
      <c r="N5" s="2715"/>
      <c r="O5" s="2715"/>
      <c r="P5" s="3783"/>
      <c r="Q5" s="3730"/>
      <c r="R5" s="3735"/>
      <c r="S5" s="3736"/>
      <c r="T5" s="3735"/>
      <c r="U5" s="3736"/>
      <c r="V5" s="3740"/>
      <c r="W5" s="3740"/>
      <c r="X5" s="1355"/>
      <c r="Y5" s="3735"/>
      <c r="Z5" s="3736"/>
      <c r="AA5" s="3752"/>
      <c r="AB5" s="3752"/>
      <c r="AC5" s="3752"/>
    </row>
    <row r="6" spans="1:30" ht="15.75" thickBot="1">
      <c r="A6" s="360"/>
      <c r="B6" s="361"/>
      <c r="C6" s="3741" t="s">
        <v>1677</v>
      </c>
      <c r="D6" s="3742"/>
      <c r="E6" s="3749" t="s">
        <v>1677</v>
      </c>
      <c r="F6" s="3750"/>
      <c r="G6" s="3741" t="s">
        <v>1677</v>
      </c>
      <c r="H6" s="3742"/>
      <c r="I6" s="3741" t="s">
        <v>1677</v>
      </c>
      <c r="J6" s="3742"/>
      <c r="K6" s="559" t="s">
        <v>1678</v>
      </c>
      <c r="L6" s="2714"/>
      <c r="M6" s="2715"/>
      <c r="N6" s="2715"/>
      <c r="O6" s="2715"/>
      <c r="P6" s="3784"/>
      <c r="Q6" s="3732"/>
      <c r="R6" s="3735"/>
      <c r="S6" s="3736"/>
      <c r="T6" s="3737"/>
      <c r="U6" s="3738"/>
      <c r="V6" s="3740"/>
      <c r="W6" s="3740"/>
      <c r="X6" s="1355"/>
      <c r="Y6" s="3737"/>
      <c r="Z6" s="3738"/>
      <c r="AA6" s="3753"/>
      <c r="AB6" s="3753"/>
      <c r="AC6" s="3753"/>
    </row>
    <row r="7" spans="1:30" s="108" customFormat="1" ht="15.75" thickBot="1">
      <c r="A7" s="362" t="s">
        <v>1679</v>
      </c>
      <c r="B7" s="363"/>
      <c r="C7" s="364">
        <f>'数据-取费表'!B2</f>
        <v>45874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47" t="s">
        <v>1680</v>
      </c>
      <c r="Q7" s="3748"/>
      <c r="R7" s="701" t="s">
        <v>14</v>
      </c>
      <c r="S7" s="702">
        <f t="shared" ref="S7:S15" si="0">F7</f>
        <v>0</v>
      </c>
      <c r="T7" s="701" t="s">
        <v>14</v>
      </c>
      <c r="U7" s="702">
        <f t="shared" ref="U7:U15" si="1">H7</f>
        <v>0</v>
      </c>
      <c r="V7" s="701" t="s">
        <v>14</v>
      </c>
      <c r="W7" s="702">
        <f t="shared" ref="W7:W15" si="2">J7</f>
        <v>0</v>
      </c>
      <c r="X7" s="703"/>
      <c r="Y7" s="3747" t="s">
        <v>1680</v>
      </c>
      <c r="Z7" s="374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47" t="s">
        <v>1683</v>
      </c>
      <c r="Q8" s="3746"/>
      <c r="R8" s="701" t="s">
        <v>14</v>
      </c>
      <c r="S8" s="702">
        <f t="shared" si="0"/>
        <v>0</v>
      </c>
      <c r="T8" s="701" t="s">
        <v>14</v>
      </c>
      <c r="U8" s="702">
        <f t="shared" si="1"/>
        <v>0</v>
      </c>
      <c r="V8" s="701" t="s">
        <v>14</v>
      </c>
      <c r="W8" s="702">
        <f t="shared" si="2"/>
        <v>0</v>
      </c>
      <c r="X8" s="703"/>
      <c r="Y8" s="3747" t="s">
        <v>1683</v>
      </c>
      <c r="Z8" s="374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6"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8"/>
      <c r="M10" s="2719"/>
      <c r="N10" s="2719"/>
      <c r="O10" s="2772"/>
      <c r="P10" s="3706"/>
      <c r="Q10" s="1343" t="str">
        <f t="shared" si="6"/>
        <v>土地使用年限（年）</v>
      </c>
      <c r="R10" s="701" t="s">
        <v>14</v>
      </c>
      <c r="S10" s="702">
        <f t="shared" si="0"/>
        <v>141</v>
      </c>
      <c r="T10" s="701" t="s">
        <v>14</v>
      </c>
      <c r="U10" s="702">
        <f t="shared" si="1"/>
        <v>141</v>
      </c>
      <c r="V10" s="701" t="s">
        <v>14</v>
      </c>
      <c r="W10" s="702">
        <f t="shared" si="2"/>
        <v>141</v>
      </c>
      <c r="X10" s="703"/>
      <c r="Y10" s="3585"/>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6"/>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3" t="str">
        <f t="shared" si="6"/>
        <v>配建</v>
      </c>
      <c r="R12" s="701" t="s">
        <v>14</v>
      </c>
      <c r="S12" s="702">
        <f t="shared" si="0"/>
        <v>100</v>
      </c>
      <c r="T12" s="701" t="s">
        <v>14</v>
      </c>
      <c r="U12" s="702">
        <f t="shared" si="1"/>
        <v>100</v>
      </c>
      <c r="V12" s="701" t="s">
        <v>14</v>
      </c>
      <c r="W12" s="702">
        <f t="shared" si="2"/>
        <v>100</v>
      </c>
      <c r="X12" s="703"/>
      <c r="Y12" s="35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58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3">
        <f t="shared" si="6"/>
        <v>111</v>
      </c>
      <c r="R14" s="701" t="s">
        <v>14</v>
      </c>
      <c r="S14" s="702">
        <f t="shared" si="0"/>
        <v>100</v>
      </c>
      <c r="T14" s="701" t="s">
        <v>14</v>
      </c>
      <c r="U14" s="702">
        <f t="shared" si="1"/>
        <v>100</v>
      </c>
      <c r="V14" s="701" t="s">
        <v>14</v>
      </c>
      <c r="W14" s="702">
        <f t="shared" si="2"/>
        <v>100</v>
      </c>
      <c r="X14" s="703"/>
      <c r="Y14" s="358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4"/>
      <c r="Q16" s="1352"/>
      <c r="R16" s="705"/>
      <c r="S16" s="706"/>
      <c r="T16" s="705"/>
      <c r="U16" s="706"/>
      <c r="V16" s="705"/>
      <c r="W16" s="706"/>
      <c r="X16" s="1355"/>
      <c r="Y16" s="371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4"/>
      <c r="Q18" s="1352"/>
      <c r="R18" s="705"/>
      <c r="S18" s="706"/>
      <c r="T18" s="705"/>
      <c r="U18" s="706"/>
      <c r="V18" s="705"/>
      <c r="W18" s="706"/>
      <c r="X18" s="1355"/>
      <c r="Y18" s="371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4"/>
      <c r="Q20" s="1352"/>
      <c r="R20" s="705"/>
      <c r="S20" s="706"/>
      <c r="T20" s="705"/>
      <c r="U20" s="706"/>
      <c r="V20" s="705"/>
      <c r="W20" s="706"/>
      <c r="X20" s="1355"/>
      <c r="Y20" s="371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4"/>
      <c r="Q24" s="1352"/>
      <c r="R24" s="705"/>
      <c r="S24" s="706"/>
      <c r="T24" s="705"/>
      <c r="U24" s="706"/>
      <c r="V24" s="705"/>
      <c r="W24" s="706"/>
      <c r="X24" s="1355"/>
      <c r="Y24" s="371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4"/>
      <c r="Q26" s="1352"/>
      <c r="R26" s="705"/>
      <c r="S26" s="706"/>
      <c r="T26" s="705"/>
      <c r="U26" s="706"/>
      <c r="V26" s="705"/>
      <c r="W26" s="706"/>
      <c r="X26" s="1355"/>
      <c r="Y26" s="371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4"/>
      <c r="Q28" s="1343"/>
      <c r="R28" s="701"/>
      <c r="S28" s="702"/>
      <c r="T28" s="701"/>
      <c r="U28" s="702"/>
      <c r="V28" s="701"/>
      <c r="W28" s="702"/>
      <c r="X28" s="703"/>
      <c r="Y28" s="371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89"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6" t="str">
        <f>A46</f>
        <v>成交单价</v>
      </c>
      <c r="Q46" s="3706"/>
      <c r="R46" s="3740">
        <f>E46</f>
        <v>0</v>
      </c>
      <c r="S46" s="3740"/>
      <c r="T46" s="3740">
        <f>G46</f>
        <v>0</v>
      </c>
      <c r="U46" s="3740"/>
      <c r="V46" s="3740">
        <f>I46</f>
        <v>0</v>
      </c>
      <c r="W46" s="374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6" t="str">
        <f>A47</f>
        <v>比较价值（元/平方米）</v>
      </c>
      <c r="Q47" s="3706"/>
      <c r="R47" s="3791" t="e">
        <f>ROUND(PRODUCT(R46,AA7:AA45),0)</f>
        <v>#DIV/0!</v>
      </c>
      <c r="S47" s="3791"/>
      <c r="T47" s="3791" t="e">
        <f>ROUND(PRODUCT(T46,AB7:AB45),0)</f>
        <v>#DIV/0!</v>
      </c>
      <c r="U47" s="3791"/>
      <c r="V47" s="3791" t="e">
        <f>ROUND(PRODUCT(V46,AC7:AC45),0)</f>
        <v>#DIV/0!</v>
      </c>
      <c r="W47" s="379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77" t="str">
        <f>A48</f>
        <v>估价对象XX用房的比较价值（楼面单价，元/平方米）</v>
      </c>
      <c r="Q48" s="3778"/>
      <c r="R48" s="3792" t="e">
        <f>ROUND(IF(D47="简单平均",AVERAGE(R47:W47),R47*F47+T47*H47+V47*J47),0)</f>
        <v>#DIV/0!</v>
      </c>
      <c r="S48" s="3792"/>
      <c r="T48" s="3792"/>
      <c r="U48" s="3792"/>
      <c r="V48" s="3792"/>
      <c r="W48" s="379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3" t="s">
        <v>1887</v>
      </c>
      <c r="H55" s="379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98.15</v>
      </c>
      <c r="F56" s="886" t="e">
        <f t="shared" ref="F56:F64" si="15">ROUND(B56*E56/10000,0)</f>
        <v>#DIV/0!</v>
      </c>
      <c r="G56" s="3705"/>
      <c r="H56" s="370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98.15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81" t="s">
        <v>1775</v>
      </c>
      <c r="Q4" s="3782"/>
      <c r="R4" s="3785" t="s">
        <v>1771</v>
      </c>
      <c r="S4" s="3786"/>
      <c r="T4" s="3785" t="s">
        <v>1772</v>
      </c>
      <c r="U4" s="3786"/>
      <c r="V4" s="3740" t="s">
        <v>1773</v>
      </c>
      <c r="W4" s="3740"/>
      <c r="X4" s="1355"/>
      <c r="Y4" s="3785" t="s">
        <v>1775</v>
      </c>
      <c r="Z4" s="3786"/>
      <c r="AA4" s="3780" t="s">
        <v>1771</v>
      </c>
      <c r="AB4" s="3752" t="s">
        <v>1772</v>
      </c>
      <c r="AC4" s="3780" t="s">
        <v>1773</v>
      </c>
    </row>
    <row r="5" spans="1:29" ht="15">
      <c r="A5" s="358"/>
      <c r="B5" s="359"/>
      <c r="C5" s="3787" t="s">
        <v>1673</v>
      </c>
      <c r="D5" s="3744"/>
      <c r="E5" s="3788" t="s">
        <v>1674</v>
      </c>
      <c r="F5" s="3755"/>
      <c r="G5" s="3787" t="s">
        <v>1675</v>
      </c>
      <c r="H5" s="3744"/>
      <c r="I5" s="3787" t="s">
        <v>1676</v>
      </c>
      <c r="J5" s="3744"/>
      <c r="K5" s="559"/>
      <c r="L5" s="2714"/>
      <c r="M5" s="2715"/>
      <c r="N5" s="2715"/>
      <c r="O5" s="2715"/>
      <c r="P5" s="3783"/>
      <c r="Q5" s="3730"/>
      <c r="R5" s="3735"/>
      <c r="S5" s="3736"/>
      <c r="T5" s="3735"/>
      <c r="U5" s="3736"/>
      <c r="V5" s="3740"/>
      <c r="W5" s="3740"/>
      <c r="X5" s="1355"/>
      <c r="Y5" s="3735"/>
      <c r="Z5" s="3736"/>
      <c r="AA5" s="3752"/>
      <c r="AB5" s="3752"/>
      <c r="AC5" s="3752"/>
    </row>
    <row r="6" spans="1:29" ht="15.75" thickBot="1">
      <c r="A6" s="360"/>
      <c r="B6" s="361"/>
      <c r="C6" s="3794" t="s">
        <v>1919</v>
      </c>
      <c r="D6" s="3795"/>
      <c r="E6" s="3796" t="s">
        <v>1919</v>
      </c>
      <c r="F6" s="3797"/>
      <c r="G6" s="3794" t="s">
        <v>1919</v>
      </c>
      <c r="H6" s="3795"/>
      <c r="I6" s="3794" t="s">
        <v>1919</v>
      </c>
      <c r="J6" s="3795"/>
      <c r="K6" s="559" t="s">
        <v>1678</v>
      </c>
      <c r="L6" s="2714"/>
      <c r="M6" s="2715"/>
      <c r="N6" s="2715"/>
      <c r="O6" s="2715"/>
      <c r="P6" s="3784"/>
      <c r="Q6" s="3732"/>
      <c r="R6" s="3735"/>
      <c r="S6" s="3736"/>
      <c r="T6" s="3737"/>
      <c r="U6" s="3738"/>
      <c r="V6" s="3740"/>
      <c r="W6" s="3740"/>
      <c r="X6" s="1355"/>
      <c r="Y6" s="3737"/>
      <c r="Z6" s="3738"/>
      <c r="AA6" s="3753"/>
      <c r="AB6" s="3753"/>
      <c r="AC6" s="3753"/>
    </row>
    <row r="7" spans="1:29" s="108" customFormat="1" ht="15.75" thickBot="1">
      <c r="A7" s="362" t="s">
        <v>1679</v>
      </c>
      <c r="B7" s="363"/>
      <c r="C7" s="364">
        <f>'数据-取费表'!B2</f>
        <v>45874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47" t="s">
        <v>1680</v>
      </c>
      <c r="Q7" s="3748"/>
      <c r="R7" s="701" t="s">
        <v>14</v>
      </c>
      <c r="S7" s="702">
        <f t="shared" ref="S7:S15" si="0">F7</f>
        <v>0</v>
      </c>
      <c r="T7" s="701" t="s">
        <v>14</v>
      </c>
      <c r="U7" s="702">
        <f t="shared" ref="U7:U15" si="1">H7</f>
        <v>0</v>
      </c>
      <c r="V7" s="701" t="s">
        <v>14</v>
      </c>
      <c r="W7" s="702">
        <f t="shared" ref="W7:W15" si="2">J7</f>
        <v>0</v>
      </c>
      <c r="X7" s="703"/>
      <c r="Y7" s="3747" t="s">
        <v>1680</v>
      </c>
      <c r="Z7" s="374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47" t="s">
        <v>1683</v>
      </c>
      <c r="Q8" s="3746"/>
      <c r="R8" s="701" t="s">
        <v>14</v>
      </c>
      <c r="S8" s="702">
        <f t="shared" si="0"/>
        <v>0</v>
      </c>
      <c r="T8" s="701" t="s">
        <v>14</v>
      </c>
      <c r="U8" s="702">
        <f t="shared" si="1"/>
        <v>0</v>
      </c>
      <c r="V8" s="701" t="s">
        <v>14</v>
      </c>
      <c r="W8" s="702">
        <f t="shared" si="2"/>
        <v>0</v>
      </c>
      <c r="X8" s="703"/>
      <c r="Y8" s="3747" t="s">
        <v>1683</v>
      </c>
      <c r="Z8" s="374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6"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8"/>
      <c r="M10" s="2719"/>
      <c r="N10" s="2719"/>
      <c r="O10" s="2772"/>
      <c r="P10" s="3706"/>
      <c r="Q10" s="1343" t="str">
        <f t="shared" si="6"/>
        <v>土地使用年限（年）</v>
      </c>
      <c r="R10" s="701" t="s">
        <v>14</v>
      </c>
      <c r="S10" s="702">
        <f t="shared" si="0"/>
        <v>141</v>
      </c>
      <c r="T10" s="701" t="s">
        <v>14</v>
      </c>
      <c r="U10" s="702">
        <f t="shared" si="1"/>
        <v>141</v>
      </c>
      <c r="V10" s="701" t="s">
        <v>14</v>
      </c>
      <c r="W10" s="702">
        <f t="shared" si="2"/>
        <v>141</v>
      </c>
      <c r="X10" s="703"/>
      <c r="Y10" s="3585"/>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89"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6" t="str">
        <f>A41</f>
        <v>成交单价</v>
      </c>
      <c r="Q41" s="3706"/>
      <c r="R41" s="3740">
        <f>E41</f>
        <v>0</v>
      </c>
      <c r="S41" s="3740"/>
      <c r="T41" s="3740">
        <f>G41</f>
        <v>0</v>
      </c>
      <c r="U41" s="3740"/>
      <c r="V41" s="3740">
        <f>I41</f>
        <v>0</v>
      </c>
      <c r="W41" s="374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6" t="str">
        <f>A42</f>
        <v>比较价值（元/平方米）</v>
      </c>
      <c r="Q42" s="3706"/>
      <c r="R42" s="3791" t="e">
        <f>ROUND(PRODUCT(R41,AA7:AA40),0)</f>
        <v>#DIV/0!</v>
      </c>
      <c r="S42" s="3791"/>
      <c r="T42" s="3791" t="e">
        <f>ROUND(PRODUCT(T41,AB7:AB40),0)</f>
        <v>#DIV/0!</v>
      </c>
      <c r="U42" s="3791"/>
      <c r="V42" s="3791" t="e">
        <f>ROUND(PRODUCT(V41,AC7:AC40),0)</f>
        <v>#DIV/0!</v>
      </c>
      <c r="W42" s="379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77" t="str">
        <f>A43</f>
        <v>估价对象XX用房的比较价值（楼面单价，元/平方米）</v>
      </c>
      <c r="Q43" s="3778"/>
      <c r="R43" s="3792" t="e">
        <f>ROUND(IF(D42="简单平均",AVERAGE(R42:W42),R42*F42+T42*H42+V42*J42),0)</f>
        <v>#DIV/0!</v>
      </c>
      <c r="S43" s="3792"/>
      <c r="T43" s="3792"/>
      <c r="U43" s="3792"/>
      <c r="V43" s="3792"/>
      <c r="W43" s="379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3" t="s">
        <v>1887</v>
      </c>
      <c r="H50" s="379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98.15</v>
      </c>
      <c r="F51" s="639" t="e">
        <f t="shared" ref="F51:F60" si="15">ROUND(B51*E51/10000,0)</f>
        <v>#DIV/0!</v>
      </c>
      <c r="G51" s="3705"/>
      <c r="H51" s="370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1" t="s">
        <v>2084</v>
      </c>
      <c r="D1" s="3802"/>
      <c r="E1" s="3802"/>
      <c r="F1" s="3802"/>
      <c r="G1" s="3802"/>
      <c r="H1" s="3802"/>
      <c r="I1" s="3802"/>
      <c r="J1" s="3802"/>
      <c r="K1" s="3802"/>
      <c r="L1" s="3802"/>
      <c r="M1" s="3802"/>
      <c r="N1" s="3802"/>
      <c r="O1" s="3802"/>
      <c r="P1" s="3802"/>
      <c r="Q1" s="3802"/>
      <c r="R1" s="3802"/>
      <c r="S1" s="380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8" t="s">
        <v>27</v>
      </c>
      <c r="D22" s="3799"/>
      <c r="E22" s="3799"/>
      <c r="F22" s="3799"/>
      <c r="G22" s="3799"/>
      <c r="H22" s="3799"/>
      <c r="I22" s="3799"/>
      <c r="J22" s="3799"/>
      <c r="K22" s="3799"/>
      <c r="L22" s="3799"/>
      <c r="M22" s="3799"/>
      <c r="N22" s="3799"/>
      <c r="O22" s="3799"/>
      <c r="P22" s="3799"/>
      <c r="Q22" s="380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5" t="s">
        <v>2607</v>
      </c>
      <c r="B20" s="3808" t="s">
        <v>2628</v>
      </c>
      <c r="C20" s="3476" t="s">
        <v>2439</v>
      </c>
      <c r="D20" s="3476"/>
      <c r="E20" s="3104">
        <v>1</v>
      </c>
      <c r="F20" s="3105" t="s">
        <v>2440</v>
      </c>
      <c r="G20" s="3105"/>
    </row>
    <row r="21" spans="1:13" ht="19.5" customHeight="1">
      <c r="A21" s="3816"/>
      <c r="B21" s="3804"/>
      <c r="C21" s="3466" t="s">
        <v>2441</v>
      </c>
      <c r="D21" s="3466"/>
      <c r="E21" s="3108">
        <v>1</v>
      </c>
      <c r="F21" s="3105" t="s">
        <v>2442</v>
      </c>
      <c r="G21" s="3105"/>
    </row>
    <row r="22" spans="1:13" ht="19.5" customHeight="1">
      <c r="A22" s="3816"/>
      <c r="B22" s="3804"/>
      <c r="C22" s="3466" t="s">
        <v>2443</v>
      </c>
      <c r="D22" s="3466"/>
      <c r="E22" s="3108">
        <v>0.9</v>
      </c>
      <c r="F22" s="3105" t="s">
        <v>2444</v>
      </c>
      <c r="G22" s="3105"/>
    </row>
    <row r="23" spans="1:13" ht="19.5" customHeight="1">
      <c r="A23" s="3816"/>
      <c r="B23" s="3804"/>
      <c r="C23" s="3466" t="s">
        <v>2445</v>
      </c>
      <c r="D23" s="3466"/>
      <c r="E23" s="3108">
        <v>0.9</v>
      </c>
      <c r="F23" s="3105" t="s">
        <v>2446</v>
      </c>
      <c r="G23" s="3105"/>
    </row>
    <row r="24" spans="1:13" ht="19.5" customHeight="1">
      <c r="A24" s="3816"/>
      <c r="B24" s="3804"/>
      <c r="C24" s="3466" t="s">
        <v>2447</v>
      </c>
      <c r="D24" s="3466"/>
      <c r="E24" s="3108">
        <v>0.8</v>
      </c>
      <c r="F24" s="3105" t="s">
        <v>2448</v>
      </c>
      <c r="G24" s="3105"/>
    </row>
    <row r="25" spans="1:13" ht="19.5" customHeight="1">
      <c r="A25" s="3816"/>
      <c r="B25" s="3804"/>
      <c r="C25" s="3466" t="s">
        <v>2449</v>
      </c>
      <c r="D25" s="3466"/>
      <c r="E25" s="3108">
        <v>0.8</v>
      </c>
      <c r="F25" s="3105"/>
      <c r="G25" s="3105"/>
    </row>
    <row r="26" spans="1:13" ht="19.5" customHeight="1">
      <c r="A26" s="3816"/>
      <c r="B26" s="3804"/>
      <c r="C26" s="3469" t="s">
        <v>3412</v>
      </c>
      <c r="D26" s="3469"/>
      <c r="E26" s="3470">
        <v>0.43</v>
      </c>
      <c r="F26" s="3105"/>
      <c r="G26" s="3105"/>
    </row>
    <row r="27" spans="1:13" ht="19.5" customHeight="1" thickBot="1">
      <c r="A27" s="3817"/>
      <c r="B27" s="3809"/>
      <c r="C27" s="3471" t="s">
        <v>3413</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10" t="s">
        <v>2631</v>
      </c>
      <c r="B29" s="3813" t="s">
        <v>2612</v>
      </c>
      <c r="C29" s="3102" t="s">
        <v>2452</v>
      </c>
      <c r="D29" s="3103"/>
      <c r="E29" s="3104">
        <v>1</v>
      </c>
      <c r="F29" s="3105" t="s">
        <v>2453</v>
      </c>
      <c r="G29" s="3105"/>
    </row>
    <row r="30" spans="1:13" ht="19.5" customHeight="1">
      <c r="A30" s="3811"/>
      <c r="B30" s="3807"/>
      <c r="C30" s="3106" t="s">
        <v>2454</v>
      </c>
      <c r="D30" s="3107"/>
      <c r="E30" s="3108">
        <v>1</v>
      </c>
      <c r="F30" s="3105" t="s">
        <v>2455</v>
      </c>
      <c r="G30" s="3105"/>
    </row>
    <row r="31" spans="1:13" ht="19.5" customHeight="1">
      <c r="A31" s="3811"/>
      <c r="B31" s="3807"/>
      <c r="C31" s="3106" t="s">
        <v>2456</v>
      </c>
      <c r="D31" s="3107"/>
      <c r="E31" s="3108">
        <v>0.8</v>
      </c>
      <c r="F31" s="3105" t="s">
        <v>2457</v>
      </c>
      <c r="G31" s="3105"/>
    </row>
    <row r="32" spans="1:13" ht="19.5" customHeight="1">
      <c r="A32" s="3811"/>
      <c r="B32" s="3807"/>
      <c r="C32" s="3106" t="s">
        <v>2458</v>
      </c>
      <c r="D32" s="3107"/>
      <c r="E32" s="3108">
        <v>0.8</v>
      </c>
      <c r="F32" s="3105" t="s">
        <v>2459</v>
      </c>
      <c r="G32" s="3105"/>
    </row>
    <row r="33" spans="1:7" ht="19.5" customHeight="1">
      <c r="A33" s="3811"/>
      <c r="B33" s="3807"/>
      <c r="C33" s="3106" t="s">
        <v>2460</v>
      </c>
      <c r="D33" s="3107"/>
      <c r="E33" s="3108">
        <v>0.8</v>
      </c>
      <c r="F33" s="3105" t="s">
        <v>2461</v>
      </c>
      <c r="G33" s="3105"/>
    </row>
    <row r="34" spans="1:7" ht="19.5" customHeight="1">
      <c r="A34" s="3811"/>
      <c r="B34" s="3807"/>
      <c r="C34" s="3106" t="s">
        <v>2462</v>
      </c>
      <c r="D34" s="3107"/>
      <c r="E34" s="3108">
        <v>0.7</v>
      </c>
      <c r="F34" s="3105" t="s">
        <v>2463</v>
      </c>
      <c r="G34" s="3105"/>
    </row>
    <row r="35" spans="1:7" ht="19.5" customHeight="1">
      <c r="A35" s="3811"/>
      <c r="B35" s="3807"/>
      <c r="C35" s="3106" t="s">
        <v>2464</v>
      </c>
      <c r="D35" s="3107"/>
      <c r="E35" s="3108">
        <v>0.8</v>
      </c>
      <c r="F35" s="3105" t="s">
        <v>2465</v>
      </c>
      <c r="G35" s="3105"/>
    </row>
    <row r="36" spans="1:7" ht="19.5" customHeight="1">
      <c r="A36" s="3811"/>
      <c r="B36" s="3807"/>
      <c r="C36" s="3106" t="s">
        <v>2466</v>
      </c>
      <c r="D36" s="3107"/>
      <c r="E36" s="3108">
        <v>0.6</v>
      </c>
      <c r="F36" s="3105" t="s">
        <v>2467</v>
      </c>
      <c r="G36" s="3105"/>
    </row>
    <row r="37" spans="1:7" ht="19.5" customHeight="1">
      <c r="A37" s="3811"/>
      <c r="B37" s="3807"/>
      <c r="C37" s="3106" t="s">
        <v>2468</v>
      </c>
      <c r="D37" s="3107"/>
      <c r="E37" s="3108">
        <v>0.2</v>
      </c>
      <c r="F37" s="3105" t="s">
        <v>2469</v>
      </c>
      <c r="G37" s="3105"/>
    </row>
    <row r="38" spans="1:7" ht="19.5" customHeight="1">
      <c r="A38" s="3811"/>
      <c r="B38" s="3807"/>
      <c r="C38" s="3106" t="s">
        <v>2470</v>
      </c>
      <c r="D38" s="3107"/>
      <c r="E38" s="3108">
        <v>0.2</v>
      </c>
      <c r="F38" s="3105" t="s">
        <v>2471</v>
      </c>
      <c r="G38" s="3105"/>
    </row>
    <row r="39" spans="1:7" ht="19.5" customHeight="1">
      <c r="A39" s="3811"/>
      <c r="B39" s="3805" t="s">
        <v>2632</v>
      </c>
      <c r="C39" s="3106" t="s">
        <v>2472</v>
      </c>
      <c r="D39" s="3107"/>
      <c r="E39" s="3108">
        <v>0.6</v>
      </c>
      <c r="F39" s="3105" t="s">
        <v>2473</v>
      </c>
      <c r="G39" s="3105"/>
    </row>
    <row r="40" spans="1:7" ht="19.5" customHeight="1">
      <c r="A40" s="3811"/>
      <c r="B40" s="3807"/>
      <c r="C40" s="3106" t="s">
        <v>2474</v>
      </c>
      <c r="D40" s="3107"/>
      <c r="E40" s="3108">
        <v>0.6</v>
      </c>
      <c r="F40" s="3105" t="s">
        <v>2475</v>
      </c>
      <c r="G40" s="3105"/>
    </row>
    <row r="41" spans="1:7" ht="19.5" customHeight="1" thickBot="1">
      <c r="A41" s="3812"/>
      <c r="B41" s="3814"/>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15" t="s">
        <v>2610</v>
      </c>
      <c r="B43" s="3813" t="s">
        <v>2634</v>
      </c>
      <c r="C43" s="3102" t="s">
        <v>2479</v>
      </c>
      <c r="D43" s="3103"/>
      <c r="E43" s="3104">
        <v>1</v>
      </c>
      <c r="F43" s="3105" t="s">
        <v>2480</v>
      </c>
      <c r="G43" s="3105"/>
    </row>
    <row r="44" spans="1:7" ht="19.5" customHeight="1">
      <c r="A44" s="3816"/>
      <c r="B44" s="3807"/>
      <c r="C44" s="3106" t="s">
        <v>2481</v>
      </c>
      <c r="D44" s="3107"/>
      <c r="E44" s="3108">
        <v>1</v>
      </c>
      <c r="F44" s="3105" t="s">
        <v>2482</v>
      </c>
      <c r="G44" s="3105"/>
    </row>
    <row r="45" spans="1:7" ht="19.5" customHeight="1">
      <c r="A45" s="3816"/>
      <c r="B45" s="3806"/>
      <c r="C45" s="3106" t="s">
        <v>2483</v>
      </c>
      <c r="D45" s="3107"/>
      <c r="E45" s="3108">
        <v>1.5</v>
      </c>
      <c r="F45" s="3105" t="s">
        <v>2484</v>
      </c>
      <c r="G45" s="3105"/>
    </row>
    <row r="46" spans="1:7" ht="19.5" customHeight="1">
      <c r="A46" s="3816"/>
      <c r="B46" s="3117" t="s">
        <v>2635</v>
      </c>
      <c r="C46" s="3106" t="s">
        <v>2636</v>
      </c>
      <c r="D46" s="3107"/>
      <c r="E46" s="3108">
        <v>2</v>
      </c>
      <c r="F46" s="3105" t="s">
        <v>2485</v>
      </c>
      <c r="G46" s="3105"/>
    </row>
    <row r="47" spans="1:7" ht="19.5" customHeight="1">
      <c r="A47" s="3816"/>
      <c r="B47" s="3805" t="s">
        <v>2637</v>
      </c>
      <c r="C47" s="3106" t="s">
        <v>2486</v>
      </c>
      <c r="D47" s="3107"/>
      <c r="E47" s="3108">
        <v>1</v>
      </c>
      <c r="F47" s="3105" t="s">
        <v>2487</v>
      </c>
      <c r="G47" s="3105"/>
    </row>
    <row r="48" spans="1:7" ht="19.5" customHeight="1">
      <c r="A48" s="3816"/>
      <c r="B48" s="3807"/>
      <c r="C48" s="3106" t="s">
        <v>2488</v>
      </c>
      <c r="D48" s="3107"/>
      <c r="E48" s="3108">
        <v>1</v>
      </c>
      <c r="F48" s="3105" t="s">
        <v>2489</v>
      </c>
      <c r="G48" s="3105"/>
    </row>
    <row r="49" spans="1:7" ht="19.5" customHeight="1">
      <c r="A49" s="3816"/>
      <c r="B49" s="3807"/>
      <c r="C49" s="3106" t="s">
        <v>2490</v>
      </c>
      <c r="D49" s="3107"/>
      <c r="E49" s="3108">
        <v>1</v>
      </c>
      <c r="F49" s="3105" t="s">
        <v>2491</v>
      </c>
      <c r="G49" s="3105"/>
    </row>
    <row r="50" spans="1:7" ht="19.5" customHeight="1">
      <c r="A50" s="3816"/>
      <c r="B50" s="3807"/>
      <c r="C50" s="3106" t="s">
        <v>2492</v>
      </c>
      <c r="D50" s="3107"/>
      <c r="E50" s="3108">
        <v>1</v>
      </c>
      <c r="F50" s="3105" t="s">
        <v>2493</v>
      </c>
      <c r="G50" s="3105"/>
    </row>
    <row r="51" spans="1:7" ht="19.5" customHeight="1">
      <c r="A51" s="3816"/>
      <c r="B51" s="3807"/>
      <c r="C51" s="3106" t="s">
        <v>2494</v>
      </c>
      <c r="D51" s="3107"/>
      <c r="E51" s="3108">
        <v>1</v>
      </c>
      <c r="F51" s="3105" t="s">
        <v>2495</v>
      </c>
      <c r="G51" s="3105"/>
    </row>
    <row r="52" spans="1:7" ht="19.5" customHeight="1">
      <c r="A52" s="3816"/>
      <c r="B52" s="3807"/>
      <c r="C52" s="3106" t="s">
        <v>2496</v>
      </c>
      <c r="D52" s="3107"/>
      <c r="E52" s="3108">
        <v>1</v>
      </c>
      <c r="F52" s="3105" t="s">
        <v>2497</v>
      </c>
      <c r="G52" s="3105"/>
    </row>
    <row r="53" spans="1:7" ht="19.5" customHeight="1" thickBot="1">
      <c r="A53" s="3817"/>
      <c r="B53" s="3814"/>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805" t="s">
        <v>2651</v>
      </c>
      <c r="C75" s="3091" t="s">
        <v>2652</v>
      </c>
      <c r="D75" s="3091" t="s">
        <v>2653</v>
      </c>
      <c r="E75" s="3117">
        <v>0.2</v>
      </c>
      <c r="F75" s="3117">
        <v>25</v>
      </c>
    </row>
    <row r="76" spans="1:7" ht="24">
      <c r="A76" s="3117">
        <v>2</v>
      </c>
      <c r="B76" s="3807"/>
      <c r="C76" s="3091" t="s">
        <v>2654</v>
      </c>
      <c r="D76" s="3091" t="s">
        <v>2655</v>
      </c>
      <c r="E76" s="3117">
        <v>0.2</v>
      </c>
      <c r="F76" s="3117">
        <v>25</v>
      </c>
    </row>
    <row r="77" spans="1:7" ht="24">
      <c r="A77" s="3117">
        <v>3</v>
      </c>
      <c r="B77" s="3807"/>
      <c r="C77" s="3091" t="s">
        <v>2656</v>
      </c>
      <c r="D77" s="3091" t="s">
        <v>2657</v>
      </c>
      <c r="E77" s="3117">
        <v>0.2</v>
      </c>
      <c r="F77" s="3117">
        <v>25</v>
      </c>
    </row>
    <row r="78" spans="1:7" ht="13.5">
      <c r="A78" s="3117">
        <v>4</v>
      </c>
      <c r="B78" s="3807"/>
      <c r="C78" s="3091" t="s">
        <v>2658</v>
      </c>
      <c r="D78" s="3091" t="s">
        <v>2659</v>
      </c>
      <c r="E78" s="3117">
        <v>0.15</v>
      </c>
      <c r="F78" s="3117">
        <v>20</v>
      </c>
    </row>
    <row r="79" spans="1:7" ht="24">
      <c r="A79" s="3117">
        <v>5</v>
      </c>
      <c r="B79" s="3807"/>
      <c r="C79" s="3091" t="s">
        <v>2660</v>
      </c>
      <c r="D79" s="3091" t="s">
        <v>2661</v>
      </c>
      <c r="E79" s="3117">
        <v>0.15</v>
      </c>
      <c r="F79" s="3117">
        <v>20</v>
      </c>
    </row>
    <row r="80" spans="1:7" ht="24">
      <c r="A80" s="3117">
        <v>6</v>
      </c>
      <c r="B80" s="3807"/>
      <c r="C80" s="3091" t="s">
        <v>2662</v>
      </c>
      <c r="D80" s="3091" t="s">
        <v>2663</v>
      </c>
      <c r="E80" s="3117">
        <v>0.15</v>
      </c>
      <c r="F80" s="3117">
        <v>20</v>
      </c>
    </row>
    <row r="81" spans="1:6" ht="24">
      <c r="A81" s="3117">
        <v>7</v>
      </c>
      <c r="B81" s="3807"/>
      <c r="C81" s="3091" t="s">
        <v>2664</v>
      </c>
      <c r="D81" s="3091" t="s">
        <v>2665</v>
      </c>
      <c r="E81" s="3117">
        <v>0.15</v>
      </c>
      <c r="F81" s="3117">
        <v>20</v>
      </c>
    </row>
    <row r="82" spans="1:6" ht="24">
      <c r="A82" s="3117">
        <v>8</v>
      </c>
      <c r="B82" s="3807"/>
      <c r="C82" s="3091" t="s">
        <v>2666</v>
      </c>
      <c r="D82" s="3091" t="s">
        <v>2667</v>
      </c>
      <c r="E82" s="3117">
        <v>0.1</v>
      </c>
      <c r="F82" s="3117">
        <v>15</v>
      </c>
    </row>
    <row r="83" spans="1:6" ht="24">
      <c r="A83" s="3117">
        <v>9</v>
      </c>
      <c r="B83" s="3807"/>
      <c r="C83" s="3091" t="s">
        <v>2668</v>
      </c>
      <c r="D83" s="3091" t="s">
        <v>2669</v>
      </c>
      <c r="E83" s="3117">
        <v>0.1</v>
      </c>
      <c r="F83" s="3117">
        <v>15</v>
      </c>
    </row>
    <row r="84" spans="1:6" ht="24">
      <c r="A84" s="3117">
        <v>10</v>
      </c>
      <c r="B84" s="3807"/>
      <c r="C84" s="3091" t="s">
        <v>2670</v>
      </c>
      <c r="D84" s="3091" t="s">
        <v>2671</v>
      </c>
      <c r="E84" s="3117">
        <v>0.1</v>
      </c>
      <c r="F84" s="3117">
        <v>15</v>
      </c>
    </row>
    <row r="85" spans="1:6" ht="24">
      <c r="A85" s="3117">
        <v>11</v>
      </c>
      <c r="B85" s="3807"/>
      <c r="C85" s="3091" t="s">
        <v>2672</v>
      </c>
      <c r="D85" s="3091" t="s">
        <v>2673</v>
      </c>
      <c r="E85" s="3117">
        <v>0.1</v>
      </c>
      <c r="F85" s="3117">
        <v>15</v>
      </c>
    </row>
    <row r="86" spans="1:6" ht="24">
      <c r="A86" s="3117">
        <v>12</v>
      </c>
      <c r="B86" s="3807"/>
      <c r="C86" s="3091" t="s">
        <v>2674</v>
      </c>
      <c r="D86" s="3091" t="s">
        <v>2675</v>
      </c>
      <c r="E86" s="3117">
        <v>0.1</v>
      </c>
      <c r="F86" s="3117">
        <v>15</v>
      </c>
    </row>
    <row r="87" spans="1:6" ht="13.5">
      <c r="A87" s="3117">
        <v>13</v>
      </c>
      <c r="B87" s="3807"/>
      <c r="C87" s="3091" t="s">
        <v>2676</v>
      </c>
      <c r="D87" s="3091" t="s">
        <v>2677</v>
      </c>
      <c r="E87" s="3117">
        <v>0.1</v>
      </c>
      <c r="F87" s="3117">
        <v>15</v>
      </c>
    </row>
    <row r="88" spans="1:6" ht="13.5">
      <c r="A88" s="3117">
        <v>14</v>
      </c>
      <c r="B88" s="3807"/>
      <c r="C88" s="3091" t="s">
        <v>2678</v>
      </c>
      <c r="D88" s="3091" t="s">
        <v>2679</v>
      </c>
      <c r="E88" s="3117">
        <v>0.1</v>
      </c>
      <c r="F88" s="3117">
        <v>15</v>
      </c>
    </row>
    <row r="89" spans="1:6" ht="13.5">
      <c r="A89" s="3117">
        <v>15</v>
      </c>
      <c r="B89" s="3807"/>
      <c r="C89" s="3091" t="s">
        <v>2680</v>
      </c>
      <c r="D89" s="3091" t="s">
        <v>2681</v>
      </c>
      <c r="E89" s="3117">
        <v>0.1</v>
      </c>
      <c r="F89" s="3117">
        <v>15</v>
      </c>
    </row>
    <row r="90" spans="1:6" ht="24">
      <c r="A90" s="3117">
        <v>16</v>
      </c>
      <c r="B90" s="3807"/>
      <c r="C90" s="3091" t="s">
        <v>2682</v>
      </c>
      <c r="D90" s="3091" t="s">
        <v>2683</v>
      </c>
      <c r="E90" s="3117">
        <v>0.1</v>
      </c>
      <c r="F90" s="3117">
        <v>15</v>
      </c>
    </row>
    <row r="91" spans="1:6" ht="24">
      <c r="A91" s="3117">
        <v>17</v>
      </c>
      <c r="B91" s="3806"/>
      <c r="C91" s="3091" t="s">
        <v>2684</v>
      </c>
      <c r="D91" s="3091" t="s">
        <v>2685</v>
      </c>
      <c r="E91" s="3117">
        <v>0.1</v>
      </c>
      <c r="F91" s="3117">
        <v>15</v>
      </c>
    </row>
    <row r="92" spans="1:6" ht="13.5">
      <c r="A92" s="3117">
        <v>18</v>
      </c>
      <c r="B92" s="3805" t="s">
        <v>2686</v>
      </c>
      <c r="C92" s="3091" t="s">
        <v>2687</v>
      </c>
      <c r="D92" s="3091" t="s">
        <v>2688</v>
      </c>
      <c r="E92" s="3117">
        <v>0.2</v>
      </c>
      <c r="F92" s="3117">
        <v>25</v>
      </c>
    </row>
    <row r="93" spans="1:6" ht="24">
      <c r="A93" s="3117">
        <v>19</v>
      </c>
      <c r="B93" s="3807"/>
      <c r="C93" s="3091" t="s">
        <v>2689</v>
      </c>
      <c r="D93" s="3091" t="s">
        <v>2690</v>
      </c>
      <c r="E93" s="3117">
        <v>0.2</v>
      </c>
      <c r="F93" s="3117">
        <v>25</v>
      </c>
    </row>
    <row r="94" spans="1:6" ht="13.5">
      <c r="A94" s="3117">
        <v>20</v>
      </c>
      <c r="B94" s="3807"/>
      <c r="C94" s="3091" t="s">
        <v>2691</v>
      </c>
      <c r="D94" s="3091" t="s">
        <v>2692</v>
      </c>
      <c r="E94" s="3117">
        <v>0.15</v>
      </c>
      <c r="F94" s="3117">
        <v>20</v>
      </c>
    </row>
    <row r="95" spans="1:6" ht="13.5">
      <c r="A95" s="3117">
        <v>21</v>
      </c>
      <c r="B95" s="3807"/>
      <c r="C95" s="3091" t="s">
        <v>2693</v>
      </c>
      <c r="D95" s="3091" t="s">
        <v>2694</v>
      </c>
      <c r="E95" s="3117">
        <v>0.15</v>
      </c>
      <c r="F95" s="3117">
        <v>20</v>
      </c>
    </row>
    <row r="96" spans="1:6" ht="13.5">
      <c r="A96" s="3117">
        <v>22</v>
      </c>
      <c r="B96" s="3807"/>
      <c r="C96" s="3091" t="s">
        <v>2695</v>
      </c>
      <c r="D96" s="3091" t="s">
        <v>2696</v>
      </c>
      <c r="E96" s="3117">
        <v>0.15</v>
      </c>
      <c r="F96" s="3117">
        <v>20</v>
      </c>
    </row>
    <row r="97" spans="1:6" ht="36">
      <c r="A97" s="3117">
        <v>23</v>
      </c>
      <c r="B97" s="3807"/>
      <c r="C97" s="3091" t="s">
        <v>2697</v>
      </c>
      <c r="D97" s="3091" t="s">
        <v>2698</v>
      </c>
      <c r="E97" s="3117">
        <v>0.15</v>
      </c>
      <c r="F97" s="3117">
        <v>20</v>
      </c>
    </row>
    <row r="98" spans="1:6" ht="13.5">
      <c r="A98" s="3117">
        <v>24</v>
      </c>
      <c r="B98" s="3807"/>
      <c r="C98" s="3091" t="s">
        <v>2699</v>
      </c>
      <c r="D98" s="3091" t="s">
        <v>2700</v>
      </c>
      <c r="E98" s="3117">
        <v>0.1</v>
      </c>
      <c r="F98" s="3117">
        <v>15</v>
      </c>
    </row>
    <row r="99" spans="1:6" ht="13.5">
      <c r="A99" s="3117">
        <v>25</v>
      </c>
      <c r="B99" s="3807"/>
      <c r="C99" s="3091" t="s">
        <v>2701</v>
      </c>
      <c r="D99" s="3091" t="s">
        <v>2702</v>
      </c>
      <c r="E99" s="3117">
        <v>0.1</v>
      </c>
      <c r="F99" s="3117">
        <v>15</v>
      </c>
    </row>
    <row r="100" spans="1:6" ht="24">
      <c r="A100" s="3117">
        <v>26</v>
      </c>
      <c r="B100" s="3807"/>
      <c r="C100" s="3091" t="s">
        <v>2703</v>
      </c>
      <c r="D100" s="3091" t="s">
        <v>2704</v>
      </c>
      <c r="E100" s="3117">
        <v>0.1</v>
      </c>
      <c r="F100" s="3117">
        <v>15</v>
      </c>
    </row>
    <row r="101" spans="1:6" ht="24">
      <c r="A101" s="3117">
        <v>27</v>
      </c>
      <c r="B101" s="3807"/>
      <c r="C101" s="3091" t="s">
        <v>2705</v>
      </c>
      <c r="D101" s="3091" t="s">
        <v>2706</v>
      </c>
      <c r="E101" s="3117">
        <v>0.1</v>
      </c>
      <c r="F101" s="3117">
        <v>15</v>
      </c>
    </row>
    <row r="102" spans="1:6" ht="13.5">
      <c r="A102" s="3117">
        <v>28</v>
      </c>
      <c r="B102" s="3807"/>
      <c r="C102" s="3091" t="s">
        <v>2707</v>
      </c>
      <c r="D102" s="3091" t="s">
        <v>2708</v>
      </c>
      <c r="E102" s="3117">
        <v>0.1</v>
      </c>
      <c r="F102" s="3117">
        <v>15</v>
      </c>
    </row>
    <row r="103" spans="1:6" ht="13.5">
      <c r="A103" s="3117">
        <v>29</v>
      </c>
      <c r="B103" s="3807"/>
      <c r="C103" s="3091" t="s">
        <v>2709</v>
      </c>
      <c r="D103" s="3091" t="s">
        <v>2710</v>
      </c>
      <c r="E103" s="3117">
        <v>0.1</v>
      </c>
      <c r="F103" s="3117">
        <v>15</v>
      </c>
    </row>
    <row r="104" spans="1:6" ht="13.5">
      <c r="A104" s="3117">
        <v>30</v>
      </c>
      <c r="B104" s="3807"/>
      <c r="C104" s="3091" t="s">
        <v>2711</v>
      </c>
      <c r="D104" s="3091" t="s">
        <v>2712</v>
      </c>
      <c r="E104" s="3117">
        <v>0.1</v>
      </c>
      <c r="F104" s="3117">
        <v>15</v>
      </c>
    </row>
    <row r="105" spans="1:6" ht="24">
      <c r="A105" s="3117">
        <v>31</v>
      </c>
      <c r="B105" s="3807"/>
      <c r="C105" s="3091" t="s">
        <v>2713</v>
      </c>
      <c r="D105" s="3091" t="s">
        <v>2714</v>
      </c>
      <c r="E105" s="3117">
        <v>0.1</v>
      </c>
      <c r="F105" s="3117">
        <v>15</v>
      </c>
    </row>
    <row r="106" spans="1:6" ht="24">
      <c r="A106" s="3117">
        <v>32</v>
      </c>
      <c r="B106" s="3807"/>
      <c r="C106" s="3091" t="s">
        <v>2715</v>
      </c>
      <c r="D106" s="3091" t="s">
        <v>2716</v>
      </c>
      <c r="E106" s="3117">
        <v>0.1</v>
      </c>
      <c r="F106" s="3117">
        <v>15</v>
      </c>
    </row>
    <row r="107" spans="1:6" ht="24">
      <c r="A107" s="3117">
        <v>33</v>
      </c>
      <c r="B107" s="3807"/>
      <c r="C107" s="3091" t="s">
        <v>2717</v>
      </c>
      <c r="D107" s="3091" t="s">
        <v>2718</v>
      </c>
      <c r="E107" s="3117">
        <v>0.1</v>
      </c>
      <c r="F107" s="3117">
        <v>15</v>
      </c>
    </row>
    <row r="108" spans="1:6" ht="24">
      <c r="A108" s="3117">
        <v>34</v>
      </c>
      <c r="B108" s="3806"/>
      <c r="C108" s="3091" t="s">
        <v>2719</v>
      </c>
      <c r="D108" s="3091" t="s">
        <v>2720</v>
      </c>
      <c r="E108" s="3117">
        <v>0.1</v>
      </c>
      <c r="F108" s="3117">
        <v>15</v>
      </c>
    </row>
    <row r="109" spans="1:6" ht="24">
      <c r="A109" s="3117">
        <v>35</v>
      </c>
      <c r="B109" s="3805" t="s">
        <v>2721</v>
      </c>
      <c r="C109" s="3117" t="s">
        <v>2722</v>
      </c>
      <c r="D109" s="3091" t="s">
        <v>2723</v>
      </c>
      <c r="E109" s="3117">
        <v>0.15</v>
      </c>
      <c r="F109" s="3117">
        <v>20</v>
      </c>
    </row>
    <row r="110" spans="1:6" ht="13.5">
      <c r="A110" s="3117">
        <v>36</v>
      </c>
      <c r="B110" s="3807"/>
      <c r="C110" s="3117" t="s">
        <v>2724</v>
      </c>
      <c r="D110" s="3091" t="s">
        <v>2725</v>
      </c>
      <c r="E110" s="3117">
        <v>0.15</v>
      </c>
      <c r="F110" s="3117">
        <v>20</v>
      </c>
    </row>
    <row r="111" spans="1:6" ht="13.5">
      <c r="A111" s="3117">
        <v>37</v>
      </c>
      <c r="B111" s="3807"/>
      <c r="C111" s="3117" t="s">
        <v>2726</v>
      </c>
      <c r="D111" s="3091" t="s">
        <v>2727</v>
      </c>
      <c r="E111" s="3117">
        <v>0.15</v>
      </c>
      <c r="F111" s="3117">
        <v>20</v>
      </c>
    </row>
    <row r="112" spans="1:6" ht="13.5">
      <c r="A112" s="3117">
        <v>38</v>
      </c>
      <c r="B112" s="3807"/>
      <c r="C112" s="3117" t="s">
        <v>2728</v>
      </c>
      <c r="D112" s="3091" t="s">
        <v>2729</v>
      </c>
      <c r="E112" s="3117">
        <v>0.1</v>
      </c>
      <c r="F112" s="3117">
        <v>15</v>
      </c>
    </row>
    <row r="113" spans="1:6" ht="24">
      <c r="A113" s="3117">
        <v>39</v>
      </c>
      <c r="B113" s="3807"/>
      <c r="C113" s="3117" t="s">
        <v>2730</v>
      </c>
      <c r="D113" s="3091" t="s">
        <v>2731</v>
      </c>
      <c r="E113" s="3117">
        <v>0.1</v>
      </c>
      <c r="F113" s="3117">
        <v>15</v>
      </c>
    </row>
    <row r="114" spans="1:6" ht="24">
      <c r="A114" s="3117">
        <v>40</v>
      </c>
      <c r="B114" s="3806"/>
      <c r="C114" s="3117" t="s">
        <v>2732</v>
      </c>
      <c r="D114" s="3091" t="s">
        <v>2733</v>
      </c>
      <c r="E114" s="3117">
        <v>0.1</v>
      </c>
      <c r="F114" s="3117">
        <v>15</v>
      </c>
    </row>
    <row r="115" spans="1:6" ht="13.5">
      <c r="A115" s="3117">
        <v>41</v>
      </c>
      <c r="B115" s="3804" t="s">
        <v>2734</v>
      </c>
      <c r="C115" s="3117" t="s">
        <v>2735</v>
      </c>
      <c r="D115" s="3091" t="s">
        <v>2736</v>
      </c>
      <c r="E115" s="3117">
        <v>0.1</v>
      </c>
      <c r="F115" s="3117">
        <v>15</v>
      </c>
    </row>
    <row r="116" spans="1:6" ht="13.5">
      <c r="A116" s="3117">
        <v>42</v>
      </c>
      <c r="B116" s="3804"/>
      <c r="C116" s="3117" t="s">
        <v>2737</v>
      </c>
      <c r="D116" s="3091" t="s">
        <v>2738</v>
      </c>
      <c r="E116" s="3117">
        <v>0.1</v>
      </c>
      <c r="F116" s="3117">
        <v>15</v>
      </c>
    </row>
    <row r="117" spans="1:6" ht="24">
      <c r="A117" s="3117">
        <v>43</v>
      </c>
      <c r="B117" s="3804"/>
      <c r="C117" s="3117" t="s">
        <v>2739</v>
      </c>
      <c r="D117" s="3091" t="s">
        <v>2740</v>
      </c>
      <c r="E117" s="3117">
        <v>0.1</v>
      </c>
      <c r="F117" s="3117">
        <v>15</v>
      </c>
    </row>
    <row r="118" spans="1:6" ht="13.5">
      <c r="A118" s="3117">
        <v>44</v>
      </c>
      <c r="B118" s="3805" t="s">
        <v>2741</v>
      </c>
      <c r="C118" s="3117" t="s">
        <v>2742</v>
      </c>
      <c r="D118" s="3091" t="s">
        <v>2743</v>
      </c>
      <c r="E118" s="3117">
        <v>0.1</v>
      </c>
      <c r="F118" s="3117">
        <v>15</v>
      </c>
    </row>
    <row r="119" spans="1:6" ht="24">
      <c r="A119" s="3117">
        <v>45</v>
      </c>
      <c r="B119" s="3806"/>
      <c r="C119" s="3091" t="s">
        <v>2744</v>
      </c>
      <c r="D119" s="3091" t="s">
        <v>2745</v>
      </c>
      <c r="E119" s="3117">
        <v>0.1</v>
      </c>
      <c r="F119" s="3117">
        <v>15</v>
      </c>
    </row>
    <row r="120" spans="1:6" ht="24">
      <c r="A120" s="3117">
        <v>46</v>
      </c>
      <c r="B120" s="3805" t="s">
        <v>2746</v>
      </c>
      <c r="C120" s="3117" t="s">
        <v>2747</v>
      </c>
      <c r="D120" s="3091" t="s">
        <v>2748</v>
      </c>
      <c r="E120" s="3117">
        <v>0.1</v>
      </c>
      <c r="F120" s="3117">
        <v>15</v>
      </c>
    </row>
    <row r="121" spans="1:6" ht="24">
      <c r="A121" s="3117">
        <v>47</v>
      </c>
      <c r="B121" s="3806"/>
      <c r="C121" s="3117" t="s">
        <v>2749</v>
      </c>
      <c r="D121" s="3091" t="s">
        <v>2750</v>
      </c>
      <c r="E121" s="3117">
        <v>0.1</v>
      </c>
      <c r="F121" s="3117">
        <v>15</v>
      </c>
    </row>
    <row r="122" spans="1:6" ht="13.5">
      <c r="A122" s="3117">
        <v>48</v>
      </c>
      <c r="B122" s="3805" t="s">
        <v>2751</v>
      </c>
      <c r="C122" s="3117" t="s">
        <v>2752</v>
      </c>
      <c r="D122" s="3091" t="s">
        <v>2753</v>
      </c>
      <c r="E122" s="3117">
        <v>0.1</v>
      </c>
      <c r="F122" s="3117">
        <v>15</v>
      </c>
    </row>
    <row r="123" spans="1:6" ht="13.5">
      <c r="A123" s="3117">
        <v>49</v>
      </c>
      <c r="B123" s="3806"/>
      <c r="C123" s="3117" t="s">
        <v>2754</v>
      </c>
      <c r="D123" s="3091" t="s">
        <v>2755</v>
      </c>
      <c r="E123" s="3117">
        <v>0.1</v>
      </c>
      <c r="F123" s="3117">
        <v>15</v>
      </c>
    </row>
    <row r="124" spans="1:6" ht="24">
      <c r="A124" s="3117">
        <v>50</v>
      </c>
      <c r="B124" s="3804" t="s">
        <v>2756</v>
      </c>
      <c r="C124" s="3117" t="s">
        <v>2757</v>
      </c>
      <c r="D124" s="3091" t="s">
        <v>2758</v>
      </c>
      <c r="E124" s="3117">
        <v>0.1</v>
      </c>
      <c r="F124" s="3117">
        <v>15</v>
      </c>
    </row>
    <row r="125" spans="1:6" ht="24">
      <c r="A125" s="3117">
        <v>51</v>
      </c>
      <c r="B125" s="3804"/>
      <c r="C125" s="3117" t="s">
        <v>2759</v>
      </c>
      <c r="D125" s="3091" t="s">
        <v>2760</v>
      </c>
      <c r="E125" s="3117">
        <v>0.1</v>
      </c>
      <c r="F125" s="3117">
        <v>15</v>
      </c>
    </row>
    <row r="126" spans="1:6" ht="24">
      <c r="A126" s="3117">
        <v>52</v>
      </c>
      <c r="B126" s="3804" t="s">
        <v>2761</v>
      </c>
      <c r="C126" s="3117" t="s">
        <v>2762</v>
      </c>
      <c r="D126" s="3091" t="s">
        <v>2763</v>
      </c>
      <c r="E126" s="3117">
        <v>0.1</v>
      </c>
      <c r="F126" s="3117">
        <v>15</v>
      </c>
    </row>
    <row r="127" spans="1:6" ht="24">
      <c r="A127" s="3117">
        <v>53</v>
      </c>
      <c r="B127" s="3804"/>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804" t="s">
        <v>2769</v>
      </c>
      <c r="C129" s="3117" t="s">
        <v>2770</v>
      </c>
      <c r="D129" s="3091" t="s">
        <v>2771</v>
      </c>
      <c r="E129" s="3117">
        <v>0.1</v>
      </c>
      <c r="F129" s="3117">
        <v>15</v>
      </c>
    </row>
    <row r="130" spans="1:6" ht="13.5">
      <c r="A130" s="3117">
        <v>56</v>
      </c>
      <c r="B130" s="3804"/>
      <c r="C130" s="3117" t="s">
        <v>2772</v>
      </c>
      <c r="D130" s="3091" t="s">
        <v>2773</v>
      </c>
      <c r="E130" s="3117">
        <v>0.1</v>
      </c>
      <c r="F130" s="3117">
        <v>15</v>
      </c>
    </row>
    <row r="131" spans="1:6" ht="24">
      <c r="A131" s="3117">
        <v>57</v>
      </c>
      <c r="B131" s="3804"/>
      <c r="C131" s="3117" t="s">
        <v>2774</v>
      </c>
      <c r="D131" s="3091" t="s">
        <v>2775</v>
      </c>
      <c r="E131" s="3117">
        <v>0.1</v>
      </c>
      <c r="F131" s="3117">
        <v>15</v>
      </c>
    </row>
    <row r="132" spans="1:6" ht="24">
      <c r="A132" s="3117">
        <v>58</v>
      </c>
      <c r="B132" s="3804" t="s">
        <v>2776</v>
      </c>
      <c r="C132" s="3117" t="s">
        <v>2777</v>
      </c>
      <c r="D132" s="3091" t="s">
        <v>2778</v>
      </c>
      <c r="E132" s="3117">
        <v>0.1</v>
      </c>
      <c r="F132" s="3117">
        <v>15</v>
      </c>
    </row>
    <row r="133" spans="1:6" ht="13.5">
      <c r="A133" s="3117">
        <v>59</v>
      </c>
      <c r="B133" s="3804"/>
      <c r="C133" s="3117" t="s">
        <v>2779</v>
      </c>
      <c r="D133" s="3091" t="s">
        <v>2780</v>
      </c>
      <c r="E133" s="3117">
        <v>0.1</v>
      </c>
      <c r="F133" s="3117">
        <v>15</v>
      </c>
    </row>
    <row r="134" spans="1:6" ht="13.5">
      <c r="A134" s="3117">
        <v>60</v>
      </c>
      <c r="B134" s="3805" t="s">
        <v>2781</v>
      </c>
      <c r="C134" s="3117" t="s">
        <v>2782</v>
      </c>
      <c r="D134" s="3091" t="s">
        <v>2783</v>
      </c>
      <c r="E134" s="3117">
        <v>0.1</v>
      </c>
      <c r="F134" s="3117">
        <v>15</v>
      </c>
    </row>
    <row r="135" spans="1:6" ht="13.5">
      <c r="A135" s="3117">
        <v>61</v>
      </c>
      <c r="B135" s="3806"/>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804" t="s">
        <v>2789</v>
      </c>
      <c r="C137" s="3117" t="s">
        <v>2790</v>
      </c>
      <c r="D137" s="3091" t="s">
        <v>2791</v>
      </c>
      <c r="E137" s="3117">
        <v>0.1</v>
      </c>
      <c r="F137" s="3117">
        <v>15</v>
      </c>
    </row>
    <row r="138" spans="1:6" ht="13.5">
      <c r="A138" s="3117">
        <v>64</v>
      </c>
      <c r="B138" s="3804"/>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247</v>
      </c>
      <c r="E5" s="1491"/>
    </row>
    <row r="6" spans="1:5" ht="15.75">
      <c r="A6" s="1491"/>
      <c r="B6" s="3497"/>
      <c r="C6" s="1494" t="s">
        <v>911</v>
      </c>
      <c r="D6" s="850" t="str">
        <f ca="1">NUMBERSTRING(INT(D5*10000),2)&amp;"元整"</f>
        <v>贰佰肆拾柒万元整</v>
      </c>
      <c r="E6" s="1491"/>
    </row>
    <row r="7" spans="1:5" ht="15.75">
      <c r="A7" s="1491"/>
      <c r="B7" s="3502"/>
      <c r="C7" s="1495" t="s">
        <v>912</v>
      </c>
      <c r="D7" s="851">
        <f ca="1">结果表!H102</f>
        <v>25212</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247</v>
      </c>
      <c r="E13" s="1491"/>
    </row>
    <row r="14" spans="1:5" ht="15.75">
      <c r="A14" s="1491"/>
      <c r="B14" s="3497"/>
      <c r="C14" s="1494" t="s">
        <v>911</v>
      </c>
      <c r="D14" s="850" t="str">
        <f ca="1">NUMBERSTRING(INT(D13*10000),2)&amp;"元整"</f>
        <v>贰佰肆拾柒万元整</v>
      </c>
      <c r="E14" s="1491"/>
    </row>
    <row r="15" spans="1:5" ht="15">
      <c r="A15" s="1491"/>
      <c r="B15" s="3502"/>
      <c r="C15" s="1495" t="s">
        <v>921</v>
      </c>
      <c r="D15" s="859">
        <f ca="1">结果表!H108</f>
        <v>25212</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v>
      </c>
      <c r="C19" s="1499" t="s">
        <v>910</v>
      </c>
      <c r="D19" s="851" t="str">
        <f>结果表!H111</f>
        <v>——</v>
      </c>
      <c r="E19" s="1491"/>
    </row>
    <row r="20" spans="1:5" ht="15.75">
      <c r="A20" s="1491"/>
      <c r="B20" s="3497"/>
      <c r="C20" s="1494" t="s">
        <v>923</v>
      </c>
      <c r="D20" s="850" t="e">
        <f>NUMBERSTRING(INT(D19*10000),2)&amp;"元整"</f>
        <v>#VALUE!</v>
      </c>
      <c r="E20" s="1491"/>
    </row>
    <row r="21" spans="1:5" ht="15.75" thickBot="1">
      <c r="A21" s="1491"/>
      <c r="B21" s="349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27885</v>
      </c>
      <c r="C2" s="2" t="s">
        <v>106</v>
      </c>
      <c r="D2" s="199"/>
      <c r="E2" s="199"/>
      <c r="F2" s="199"/>
      <c r="G2" s="199"/>
    </row>
    <row r="3" spans="1:7" s="200" customFormat="1" ht="18" customHeight="1" thickBot="1">
      <c r="A3" s="203" t="s">
        <v>58</v>
      </c>
      <c r="B3" s="204">
        <f ca="1">ROUND(B2*10000/'数据-汇总表'!E3,0)</f>
        <v>2841060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98.15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98.15</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98.15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8" t="s">
        <v>94</v>
      </c>
    </row>
    <row r="43" spans="1:7" ht="13.5" customHeight="1">
      <c r="A43" s="780" t="s">
        <v>347</v>
      </c>
      <c r="B43" s="215" t="s">
        <v>426</v>
      </c>
      <c r="C43" s="238">
        <f ca="1">ROUND(IF('数据-取费表'!B22&lt;=1,C39*F22*'数据-取费表'!B21/2,C39*(POWER((1+F22),'数据-取费表'!B21/2)-1)),0)</f>
        <v>0</v>
      </c>
      <c r="D43" s="238"/>
      <c r="E43" s="238"/>
      <c r="F43" s="239"/>
      <c r="G43" s="3679"/>
    </row>
    <row r="44" spans="1:7" ht="13.5" customHeight="1">
      <c r="A44" s="780" t="s">
        <v>348</v>
      </c>
      <c r="B44" s="215" t="s">
        <v>428</v>
      </c>
      <c r="C44" s="238">
        <f ca="1">ROUND(IF('数据-取费表'!B22&lt;=1,C40*F22*'数据-取费表'!B21/2,C40*(POWER((1+F22),'数据-取费表'!B21/2)-1)),4)</f>
        <v>5.9999999999999995E-4</v>
      </c>
      <c r="D44" s="238"/>
      <c r="E44" s="238"/>
      <c r="F44" s="239"/>
      <c r="G44" s="3680"/>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0.69</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27885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8" t="s">
        <v>3181</v>
      </c>
      <c r="B1" s="381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9" t="s">
        <v>3232</v>
      </c>
      <c r="B1" s="3819"/>
      <c r="C1" s="3819"/>
      <c r="D1" s="3819"/>
      <c r="E1" s="3819"/>
      <c r="F1" s="382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45874</v>
      </c>
      <c r="B1" s="3209" t="s">
        <v>3378</v>
      </c>
      <c r="C1" s="3210"/>
      <c r="D1" s="3210"/>
      <c r="E1" s="3210"/>
      <c r="F1" s="3210"/>
      <c r="G1" s="3210"/>
      <c r="H1" s="3210"/>
      <c r="I1" s="3210"/>
      <c r="J1" s="3164"/>
      <c r="K1" s="3210" t="s">
        <v>454</v>
      </c>
      <c r="L1" s="3210"/>
      <c r="M1" s="3210"/>
      <c r="N1" s="3210"/>
      <c r="O1" s="3210"/>
      <c r="P1" s="3210"/>
      <c r="Q1" s="3164"/>
      <c r="R1" s="3821" t="s">
        <v>456</v>
      </c>
      <c r="S1" s="3822"/>
      <c r="T1" s="3822"/>
      <c r="U1" s="3822"/>
      <c r="V1" s="3822"/>
      <c r="W1" s="3822"/>
      <c r="X1" s="3164"/>
      <c r="Y1" s="3821" t="s">
        <v>457</v>
      </c>
      <c r="Z1" s="3822"/>
      <c r="AA1" s="3822"/>
      <c r="AB1" s="3822"/>
      <c r="AC1" s="3822"/>
      <c r="AD1" s="3822"/>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21" t="s">
        <v>2827</v>
      </c>
      <c r="S29" s="3822"/>
      <c r="T29" s="3822"/>
      <c r="U29" s="3822"/>
      <c r="V29" s="3822"/>
      <c r="W29" s="3822"/>
      <c r="X29" s="3164"/>
      <c r="Y29" s="3821" t="s">
        <v>2828</v>
      </c>
      <c r="Z29" s="3822"/>
      <c r="AA29" s="3822"/>
      <c r="AB29" s="3822"/>
      <c r="AC29" s="3822"/>
      <c r="AD29" s="3822"/>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6" t="s">
        <v>2839</v>
      </c>
      <c r="B1" s="3836"/>
      <c r="C1" s="3836"/>
      <c r="D1" s="3836"/>
      <c r="E1" s="3836"/>
      <c r="F1" s="3836"/>
      <c r="G1" s="383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3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3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O100"/>
  <sheetViews>
    <sheetView workbookViewId="0">
      <selection activeCell="O106" sqref="O106"/>
    </sheetView>
  </sheetViews>
  <sheetFormatPr defaultRowHeight="13.5"/>
  <sheetData>
    <row r="11" spans="6:6">
      <c r="F11" s="3484"/>
    </row>
    <row r="100" spans="15:15">
      <c r="O100" s="3484" t="s">
        <v>3486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5" sqref="J9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4" t="s">
        <v>925</v>
      </c>
      <c r="E3" s="854" t="s">
        <v>931</v>
      </c>
      <c r="F3" s="854" t="s">
        <v>925</v>
      </c>
      <c r="G3" s="854" t="s">
        <v>926</v>
      </c>
      <c r="H3" s="854" t="s">
        <v>925</v>
      </c>
      <c r="I3" s="854" t="s">
        <v>926</v>
      </c>
    </row>
    <row r="4" spans="1:9" ht="60">
      <c r="A4" s="1505" t="str">
        <f>项目基本情况!S2</f>
        <v>北京市朝阳区慧忠路5号12层C1201、C1202、C1203、C1205、C1206共5套办公用房房地产</v>
      </c>
      <c r="B4" s="854">
        <f>项目基本情况!C17</f>
        <v>98.15</v>
      </c>
      <c r="C4" s="854">
        <f>项目基本情况!C18</f>
        <v>0</v>
      </c>
      <c r="D4" s="854">
        <f ca="1">结果表!D118</f>
        <v>143</v>
      </c>
      <c r="E4" s="854">
        <f ca="1">结果表!E118</f>
        <v>14522</v>
      </c>
      <c r="F4" s="854">
        <f ca="1">结果表!F118</f>
        <v>105</v>
      </c>
      <c r="G4" s="854">
        <f ca="1">结果表!G118</f>
        <v>10690</v>
      </c>
      <c r="H4" s="854">
        <f ca="1">结果表!H118</f>
        <v>247</v>
      </c>
      <c r="I4" s="854">
        <f ca="1">结果表!I118</f>
        <v>25212</v>
      </c>
    </row>
    <row r="5" spans="1:9" ht="30" customHeight="1">
      <c r="A5" s="3509" t="s">
        <v>927</v>
      </c>
      <c r="B5" s="3509"/>
      <c r="C5" s="3509"/>
      <c r="D5" s="3509" t="str">
        <f ca="1">结果表!D119</f>
        <v>壹佰肆拾叁万元整</v>
      </c>
      <c r="E5" s="3509"/>
      <c r="F5" s="3509" t="str">
        <f ca="1">结果表!F119</f>
        <v>壹佰零伍万元整</v>
      </c>
      <c r="G5" s="3509"/>
      <c r="H5" s="3509" t="str">
        <f ca="1">结果表!H119</f>
        <v>贰佰肆拾柒万元整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247</v>
      </c>
      <c r="E8" s="3508"/>
      <c r="F8" s="3508"/>
      <c r="G8" s="3508"/>
      <c r="H8" s="3508"/>
      <c r="I8" s="3508"/>
    </row>
    <row r="9" spans="1:9" ht="15">
      <c r="A9" s="3509" t="s">
        <v>927</v>
      </c>
      <c r="B9" s="3509"/>
      <c r="C9" s="3509"/>
      <c r="D9" s="3509" t="str">
        <f ca="1">结果表!D123</f>
        <v>贰佰肆拾柒万元整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
      </c>
      <c r="B12" s="3508"/>
      <c r="C12" s="3508"/>
      <c r="D12" s="3508" t="str">
        <f>结果表!D126</f>
        <v>——</v>
      </c>
      <c r="E12" s="3508"/>
      <c r="F12" s="3508"/>
      <c r="G12" s="3508"/>
      <c r="H12" s="3508"/>
      <c r="I12" s="3508"/>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1" t="s">
        <v>949</v>
      </c>
      <c r="B1" s="3521"/>
      <c r="C1" s="3521"/>
      <c r="D1" s="3521"/>
    </row>
    <row r="2" spans="1:4" ht="18">
      <c r="A2" s="3522" t="s">
        <v>933</v>
      </c>
      <c r="B2" s="3522"/>
      <c r="C2" s="3522"/>
      <c r="D2" s="3522"/>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22" t="s">
        <v>939</v>
      </c>
      <c r="B6" s="3522"/>
      <c r="C6" s="3522"/>
      <c r="D6" s="352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2160</v>
      </c>
      <c r="B17" s="3532"/>
      <c r="C17" s="3532"/>
      <c r="D17" s="3532"/>
      <c r="E17" s="3532"/>
      <c r="F17" s="3532"/>
      <c r="G17" s="3532"/>
      <c r="H17" s="3532"/>
    </row>
    <row r="18" spans="1:8" ht="24" customHeight="1">
      <c r="A18" s="3533" t="s">
        <v>2161</v>
      </c>
      <c r="B18" s="3533"/>
      <c r="C18" s="3533"/>
      <c r="D18" s="2343"/>
      <c r="E18" s="3534" t="s">
        <v>2162</v>
      </c>
      <c r="F18" s="3533"/>
      <c r="G18" s="353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5套合计</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销售案例</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2025-08-06T01:23:30Z</dcterms:modified>
</cp:coreProperties>
</file>