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 sheetId="80" r:id="rId16"/>
    <sheet name="Sheet3" sheetId="82" r:id="rId17"/>
    <sheet name="估价对象房地状况" sheetId="20" r:id="rId18"/>
    <sheet name="系统读取表" sheetId="74" r:id="rId19"/>
    <sheet name="结果表" sheetId="9" r:id="rId20"/>
    <sheet name="收益法（汇总）" sheetId="70" r:id="rId21"/>
    <sheet name="收益法" sheetId="15" r:id="rId22"/>
    <sheet name="收益法车库" sheetId="83" r:id="rId23"/>
    <sheet name="成本法" sheetId="68" r:id="rId24"/>
    <sheet name="成本法 (元)" sheetId="69" state="hidden" r:id="rId25"/>
    <sheet name="假设开发法" sheetId="12" state="hidden"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商业" sheetId="43" r:id="rId39"/>
    <sheet name="基准地价修正办公" sheetId="84" r:id="rId40"/>
    <sheet name="租赁台账" sheetId="81"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 r:id="rId53"/>
    <externalReference r:id="rId54"/>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_FilterDatabase" localSheetId="40" hidden="1">租赁台账!$A$2:$E$75</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3">成本法!$A$1:$G$57</definedName>
    <definedName name="_xlnm.Print_Area" localSheetId="24">'成本法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9">基准地价修正办公!$A$1:$J$44,基准地价修正办公!$A$47:$H$101,基准地价修正办公!$R$1:$V$16</definedName>
    <definedName name="_xlnm.Print_Area" localSheetId="38">基准地价修正商业!$A$1:$J$44,基准地价修正商业!$A$47:$H$101,基准地价修正商业!$R$1:$V$16</definedName>
    <definedName name="_xlnm.Print_Area" localSheetId="25">假设开发法!$A$1:$K$32</definedName>
    <definedName name="_xlnm.Print_Area" localSheetId="19">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0">'收益法（汇总）'!$A$1:$F$13</definedName>
    <definedName name="_xlnm.Print_Area" localSheetId="22">收益法车库!$A$1:$F$43,收益法车库!$H$3:$M$29,收益法车库!$A$46:$F$71,收益法车库!$I$46:$N$65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5">'[1]比较法-办公'!$B$119:$M$119</definedName>
    <definedName name="办公层高">'比较法-办公'!$B$119:$M$119</definedName>
    <definedName name="办公朝向" localSheetId="15">'[1]比较法-办公'!$B$91:$M$91</definedName>
    <definedName name="办公朝向">'比较法-办公'!$B$91:$M$91</definedName>
    <definedName name="办公道路级别" localSheetId="15">'[1]比较法-办公'!$B$87:$M$87</definedName>
    <definedName name="办公道路级别">'比较法-办公'!$B$87:$M$87</definedName>
    <definedName name="办公公共部分装修" localSheetId="15">'[1]比较法-办公'!$B$108:$M$108</definedName>
    <definedName name="办公公共部分装修">'比较法-办公'!$B$108:$M$108</definedName>
    <definedName name="办公基础设施水平" localSheetId="15">'[1]比较法-办公'!$B$117:$M$117</definedName>
    <definedName name="办公基础设施水平">'比较法-办公'!$B$117:$M$117</definedName>
    <definedName name="办公集聚程度" localSheetId="15">[1]定义!$M$1:$M$6</definedName>
    <definedName name="办公集聚程度">定义!$M$1:$M$6</definedName>
    <definedName name="办公建筑结构" localSheetId="15">'[1]比较法-办公'!$B$106:$M$106</definedName>
    <definedName name="办公建筑结构">'比较法-办公'!$B$106:$M$106</definedName>
    <definedName name="办公建筑类型" localSheetId="15">'[1]比较法-办公'!$B$101:$M$101</definedName>
    <definedName name="办公建筑类型">'比较法-办公'!$B$101:$M$101</definedName>
    <definedName name="办公交易情况" localSheetId="15">'[1]比较法-办公'!$A$62:$M$62</definedName>
    <definedName name="办公交易情况">'比较法-办公'!$A$62:$M$62</definedName>
    <definedName name="办公楼层" localSheetId="15">'[1]比较法-办公'!$B$89:$M$89</definedName>
    <definedName name="办公楼层">'比较法-办公'!$B$89:$M$89</definedName>
    <definedName name="办公内部装修" localSheetId="15">'[1]比较法-办公'!$B$123:$M$123</definedName>
    <definedName name="办公内部装修">'比较法-办公'!$B$123:$M$123</definedName>
    <definedName name="办公物业管理" localSheetId="15">'[1]比较法-办公'!$B$115:$M$115</definedName>
    <definedName name="办公物业管理">'比较法-办公'!$B$115:$M$115</definedName>
    <definedName name="办公用途" localSheetId="15">'[1]比较法-办公'!$B$64:$M$64</definedName>
    <definedName name="办公用途">'比较法-办公'!$B$64:$M$64</definedName>
    <definedName name="仓储公共部分装修" localSheetId="15">'[1]比较法-仓储'!$B$77:$M$77</definedName>
    <definedName name="仓储公共部分装修">'比较法-仓储'!$B$77:$M$77</definedName>
    <definedName name="仓储交易情况" localSheetId="15">'[1]比较法-仓储'!$A$49:$M$49</definedName>
    <definedName name="仓储交易情况">'比较法-仓储'!$A$49:$M$49</definedName>
    <definedName name="仓储楼层" localSheetId="15">'[1]比较法-仓储'!$B$69:$M$69</definedName>
    <definedName name="仓储楼层">'比较法-仓储'!$B$69:$M$69</definedName>
    <definedName name="仓储物业等级" localSheetId="15">'[1]比较法-仓储'!$B$82:$M$82</definedName>
    <definedName name="仓储物业等级">'比较法-仓储'!$B$82:$M$82</definedName>
    <definedName name="仓储用途" localSheetId="15">'[1]比较法-仓储'!$B$51:$M$51</definedName>
    <definedName name="仓储用途">'比较法-仓储'!$B$51:$M$51</definedName>
    <definedName name="产业集聚程度" localSheetId="15">[1]定义!$N$1:$N$6</definedName>
    <definedName name="产业集聚程度">定义!$N$1:$N$6</definedName>
    <definedName name="车位公共部分装修" localSheetId="15">'[1]比较法-车位'!$B$83:$M$83</definedName>
    <definedName name="车位公共部分装修">'比较法-车位'!$B$83:$M$83</definedName>
    <definedName name="车位交易情况" localSheetId="15">'[1]比较法-车位'!$A$51:$M$51</definedName>
    <definedName name="车位交易情况">'比较法-车位'!$A$51:$M$51</definedName>
    <definedName name="车位类型" localSheetId="15">'[1]比较法-车位'!$B$93:$M$93</definedName>
    <definedName name="车位类型">'比较法-车位'!$B$93:$M$93</definedName>
    <definedName name="车位楼层" localSheetId="15">'[1]比较法-车位'!$B$71:$M$71</definedName>
    <definedName name="车位楼层">'比较法-车位'!$B$71:$M$71</definedName>
    <definedName name="车位配套类型" localSheetId="15">'[1]比较法-车位'!$B$79:$M$79</definedName>
    <definedName name="车位配套类型">'比较法-车位'!$B$79:$M$79</definedName>
    <definedName name="车位物业等级" localSheetId="15">'[1]比较法-车位'!$B$88:$M$88</definedName>
    <definedName name="车位物业等级">'比较法-车位'!$B$88:$M$88</definedName>
    <definedName name="车位用途" localSheetId="15">'[1]比较法-车位'!$B$53:$M$53</definedName>
    <definedName name="车位用途">'比较法-车位'!$B$53:$M$53</definedName>
    <definedName name="城镇土地纳税等级分级范围" localSheetId="15">'[1]数据-取费表'!$A$53:$A$63</definedName>
    <definedName name="城镇土地纳税等级分级范围">'数据-取费表'!$A$53:$A$63</definedName>
    <definedName name="单价内涵" localSheetId="15">[1]定义!$V$1:$V$3</definedName>
    <definedName name="单价内涵">定义!$V$1:$V$3</definedName>
    <definedName name="地类判定" localSheetId="15">[1]定义!$H$1:$H$9</definedName>
    <definedName name="地类判定">定义!$H$1:$H$9</definedName>
    <definedName name="二级">区片价!$J$1:$J$21</definedName>
    <definedName name="二级分类" localSheetId="15">[1]修正!$C$19:$C$51</definedName>
    <definedName name="二级分类">修正!$C$19:$C$51</definedName>
    <definedName name="法定最高年限" localSheetId="15">[1]定义!$G$1:$G$4</definedName>
    <definedName name="法定最高年限">定义!$G$1:$G$6</definedName>
    <definedName name="工业公共部分装修" localSheetId="15">'[1]比较法-工业'!$B$95:$M$95</definedName>
    <definedName name="工业公共部分装修">'比较法-工业'!$B$95:$M$95</definedName>
    <definedName name="工业基础设施水平" localSheetId="15">'[1]比较法-工业'!$B$102:$M$102</definedName>
    <definedName name="工业基础设施水平">'比较法-工业'!$B$102:$M$102</definedName>
    <definedName name="工业建筑结构" localSheetId="15">'[1]比较法-工业'!$B$93:$M$93</definedName>
    <definedName name="工业建筑结构">'比较法-工业'!$B$93:$M$93</definedName>
    <definedName name="工业建筑类型" localSheetId="15">'[1]比较法-工业'!$B$88:$M$88</definedName>
    <definedName name="工业建筑类型">'比较法-工业'!$B$88:$M$88</definedName>
    <definedName name="工业交易情况" localSheetId="15">'[1]比较法-工业'!$A$55:$M$55</definedName>
    <definedName name="工业交易情况">'比较法-工业'!$A$55:$M$55</definedName>
    <definedName name="工业内部装修" localSheetId="15">'[1]比较法-工业'!$B$104:$M$104</definedName>
    <definedName name="工业内部装修">'比较法-工业'!$B$104:$M$104</definedName>
    <definedName name="工业物业管理" localSheetId="15">'[1]比较法-工业'!$B$100:$M$100</definedName>
    <definedName name="工业物业管理">'比较法-工业'!$B$100:$M$100</definedName>
    <definedName name="工业用途" localSheetId="15">'[1]比较法-工业'!$B$57:$M$57</definedName>
    <definedName name="工业用途">'比较法-工业'!$B$57:$M$57</definedName>
    <definedName name="公共配套设施" localSheetId="15">[1]定义!$Q$1:$Q$6</definedName>
    <definedName name="公共配套设施">定义!$Q$1:$Q$6</definedName>
    <definedName name="估价范围判定">定义!$D$1:$D$4</definedName>
    <definedName name="估价方法" localSheetId="15">[1]定义!$B$1:$B$50</definedName>
    <definedName name="估价方法">定义!$B$1:$B$50</definedName>
    <definedName name="环境" localSheetId="15">[1]定义!$S$1:$S$6</definedName>
    <definedName name="环境">定义!$S$1:$S$6</definedName>
    <definedName name="基础设施水平" localSheetId="15">[1]定义!$R$1:$R$6</definedName>
    <definedName name="基础设施水平">定义!$R$1:$R$6</definedName>
    <definedName name="季度" localSheetId="39">基准地价修正办公!$Q$19:$AD$19</definedName>
    <definedName name="季度">基准地价修正商业!$Q$19:$AD$19</definedName>
    <definedName name="价值类型2" localSheetId="15">[1]定义!$B$54:$B$56</definedName>
    <definedName name="价值类型2">定义!$B$54:$B$56</definedName>
    <definedName name="交通便捷度" localSheetId="15">[1]定义!$O$1:$O$6</definedName>
    <definedName name="交通便捷度">定义!$O$1:$O$6</definedName>
    <definedName name="九级">区片价!$Q$1:$Q$51</definedName>
    <definedName name="居住社区成熟度" localSheetId="15">[1]定义!$K$1:$K$6</definedName>
    <definedName name="居住社区成熟度">定义!$K$1:$K$6</definedName>
    <definedName name="类别" localSheetId="15">[1]定义!$J$1:$J$3</definedName>
    <definedName name="类别">定义!$J$1:$J$3</definedName>
    <definedName name="临街状况" localSheetId="15">[1]定义!$T$1:$T$5</definedName>
    <definedName name="临街状况">定义!$T$1:$T$5</definedName>
    <definedName name="六级">区片价!$N$1:$N$64</definedName>
    <definedName name="内部装修维护情况" localSheetId="15">[1]定义!$U$1:$U$6</definedName>
    <definedName name="内部装修维护情况">定义!$U$1:$U$6</definedName>
    <definedName name="判定">[1]定义!$D$1:$D$4</definedName>
    <definedName name="七级">区片价!$O$1:$O$45</definedName>
    <definedName name="七通一平" localSheetId="15">[1]修正!$A$8:$A$16</definedName>
    <definedName name="七通一平">修正!$A$8:$A$16</definedName>
    <definedName name="区域土地利用方向" localSheetId="15">[1]定义!$P$1:$P$6</definedName>
    <definedName name="区域土地利用方向">定义!$P$1:$P$6</definedName>
    <definedName name="三级">区片价!$K$1:$K$26</definedName>
    <definedName name="商业层高" localSheetId="15">'[1]比较法-商业'!$B$116:$M$116</definedName>
    <definedName name="商业层高">'比较法-商业'!$B$116:$M$116</definedName>
    <definedName name="商业成新度">'比较法-商业'!$B$109:$M$109</definedName>
    <definedName name="商业繁华度" localSheetId="15">[1]定义!$L$1:$L$6</definedName>
    <definedName name="商业繁华度">定义!$L$1:$L$6</definedName>
    <definedName name="商业公共部分装修" localSheetId="15">'[1]比较法-商业'!$B$107:$M$107</definedName>
    <definedName name="商业公共部分装修">'比较法-商业'!$B$107:$M$107</definedName>
    <definedName name="商业基础设施水平" localSheetId="15">'[1]比较法-商业'!$B$112:$M$112</definedName>
    <definedName name="商业基础设施水平">'比较法-商业'!$B$112:$M$112</definedName>
    <definedName name="商业建筑结构" localSheetId="15">'[1]比较法-商业'!$B$105:$M$105</definedName>
    <definedName name="商业建筑结构">'比较法-商业'!$B$105:$M$105</definedName>
    <definedName name="商业交易情况" localSheetId="15">'[1]比较法-商业'!$A$61:$M$61</definedName>
    <definedName name="商业交易情况">'比较法-商业'!$A$61:$M$61</definedName>
    <definedName name="商业街名称" localSheetId="15">[1]修正!$C$71:$C$138</definedName>
    <definedName name="商业街名称">修正!$C$71:$C$138</definedName>
    <definedName name="商业进深比" localSheetId="15">'[1]比较法-商业'!$B$120:$M$120</definedName>
    <definedName name="商业进深比">'比较法-商业'!$B$120:$M$120</definedName>
    <definedName name="商业类型" localSheetId="15">'[1]比较法-商业'!$B$100:$M$100</definedName>
    <definedName name="商业类型">'比较法-商业'!$B$100:$M$100</definedName>
    <definedName name="商业临街状况" localSheetId="15">'[1]比较法-商业'!$B$86:$M$86</definedName>
    <definedName name="商业临街状况">'比较法-商业'!$B$86:$M$86</definedName>
    <definedName name="商业楼层" localSheetId="15">'[1]比较法-商业'!$B$92:$M$92</definedName>
    <definedName name="商业楼层">'比较法-商业'!$B$92:$M$92</definedName>
    <definedName name="商业内部装修" localSheetId="15">'[1]比较法-商业'!$B$122:$M$122</definedName>
    <definedName name="商业内部装修">'比较法-商业'!$B$122:$M$122</definedName>
    <definedName name="商业人流量" localSheetId="15">'[1]比较法-商业'!$B$90:$M$90</definedName>
    <definedName name="商业人流量">'比较法-商业'!$B$90:$M$90</definedName>
    <definedName name="商业业态" localSheetId="15">'[1]比较法-商业'!$B$114:$M$114</definedName>
    <definedName name="商业业态">'比较法-商业'!$B$114:$M$114</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5">'[1]比较法-仓储'!$B$89:$M$89</definedName>
    <definedName name="是否封闭">'比较法-仓储'!$B$89:$M$89</definedName>
    <definedName name="是否直接入户" localSheetId="15">'[1]比较法-车位'!$B$95:$M$95</definedName>
    <definedName name="是否直接入户">'比较法-车位'!$B$95:$M$95</definedName>
    <definedName name="四级">区片价!$L$1:$L$33</definedName>
    <definedName name="套工道路等级" localSheetId="15">'[1]土地比较法-工业'!$B$97:$M$97</definedName>
    <definedName name="套工道路等级">'土地比较法-工业'!$B$97:$M$97</definedName>
    <definedName name="套工地质条件" localSheetId="15">'[1]土地比较法-工业'!$B$114:$M$114</definedName>
    <definedName name="套工地质条件">'土地比较法-工业'!$B$114:$M$114</definedName>
    <definedName name="套工交易情况" localSheetId="15">'[1]土地比较法-住宅、综合'!$A$72:$M$72</definedName>
    <definedName name="套工交易情况">'土地比较法-住宅、综合'!$A$72:$M$72</definedName>
    <definedName name="套工土地级别" localSheetId="15">'[1]土地比较法-工业'!$B$99:$M$99</definedName>
    <definedName name="套工土地级别">'土地比较法-工业'!$B$99:$M$99</definedName>
    <definedName name="套工用途" localSheetId="15">'[1]土地比较法-工业'!$B$70:$M$70</definedName>
    <definedName name="套工用途">'土地比较法-工业'!$B$70:$M$70</definedName>
    <definedName name="套工宗地开发程度" localSheetId="15">'[1]土地比较法-工业'!$B$112:$M$112</definedName>
    <definedName name="套工宗地开发程度">'土地比较法-工业'!$B$112:$M$112</definedName>
    <definedName name="套工宗地形状" localSheetId="15">'[1]土地比较法-工业'!$B$110:$M$110</definedName>
    <definedName name="套工宗地形状">'土地比较法-工业'!$B$110:$M$110</definedName>
    <definedName name="套综道路等级" localSheetId="15">'[1]土地比较法-住宅、综合'!$B$105:$M$105</definedName>
    <definedName name="套综道路等级">'土地比较法-住宅、综合'!$B$105:$M$105</definedName>
    <definedName name="套综工程地质条件" localSheetId="15">'[1]土地比较法-住宅、综合'!$B$124:$M$124</definedName>
    <definedName name="套综工程地质条件">'土地比较法-住宅、综合'!$B$124:$M$124</definedName>
    <definedName name="套综交易情况" localSheetId="15">'[1]土地比较法-住宅、综合'!$A$72:$M$72</definedName>
    <definedName name="套综交易情况">'土地比较法-住宅、综合'!$A$72:$M$72</definedName>
    <definedName name="套综临街宽度及深度" localSheetId="15">'[1]土地比较法-住宅、综合'!$B$120:$M$120</definedName>
    <definedName name="套综临街宽度及深度">'土地比较法-住宅、综合'!$B$120:$M$120</definedName>
    <definedName name="套综土地级别" localSheetId="15">'[1]土地比较法-住宅、综合'!$B$107:$M$107</definedName>
    <definedName name="套综土地级别">'土地比较法-住宅、综合'!$B$107:$M$107</definedName>
    <definedName name="套综用途" localSheetId="15">'[1]土地比较法-住宅、综合'!$B$74:$M$74</definedName>
    <definedName name="套综用途">'土地比较法-住宅、综合'!$B$74:$M$74</definedName>
    <definedName name="套综宗地内开发程度" localSheetId="15">'[1]土地比较法-住宅、综合'!$B$122:$M$122</definedName>
    <definedName name="套综宗地内开发程度">'土地比较法-住宅、综合'!$B$122:$M$122</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15">[1]定义!$C$1:$C$14</definedName>
    <definedName name="土地级别">定义!$C$1:$C$14</definedName>
    <definedName name="土地利用方向">定义!$P$1:$P$6</definedName>
    <definedName name="土地年限区间" localSheetId="15">[1]定义!$I$1:$I$8</definedName>
    <definedName name="土地年限区间">定义!$I$1:$I$16</definedName>
    <definedName name="位置" localSheetId="15">[1]定义!$E$2:$E$4</definedName>
    <definedName name="位置">定义!$E$2:$E$4</definedName>
    <definedName name="五等判定" localSheetId="15">[1]定义!$W$1:$W$6</definedName>
    <definedName name="五等判定">定义!$W$1:$W$6</definedName>
    <definedName name="五级">区片价!$M$1:$M$41</definedName>
    <definedName name="项目类型" localSheetId="15">'[1]数据-汇总表'!$C$17:$C$26</definedName>
    <definedName name="项目类型" localSheetId="27">'[2]数据-汇总表'!$C$17:$C$26</definedName>
    <definedName name="项目类型">'数据-汇总表'!$C$17:$C$26</definedName>
    <definedName name="写字楼等级" localSheetId="15">'[1]比较法-办公'!$B$113:$M$113</definedName>
    <definedName name="写字楼等级">'比较法-办公'!$B$113:$M$113</definedName>
    <definedName name="一级">区片价!$I$1:$I$6</definedName>
    <definedName name="一修多修正项2" localSheetId="15">[1]典型户型修正!$5:$5</definedName>
    <definedName name="一修多修正项2">典型户型修正!$5:$5</definedName>
    <definedName name="一修多修正项3" localSheetId="15">[1]典型户型修正!$7:$7</definedName>
    <definedName name="一修多修正项3">典型户型修正!$7:$7</definedName>
    <definedName name="一修多修正项4" localSheetId="15">[1]典型户型修正!$9:$9</definedName>
    <definedName name="一修多修正项4">典型户型修正!$9:$9</definedName>
    <definedName name="一修多修正项5" localSheetId="15">[1]典型户型修正!$11:$11</definedName>
    <definedName name="一修多修正项5">典型户型修正!$11:$11</definedName>
    <definedName name="一修多修正项6" localSheetId="15">[1]典型户型修正!$13:$13</definedName>
    <definedName name="一修多修正项6">典型户型修正!$13:$13</definedName>
    <definedName name="一修多修正项7" localSheetId="15">[1]典型户型修正!$15:$15</definedName>
    <definedName name="一修多修正项7">典型户型修正!$15:$15</definedName>
    <definedName name="一修多修正项8" localSheetId="15">[1]典型户型修正!$17:$17</definedName>
    <definedName name="一修多修正项8">典型户型修正!$17:$17</definedName>
    <definedName name="用途明细" localSheetId="15">[1]定义!$A$1:$A$50</definedName>
    <definedName name="用途明细">定义!$A$1:$A$50</definedName>
    <definedName name="有无电梯" localSheetId="15">'[1]比较法-仓储'!$B$84:$M$84</definedName>
    <definedName name="有无电梯">'比较法-仓储'!$B$84:$M$84</definedName>
    <definedName name="主用途" localSheetId="15">[1]定义!$F$1:$F$10</definedName>
    <definedName name="主用途">定义!$F$1:$F$12</definedName>
    <definedName name="住宅朝向" localSheetId="15">'[1]比较法-住宅'!$B$88:$M$88</definedName>
    <definedName name="住宅朝向">'比较法-住宅'!$B$88:$M$88</definedName>
    <definedName name="住宅房型" localSheetId="15">'[1]比较法-住宅'!$B$118:$M$118</definedName>
    <definedName name="住宅房型">'比较法-住宅'!$B$118:$M$118</definedName>
    <definedName name="住宅公共部分装修" localSheetId="15">'[1]比较法-住宅'!$B$109:$M$109</definedName>
    <definedName name="住宅公共部分装修">'比较法-住宅'!$B$109:$M$109</definedName>
    <definedName name="住宅基础设施水平" localSheetId="15">'[1]比较法-住宅'!$B$116:$M$116</definedName>
    <definedName name="住宅基础设施水平">'比较法-住宅'!$B$116:$M$116</definedName>
    <definedName name="住宅建筑结构" localSheetId="15">'[1]比较法-住宅'!$B$105:$M$105</definedName>
    <definedName name="住宅建筑结构">'比较法-住宅'!$B$105:$M$105</definedName>
    <definedName name="住宅建筑类型" localSheetId="15">'[1]比较法-住宅'!$B$100:$M$100</definedName>
    <definedName name="住宅建筑类型">'比较法-住宅'!$B$100:$M$100</definedName>
    <definedName name="住宅建筑品质" localSheetId="15">'[1]比较法-住宅'!$B$107:$M$107</definedName>
    <definedName name="住宅建筑品质">'比较法-住宅'!$B$107:$M$107</definedName>
    <definedName name="住宅交易情况" localSheetId="15">'[1]比较法-住宅'!$A$61:$M$61</definedName>
    <definedName name="住宅交易情况">'比较法-住宅'!$A$61:$M$61</definedName>
    <definedName name="住宅楼层" localSheetId="15">'[1]比较法-住宅'!$B$86:$M$86</definedName>
    <definedName name="住宅楼层">'比较法-住宅'!$B$86:$M$86</definedName>
    <definedName name="住宅内部装修" localSheetId="15">'[1]比较法-住宅'!$B$122:$M$122</definedName>
    <definedName name="住宅内部装修">'比较法-住宅'!$B$122:$M$122</definedName>
    <definedName name="住宅物业管理" localSheetId="15">'[1]比较法-住宅'!$B$114:$M$114</definedName>
    <definedName name="住宅物业管理">'比较法-住宅'!$B$114:$M$114</definedName>
    <definedName name="住宅用途" localSheetId="15">'[1]比较法-住宅'!$B$63:$M$63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G62" i="84" l="1"/>
  <c r="G63" i="84"/>
  <c r="G64" i="84"/>
  <c r="G65" i="84"/>
  <c r="G66" i="84"/>
  <c r="G67" i="84"/>
  <c r="G68" i="84"/>
  <c r="K68" i="84" s="1"/>
  <c r="J68" i="84" s="1"/>
  <c r="D68" i="84" s="1"/>
  <c r="G69" i="84"/>
  <c r="G61" i="84"/>
  <c r="K61" i="84" s="1"/>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N101" i="84"/>
  <c r="M101" i="84"/>
  <c r="K101" i="84"/>
  <c r="J101" i="84" s="1"/>
  <c r="D101" i="84"/>
  <c r="B101" i="84"/>
  <c r="N100" i="84"/>
  <c r="M100" i="84"/>
  <c r="K100" i="84"/>
  <c r="J100" i="84" s="1"/>
  <c r="D100" i="84"/>
  <c r="B100" i="84"/>
  <c r="M99" i="84"/>
  <c r="N99" i="84" s="1"/>
  <c r="K99" i="84"/>
  <c r="J99" i="84"/>
  <c r="D99" i="84"/>
  <c r="B99" i="84"/>
  <c r="N98" i="84"/>
  <c r="M98" i="84"/>
  <c r="K98" i="84"/>
  <c r="J98" i="84" s="1"/>
  <c r="D98" i="84"/>
  <c r="N97" i="84"/>
  <c r="M97" i="84"/>
  <c r="K97" i="84"/>
  <c r="J97" i="84" s="1"/>
  <c r="D97" i="84"/>
  <c r="B97" i="84"/>
  <c r="N96" i="84"/>
  <c r="M96" i="84"/>
  <c r="K96" i="84"/>
  <c r="J96" i="84" s="1"/>
  <c r="D96" i="84"/>
  <c r="M95" i="84"/>
  <c r="N95" i="84" s="1"/>
  <c r="K95" i="84"/>
  <c r="J95" i="84"/>
  <c r="D95" i="84"/>
  <c r="B95" i="84"/>
  <c r="N94" i="84"/>
  <c r="M94" i="84"/>
  <c r="K94" i="84"/>
  <c r="J94" i="84" s="1"/>
  <c r="D94" i="84"/>
  <c r="B94" i="84"/>
  <c r="M93" i="84"/>
  <c r="N93" i="84" s="1"/>
  <c r="K93" i="84"/>
  <c r="J93" i="84"/>
  <c r="F93" i="84"/>
  <c r="H101" i="84" s="1"/>
  <c r="D93" i="84"/>
  <c r="E93" i="84" s="1"/>
  <c r="B91" i="84" s="1"/>
  <c r="N90" i="84"/>
  <c r="M90" i="84"/>
  <c r="K90" i="84"/>
  <c r="J90" i="84" s="1"/>
  <c r="D90" i="84"/>
  <c r="B90" i="84"/>
  <c r="M89" i="84"/>
  <c r="N89" i="84" s="1"/>
  <c r="K89" i="84"/>
  <c r="J89" i="84"/>
  <c r="D89" i="84"/>
  <c r="M88" i="84"/>
  <c r="N88" i="84" s="1"/>
  <c r="K88" i="84"/>
  <c r="J88" i="84"/>
  <c r="D88" i="84"/>
  <c r="B88" i="84"/>
  <c r="N87" i="84"/>
  <c r="M87" i="84"/>
  <c r="K87" i="84"/>
  <c r="J87" i="84" s="1"/>
  <c r="D87" i="84"/>
  <c r="B87" i="84"/>
  <c r="M86" i="84"/>
  <c r="N86" i="84" s="1"/>
  <c r="K86" i="84"/>
  <c r="J86" i="84"/>
  <c r="D86" i="84"/>
  <c r="B86" i="84"/>
  <c r="N85" i="84"/>
  <c r="M85" i="84"/>
  <c r="K85" i="84"/>
  <c r="J85" i="84" s="1"/>
  <c r="D85" i="84"/>
  <c r="B85" i="84"/>
  <c r="M84" i="84"/>
  <c r="N84" i="84" s="1"/>
  <c r="K84" i="84"/>
  <c r="J84" i="84"/>
  <c r="D84" i="84"/>
  <c r="B84" i="84"/>
  <c r="N83" i="84"/>
  <c r="M83" i="84"/>
  <c r="K83" i="84"/>
  <c r="J83" i="84" s="1"/>
  <c r="F83" i="84"/>
  <c r="H89" i="84" s="1"/>
  <c r="E83" i="84"/>
  <c r="B81" i="84" s="1"/>
  <c r="D83" i="84"/>
  <c r="B83" i="84"/>
  <c r="N80" i="84"/>
  <c r="M80" i="84"/>
  <c r="K80" i="84"/>
  <c r="J80" i="84" s="1"/>
  <c r="D80" i="84"/>
  <c r="N79" i="84"/>
  <c r="M79" i="84"/>
  <c r="K79" i="84"/>
  <c r="J79" i="84" s="1"/>
  <c r="D79" i="84"/>
  <c r="B79" i="84"/>
  <c r="N78" i="84"/>
  <c r="M78" i="84"/>
  <c r="K78" i="84"/>
  <c r="J78" i="84" s="1"/>
  <c r="D78" i="84"/>
  <c r="M77" i="84"/>
  <c r="N77" i="84" s="1"/>
  <c r="K77" i="84"/>
  <c r="J77" i="84"/>
  <c r="D77" i="84"/>
  <c r="B77" i="84"/>
  <c r="N76" i="84"/>
  <c r="M76" i="84"/>
  <c r="K76" i="84"/>
  <c r="J76" i="84" s="1"/>
  <c r="D76" i="84"/>
  <c r="B76" i="84"/>
  <c r="M75" i="84"/>
  <c r="N75" i="84" s="1"/>
  <c r="K75" i="84"/>
  <c r="J75" i="84"/>
  <c r="D75" i="84"/>
  <c r="B75" i="84"/>
  <c r="N74" i="84"/>
  <c r="M74" i="84"/>
  <c r="K74" i="84"/>
  <c r="J74" i="84" s="1"/>
  <c r="D74" i="84"/>
  <c r="B74" i="84"/>
  <c r="M73" i="84"/>
  <c r="N73" i="84" s="1"/>
  <c r="K73" i="84"/>
  <c r="J73" i="84"/>
  <c r="D73" i="84"/>
  <c r="B73" i="84"/>
  <c r="N72" i="84"/>
  <c r="M72" i="84"/>
  <c r="K72" i="84"/>
  <c r="J72" i="84" s="1"/>
  <c r="F72" i="84"/>
  <c r="H78" i="84" s="1"/>
  <c r="E72" i="84"/>
  <c r="B70" i="84" s="1"/>
  <c r="D72" i="84"/>
  <c r="B72" i="84"/>
  <c r="M69" i="84"/>
  <c r="N69" i="84" s="1"/>
  <c r="K69" i="84"/>
  <c r="J69" i="84" s="1"/>
  <c r="D69" i="84"/>
  <c r="B69" i="84"/>
  <c r="M68" i="84"/>
  <c r="N68" i="84" s="1"/>
  <c r="B68" i="84"/>
  <c r="N67" i="84"/>
  <c r="M67" i="84"/>
  <c r="K67" i="84"/>
  <c r="J67" i="84" s="1"/>
  <c r="B67" i="84"/>
  <c r="M66" i="84"/>
  <c r="N66" i="84" s="1"/>
  <c r="K66" i="84"/>
  <c r="J66" i="84" s="1"/>
  <c r="D66" i="84"/>
  <c r="M65" i="84"/>
  <c r="N65" i="84" s="1"/>
  <c r="K65" i="84"/>
  <c r="J65" i="84" s="1"/>
  <c r="D65" i="84"/>
  <c r="B65" i="84"/>
  <c r="M64" i="84"/>
  <c r="N64" i="84" s="1"/>
  <c r="K64" i="84"/>
  <c r="J64" i="84" s="1"/>
  <c r="D64" i="84"/>
  <c r="M63" i="84"/>
  <c r="N63" i="84" s="1"/>
  <c r="K63" i="84"/>
  <c r="J63" i="84" s="1"/>
  <c r="D63" i="84"/>
  <c r="B63" i="84"/>
  <c r="N62" i="84"/>
  <c r="M62" i="84"/>
  <c r="K62" i="84"/>
  <c r="J62" i="84" s="1"/>
  <c r="B62" i="84"/>
  <c r="M61" i="84"/>
  <c r="N61" i="84" s="1"/>
  <c r="B61" i="84"/>
  <c r="B58" i="84"/>
  <c r="B57" i="84"/>
  <c r="B56" i="84"/>
  <c r="D54" i="84"/>
  <c r="B54" i="84"/>
  <c r="B52" i="84"/>
  <c r="B51" i="84"/>
  <c r="B50" i="84"/>
  <c r="G44" i="84"/>
  <c r="D42" i="84"/>
  <c r="H42" i="84" s="1"/>
  <c r="H41" i="84"/>
  <c r="H40" i="84"/>
  <c r="H39" i="84"/>
  <c r="H38" i="84"/>
  <c r="D37" i="84"/>
  <c r="H37" i="84" s="1"/>
  <c r="D33" i="84"/>
  <c r="J24" i="84"/>
  <c r="G24" i="84"/>
  <c r="E44" i="84" s="1"/>
  <c r="C44" i="84" s="1"/>
  <c r="E24" i="84"/>
  <c r="P32" i="84" s="1"/>
  <c r="M23" i="84"/>
  <c r="I23" i="84"/>
  <c r="G23" i="84"/>
  <c r="P29" i="84" s="1"/>
  <c r="C22" i="84"/>
  <c r="C20" i="84"/>
  <c r="I18" i="84"/>
  <c r="G18" i="84"/>
  <c r="G17" i="84"/>
  <c r="C17" i="84"/>
  <c r="C13" i="84"/>
  <c r="E11" i="84"/>
  <c r="Y10" i="84"/>
  <c r="E10" i="84"/>
  <c r="C10" i="84"/>
  <c r="C11" i="84" s="1"/>
  <c r="E9" i="84" s="1"/>
  <c r="AJ9" i="84"/>
  <c r="AJ10" i="84" s="1"/>
  <c r="AI9" i="84"/>
  <c r="AI10" i="84" s="1"/>
  <c r="AH9" i="84"/>
  <c r="AH10" i="84" s="1"/>
  <c r="AG9" i="84"/>
  <c r="AG10" i="84" s="1"/>
  <c r="AF9" i="84"/>
  <c r="AF10" i="84" s="1"/>
  <c r="AE9" i="84"/>
  <c r="AE10" i="84" s="1"/>
  <c r="AD9" i="84"/>
  <c r="AD10" i="84" s="1"/>
  <c r="AC9" i="84"/>
  <c r="AC10" i="84" s="1"/>
  <c r="AB9" i="84"/>
  <c r="AB10" i="84" s="1"/>
  <c r="AA9" i="84"/>
  <c r="AA10" i="84" s="1"/>
  <c r="Z9" i="84"/>
  <c r="Z10" i="84" s="1"/>
  <c r="C9" i="84"/>
  <c r="E8" i="84"/>
  <c r="C7" i="84"/>
  <c r="U3" i="84"/>
  <c r="G3" i="84"/>
  <c r="Z7" i="84" s="1"/>
  <c r="U2" i="84"/>
  <c r="I2" i="84"/>
  <c r="N10" i="84" s="1"/>
  <c r="G2" i="84"/>
  <c r="D1" i="84"/>
  <c r="I77" i="81"/>
  <c r="Q72" i="83"/>
  <c r="Q59" i="83"/>
  <c r="K59" i="83"/>
  <c r="P74" i="83" s="1"/>
  <c r="F59" i="83"/>
  <c r="Q58" i="83"/>
  <c r="J52" i="83"/>
  <c r="Q51" i="83"/>
  <c r="J51" i="83"/>
  <c r="J50" i="83"/>
  <c r="M47" i="83"/>
  <c r="D46" i="83"/>
  <c r="F34" i="83"/>
  <c r="F33" i="83"/>
  <c r="F61" i="83" s="1"/>
  <c r="F32" i="83"/>
  <c r="F60" i="83" s="1"/>
  <c r="F31" i="83"/>
  <c r="F28" i="83"/>
  <c r="C28" i="83"/>
  <c r="F23" i="83"/>
  <c r="D24" i="83" s="1"/>
  <c r="D23" i="83"/>
  <c r="D22" i="83"/>
  <c r="F21" i="83"/>
  <c r="M20" i="83"/>
  <c r="F20" i="83"/>
  <c r="M19" i="83"/>
  <c r="M18" i="83"/>
  <c r="F18" i="83"/>
  <c r="M17" i="83"/>
  <c r="F17" i="83"/>
  <c r="F15" i="83"/>
  <c r="G1" i="83"/>
  <c r="Y7" i="1"/>
  <c r="N7" i="1"/>
  <c r="G19" i="6"/>
  <c r="G20" i="6"/>
  <c r="L47" i="83"/>
  <c r="F40" i="83"/>
  <c r="F7" i="83"/>
  <c r="C76" i="83"/>
  <c r="F42" i="83"/>
  <c r="M24" i="83"/>
  <c r="F43" i="83"/>
  <c r="F9" i="83"/>
  <c r="F8" i="83"/>
  <c r="L48" i="83"/>
  <c r="M28" i="83"/>
  <c r="M22" i="83"/>
  <c r="D62" i="84" l="1"/>
  <c r="D67" i="84"/>
  <c r="J61" i="84"/>
  <c r="D61" i="84"/>
  <c r="H83" i="84"/>
  <c r="S6" i="84"/>
  <c r="S5" i="84"/>
  <c r="E17" i="84"/>
  <c r="H72" i="84"/>
  <c r="H85" i="84"/>
  <c r="H74" i="84"/>
  <c r="M1" i="84"/>
  <c r="N2" i="84"/>
  <c r="M6" i="84"/>
  <c r="N1" i="84"/>
  <c r="H116" i="84"/>
  <c r="F41" i="84"/>
  <c r="F40" i="84"/>
  <c r="F39" i="84"/>
  <c r="F38" i="84"/>
  <c r="F37" i="84"/>
  <c r="C27" i="84"/>
  <c r="C25" i="84" s="1"/>
  <c r="O21" i="84"/>
  <c r="M21" i="84"/>
  <c r="K21" i="84"/>
  <c r="I21" i="84"/>
  <c r="D21" i="84"/>
  <c r="F42" i="84"/>
  <c r="N21" i="84"/>
  <c r="L21" i="84"/>
  <c r="J21" i="84"/>
  <c r="H21" i="84"/>
  <c r="E21" i="84"/>
  <c r="C21" i="84"/>
  <c r="M2" i="84"/>
  <c r="S2" i="84"/>
  <c r="M3" i="84"/>
  <c r="C6" i="84" s="1"/>
  <c r="S3" i="84"/>
  <c r="M4" i="84"/>
  <c r="S4" i="84"/>
  <c r="N5" i="84"/>
  <c r="N6" i="84"/>
  <c r="N7" i="84"/>
  <c r="M8" i="84"/>
  <c r="M12" i="84"/>
  <c r="M11" i="84"/>
  <c r="M10" i="84"/>
  <c r="N9" i="84"/>
  <c r="N8" i="84"/>
  <c r="N12" i="84"/>
  <c r="N11" i="84"/>
  <c r="B116" i="84"/>
  <c r="J26" i="84"/>
  <c r="G26" i="84"/>
  <c r="E26" i="84"/>
  <c r="H26" i="84"/>
  <c r="F26" i="84"/>
  <c r="N3" i="84"/>
  <c r="F50" i="84" s="1"/>
  <c r="N4" i="84"/>
  <c r="M5" i="84"/>
  <c r="M7" i="84"/>
  <c r="X7" i="84"/>
  <c r="M9" i="84"/>
  <c r="P26" i="84"/>
  <c r="P27" i="84"/>
  <c r="P28" i="84"/>
  <c r="M32" i="84"/>
  <c r="O32" i="84"/>
  <c r="Q32" i="84"/>
  <c r="C23" i="84"/>
  <c r="O23" i="84"/>
  <c r="M24" i="84"/>
  <c r="P25" i="84"/>
  <c r="N32" i="84"/>
  <c r="H76" i="84"/>
  <c r="H79" i="84"/>
  <c r="H80" i="84"/>
  <c r="H87" i="84"/>
  <c r="H90" i="84"/>
  <c r="H94" i="84"/>
  <c r="H97" i="84"/>
  <c r="H98" i="84"/>
  <c r="H100" i="84"/>
  <c r="H73" i="84"/>
  <c r="H75" i="84"/>
  <c r="H77" i="84"/>
  <c r="H84" i="84"/>
  <c r="H86" i="84"/>
  <c r="H88" i="84"/>
  <c r="H93" i="84"/>
  <c r="H95" i="84"/>
  <c r="H96" i="84"/>
  <c r="H99" i="84"/>
  <c r="L57" i="83"/>
  <c r="L56" i="83"/>
  <c r="L60" i="83"/>
  <c r="Q71" i="83"/>
  <c r="F51" i="83"/>
  <c r="M7" i="83"/>
  <c r="F50" i="83"/>
  <c r="F68" i="83"/>
  <c r="F71" i="83"/>
  <c r="N59" i="83"/>
  <c r="L59" i="83"/>
  <c r="L58" i="83"/>
  <c r="M59" i="83"/>
  <c r="J57" i="83"/>
  <c r="J55" i="83" s="1"/>
  <c r="J58" i="83" s="1"/>
  <c r="Q50" i="83" s="1"/>
  <c r="F62" i="83"/>
  <c r="I54" i="83"/>
  <c r="P61" i="83"/>
  <c r="J53" i="83"/>
  <c r="G75" i="81"/>
  <c r="E75" i="81"/>
  <c r="H74" i="81"/>
  <c r="H73" i="81"/>
  <c r="I73" i="81" s="1"/>
  <c r="D73" i="81"/>
  <c r="D75" i="81" s="1"/>
  <c r="F72" i="81"/>
  <c r="H72" i="81" s="1"/>
  <c r="I72" i="81" s="1"/>
  <c r="H71" i="81"/>
  <c r="I71" i="81" s="1"/>
  <c r="F71" i="81"/>
  <c r="F70" i="81"/>
  <c r="H70" i="81" s="1"/>
  <c r="I70" i="81" s="1"/>
  <c r="H69" i="81"/>
  <c r="I69" i="81" s="1"/>
  <c r="F69" i="81"/>
  <c r="F68" i="81"/>
  <c r="H68" i="81" s="1"/>
  <c r="I68" i="81" s="1"/>
  <c r="H67" i="81"/>
  <c r="I67" i="81" s="1"/>
  <c r="F67" i="81"/>
  <c r="F66" i="81"/>
  <c r="H66" i="81" s="1"/>
  <c r="I66" i="81" s="1"/>
  <c r="H65" i="81"/>
  <c r="I65" i="81" s="1"/>
  <c r="F65" i="81"/>
  <c r="F64" i="81"/>
  <c r="H64" i="81" s="1"/>
  <c r="I64" i="81" s="1"/>
  <c r="H63" i="81"/>
  <c r="I63" i="81" s="1"/>
  <c r="F63" i="81"/>
  <c r="H62" i="81"/>
  <c r="F62" i="81"/>
  <c r="F61" i="81"/>
  <c r="H61" i="81" s="1"/>
  <c r="I61" i="81" s="1"/>
  <c r="H60" i="81"/>
  <c r="I60" i="81" s="1"/>
  <c r="F60" i="81"/>
  <c r="F59" i="81"/>
  <c r="H59" i="81" s="1"/>
  <c r="I59" i="81" s="1"/>
  <c r="H58" i="81"/>
  <c r="I58" i="81" s="1"/>
  <c r="F58" i="81"/>
  <c r="I57" i="81"/>
  <c r="F57" i="81"/>
  <c r="I56" i="81"/>
  <c r="F56" i="81"/>
  <c r="I55" i="81"/>
  <c r="F55" i="81"/>
  <c r="I54" i="81"/>
  <c r="F54" i="81"/>
  <c r="I53" i="81"/>
  <c r="F53" i="81"/>
  <c r="I52" i="81"/>
  <c r="H52" i="81"/>
  <c r="F52" i="81"/>
  <c r="H51" i="81"/>
  <c r="I51" i="81" s="1"/>
  <c r="F51" i="81"/>
  <c r="I50" i="81"/>
  <c r="H50" i="81"/>
  <c r="F50" i="81"/>
  <c r="H49" i="81"/>
  <c r="I49" i="81" s="1"/>
  <c r="F49" i="81"/>
  <c r="I48" i="81"/>
  <c r="H48" i="81"/>
  <c r="F48" i="81"/>
  <c r="H47" i="81"/>
  <c r="I47" i="81" s="1"/>
  <c r="F47" i="81"/>
  <c r="I46" i="81"/>
  <c r="F46" i="81"/>
  <c r="I45" i="81"/>
  <c r="F45" i="81"/>
  <c r="I44" i="81"/>
  <c r="F44" i="81"/>
  <c r="I43" i="81"/>
  <c r="F43" i="81"/>
  <c r="I42" i="81"/>
  <c r="F42" i="81"/>
  <c r="I41" i="81"/>
  <c r="F41" i="81"/>
  <c r="I40" i="81"/>
  <c r="F40" i="81"/>
  <c r="I39" i="81"/>
  <c r="F39" i="81"/>
  <c r="I38" i="81"/>
  <c r="F38" i="81"/>
  <c r="I37" i="81"/>
  <c r="H37" i="81"/>
  <c r="F37" i="81"/>
  <c r="I36" i="81"/>
  <c r="F36" i="81"/>
  <c r="I35" i="81"/>
  <c r="F35" i="81"/>
  <c r="I34" i="81"/>
  <c r="F34" i="81"/>
  <c r="I33" i="81"/>
  <c r="F33" i="81"/>
  <c r="H32" i="81"/>
  <c r="I32" i="81" s="1"/>
  <c r="F32" i="81"/>
  <c r="I31" i="81"/>
  <c r="F31" i="81"/>
  <c r="I30" i="81"/>
  <c r="F30" i="81"/>
  <c r="I29" i="81"/>
  <c r="F29" i="81"/>
  <c r="I28" i="81"/>
  <c r="F28" i="81"/>
  <c r="I27" i="81"/>
  <c r="H27" i="81"/>
  <c r="F27" i="81"/>
  <c r="I26" i="81"/>
  <c r="F26" i="81"/>
  <c r="I25" i="81"/>
  <c r="F25" i="81"/>
  <c r="I24" i="81"/>
  <c r="F24" i="81"/>
  <c r="I23" i="81"/>
  <c r="F23" i="81"/>
  <c r="I22" i="81"/>
  <c r="F22" i="81"/>
  <c r="I21" i="81"/>
  <c r="F21" i="81"/>
  <c r="I20" i="81"/>
  <c r="F20" i="81"/>
  <c r="I19" i="81"/>
  <c r="F19" i="81"/>
  <c r="H18" i="81"/>
  <c r="I18" i="81" s="1"/>
  <c r="F18" i="81"/>
  <c r="F17" i="81"/>
  <c r="H17" i="81" s="1"/>
  <c r="I17" i="81" s="1"/>
  <c r="H16" i="81"/>
  <c r="I16" i="81" s="1"/>
  <c r="F16" i="81"/>
  <c r="F15" i="81"/>
  <c r="H15" i="81" s="1"/>
  <c r="I15" i="81" s="1"/>
  <c r="H14" i="81"/>
  <c r="I14" i="81" s="1"/>
  <c r="F14" i="81"/>
  <c r="F13" i="81"/>
  <c r="H13" i="81" s="1"/>
  <c r="I13" i="81" s="1"/>
  <c r="H12" i="81"/>
  <c r="I12" i="81" s="1"/>
  <c r="F12" i="81"/>
  <c r="F11" i="81"/>
  <c r="H11" i="81" s="1"/>
  <c r="I11" i="81" s="1"/>
  <c r="H10" i="81"/>
  <c r="I10" i="81" s="1"/>
  <c r="F10" i="81"/>
  <c r="F9" i="81"/>
  <c r="H9" i="81" s="1"/>
  <c r="I9" i="81" s="1"/>
  <c r="H8" i="81"/>
  <c r="I8" i="81" s="1"/>
  <c r="F8" i="81"/>
  <c r="F7" i="81"/>
  <c r="H7" i="81" s="1"/>
  <c r="I7" i="81" s="1"/>
  <c r="H6" i="81"/>
  <c r="I6" i="81" s="1"/>
  <c r="F6" i="81"/>
  <c r="F5" i="81"/>
  <c r="H5" i="81" s="1"/>
  <c r="I5" i="81" s="1"/>
  <c r="H4" i="81"/>
  <c r="I4" i="81" s="1"/>
  <c r="F4" i="81"/>
  <c r="F3" i="81"/>
  <c r="F75" i="81" s="1"/>
  <c r="D33" i="43"/>
  <c r="J52" i="15"/>
  <c r="Y6" i="1"/>
  <c r="W21" i="1"/>
  <c r="W20" i="1"/>
  <c r="W19" i="1"/>
  <c r="W18" i="1"/>
  <c r="U18" i="1"/>
  <c r="U19" i="1"/>
  <c r="U21" i="1"/>
  <c r="U20" i="1"/>
  <c r="N21" i="1"/>
  <c r="N19" i="1"/>
  <c r="F19" i="6"/>
  <c r="M13" i="3"/>
  <c r="K13" i="3"/>
  <c r="I13" i="3"/>
  <c r="U3" i="43"/>
  <c r="U2" i="43"/>
  <c r="G44" i="43"/>
  <c r="D42" i="43"/>
  <c r="D37" i="43"/>
  <c r="F6" i="83"/>
  <c r="M23" i="83"/>
  <c r="F38" i="83"/>
  <c r="M27" i="83"/>
  <c r="F37" i="83"/>
  <c r="M9" i="83"/>
  <c r="F16" i="83"/>
  <c r="M26" i="83"/>
  <c r="F36" i="83"/>
  <c r="C17" i="83"/>
  <c r="F13" i="83"/>
  <c r="F26" i="83"/>
  <c r="M6" i="83"/>
  <c r="C14" i="83"/>
  <c r="M29" i="83"/>
  <c r="M8" i="83"/>
  <c r="J15" i="83"/>
  <c r="E61" i="84" l="1"/>
  <c r="B59" i="84" s="1"/>
  <c r="F61" i="84"/>
  <c r="C5" i="84"/>
  <c r="D5" i="84"/>
  <c r="H58" i="84"/>
  <c r="G58" i="84" s="1"/>
  <c r="H57" i="84"/>
  <c r="G57" i="84" s="1"/>
  <c r="H56" i="84"/>
  <c r="G56" i="84" s="1"/>
  <c r="H55" i="84"/>
  <c r="G55" i="84" s="1"/>
  <c r="H52" i="84"/>
  <c r="G52" i="84" s="1"/>
  <c r="H51" i="84"/>
  <c r="G51" i="84" s="1"/>
  <c r="H50" i="84"/>
  <c r="G50" i="84" s="1"/>
  <c r="H54" i="84"/>
  <c r="G54" i="84" s="1"/>
  <c r="H53" i="84"/>
  <c r="G53" i="84" s="1"/>
  <c r="D26" i="84"/>
  <c r="G21" i="84"/>
  <c r="I122" i="84"/>
  <c r="J122" i="84" s="1"/>
  <c r="K122" i="84" s="1"/>
  <c r="L122" i="84" s="1"/>
  <c r="M122" i="84" s="1"/>
  <c r="I121" i="84"/>
  <c r="J121" i="84" s="1"/>
  <c r="K121" i="84" s="1"/>
  <c r="L121" i="84" s="1"/>
  <c r="M121" i="84" s="1"/>
  <c r="G121" i="84"/>
  <c r="H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B122" i="84"/>
  <c r="C122" i="84" s="1"/>
  <c r="D121" i="84"/>
  <c r="E121" i="84" s="1"/>
  <c r="F121" i="84" s="1"/>
  <c r="B121" i="84"/>
  <c r="C121" i="84" s="1"/>
  <c r="D120" i="84"/>
  <c r="E120" i="84" s="1"/>
  <c r="F120" i="84" s="1"/>
  <c r="G120" i="84" s="1"/>
  <c r="H120" i="84" s="1"/>
  <c r="B120" i="84"/>
  <c r="C120" i="84" s="1"/>
  <c r="D119" i="84"/>
  <c r="E119" i="84" s="1"/>
  <c r="F119" i="84" s="1"/>
  <c r="G119" i="84" s="1"/>
  <c r="H119" i="84" s="1"/>
  <c r="B119" i="84"/>
  <c r="C119" i="84" s="1"/>
  <c r="D118" i="84"/>
  <c r="E118" i="84" s="1"/>
  <c r="F118" i="84" s="1"/>
  <c r="G118" i="84" s="1"/>
  <c r="H118" i="84" s="1"/>
  <c r="B118" i="84"/>
  <c r="C118" i="84" s="1"/>
  <c r="W22" i="1"/>
  <c r="V22" i="1" s="1"/>
  <c r="C27" i="83"/>
  <c r="F66" i="83"/>
  <c r="F64" i="83"/>
  <c r="C18" i="83"/>
  <c r="C15" i="83"/>
  <c r="J6" i="83"/>
  <c r="F65" i="83"/>
  <c r="C6" i="83"/>
  <c r="Q60" i="83"/>
  <c r="Q73" i="83"/>
  <c r="F1" i="83"/>
  <c r="Q52" i="83"/>
  <c r="Q61" i="83"/>
  <c r="Q74" i="83"/>
  <c r="C49" i="83"/>
  <c r="Q66" i="83"/>
  <c r="Q57" i="83"/>
  <c r="H3" i="81"/>
  <c r="C16" i="83"/>
  <c r="H66" i="84" l="1"/>
  <c r="H62" i="84"/>
  <c r="H67" i="84"/>
  <c r="H61" i="84"/>
  <c r="H64" i="84"/>
  <c r="H68" i="84"/>
  <c r="H69" i="84"/>
  <c r="H65" i="84"/>
  <c r="H63" i="84"/>
  <c r="K50" i="84"/>
  <c r="M50" i="84"/>
  <c r="N50" i="84" s="1"/>
  <c r="K52" i="84"/>
  <c r="M52" i="84"/>
  <c r="N52" i="84" s="1"/>
  <c r="K56" i="84"/>
  <c r="J56" i="84" s="1"/>
  <c r="D56" i="84" s="1"/>
  <c r="M56" i="84"/>
  <c r="N56" i="84" s="1"/>
  <c r="D116" i="84"/>
  <c r="M54" i="84"/>
  <c r="N54" i="84" s="1"/>
  <c r="K54" i="84"/>
  <c r="J54" i="84" s="1"/>
  <c r="K51" i="84"/>
  <c r="M51" i="84"/>
  <c r="N51" i="84" s="1"/>
  <c r="K55" i="84"/>
  <c r="M55" i="84"/>
  <c r="N55" i="84" s="1"/>
  <c r="K57" i="84"/>
  <c r="J57" i="84" s="1"/>
  <c r="D57" i="84" s="1"/>
  <c r="M57" i="84"/>
  <c r="N57" i="84" s="1"/>
  <c r="M53" i="84"/>
  <c r="N53" i="84" s="1"/>
  <c r="K53" i="84"/>
  <c r="K58" i="84"/>
  <c r="M58" i="84"/>
  <c r="N58" i="84" s="1"/>
  <c r="C19" i="83"/>
  <c r="C61" i="83"/>
  <c r="C33" i="83"/>
  <c r="C32" i="83"/>
  <c r="J18" i="83"/>
  <c r="J19" i="83"/>
  <c r="I3" i="81"/>
  <c r="I75" i="81" s="1"/>
  <c r="H75" i="81"/>
  <c r="F230" i="80"/>
  <c r="P26" i="80"/>
  <c r="N26" i="80"/>
  <c r="P25" i="80"/>
  <c r="N25" i="80"/>
  <c r="P24" i="80"/>
  <c r="N24" i="80"/>
  <c r="P23" i="80"/>
  <c r="N23" i="80"/>
  <c r="P22" i="80"/>
  <c r="N22" i="80"/>
  <c r="P21" i="80"/>
  <c r="P27" i="80" s="1"/>
  <c r="N21" i="80"/>
  <c r="AA18" i="80"/>
  <c r="D18" i="80"/>
  <c r="D17" i="80"/>
  <c r="D16" i="80"/>
  <c r="D15" i="80"/>
  <c r="D14" i="80"/>
  <c r="D13" i="80" s="1"/>
  <c r="O13" i="80"/>
  <c r="P12" i="80"/>
  <c r="D12" i="80"/>
  <c r="P11" i="80"/>
  <c r="D11" i="80"/>
  <c r="AC10" i="80"/>
  <c r="AB10" i="80" s="1"/>
  <c r="R10" i="80"/>
  <c r="R12" i="80" s="1"/>
  <c r="S12" i="80" s="1"/>
  <c r="P10" i="80"/>
  <c r="D10" i="80"/>
  <c r="P9" i="80"/>
  <c r="D9" i="80"/>
  <c r="R8" i="80"/>
  <c r="R9" i="80" s="1"/>
  <c r="S9" i="80" s="1"/>
  <c r="P8" i="80"/>
  <c r="R7" i="80"/>
  <c r="S7" i="80" s="1"/>
  <c r="P7" i="80"/>
  <c r="S6" i="80"/>
  <c r="R6" i="80"/>
  <c r="P6" i="80"/>
  <c r="R5" i="80"/>
  <c r="S5" i="80" s="1"/>
  <c r="P5" i="80"/>
  <c r="P13" i="80" s="1"/>
  <c r="J53" i="84" l="1"/>
  <c r="D53" i="84"/>
  <c r="D58" i="84"/>
  <c r="J58" i="84"/>
  <c r="D55" i="84"/>
  <c r="J55" i="84"/>
  <c r="D51" i="84"/>
  <c r="J51" i="84"/>
  <c r="D52" i="84"/>
  <c r="J52" i="84"/>
  <c r="D50" i="84"/>
  <c r="E50" i="84" s="1"/>
  <c r="B48" i="84" s="1"/>
  <c r="C28" i="84" s="1"/>
  <c r="J50" i="84"/>
  <c r="C20" i="83"/>
  <c r="S8" i="80"/>
  <c r="S10" i="80"/>
  <c r="AC11" i="80"/>
  <c r="AB11" i="80" s="1"/>
  <c r="AB16" i="80" s="1"/>
  <c r="AC16" i="80" s="1"/>
  <c r="AC12" i="80"/>
  <c r="AB12" i="80" s="1"/>
  <c r="R11" i="80"/>
  <c r="S11" i="80" s="1"/>
  <c r="S3" i="80" s="1"/>
  <c r="C42" i="84" l="1"/>
  <c r="C41" i="84"/>
  <c r="C26" i="83"/>
  <c r="X3" i="80"/>
  <c r="V3" i="80"/>
  <c r="G41" i="84" l="1"/>
  <c r="I41" i="84" s="1"/>
  <c r="E41" i="84"/>
  <c r="G42" i="84"/>
  <c r="I42" i="84" s="1"/>
  <c r="E42" i="84"/>
  <c r="AB17" i="80"/>
  <c r="T3" i="80" l="1"/>
  <c r="T12" i="80" l="1"/>
  <c r="T11" i="80"/>
  <c r="T10" i="80"/>
  <c r="T9" i="80"/>
  <c r="T8" i="80"/>
  <c r="T6" i="80"/>
  <c r="T7" i="80"/>
  <c r="T5" i="80"/>
  <c r="U5" i="80" l="1"/>
  <c r="U6" i="80"/>
  <c r="U9" i="80"/>
  <c r="AD11" i="80"/>
  <c r="U11" i="80"/>
  <c r="U7" i="80"/>
  <c r="U8" i="80"/>
  <c r="U10" i="80"/>
  <c r="AD10" i="80"/>
  <c r="AD12" i="80"/>
  <c r="U12" i="80"/>
  <c r="AE12" i="80" l="1"/>
  <c r="AD16" i="80"/>
  <c r="AE11" i="80"/>
  <c r="AE10" i="80"/>
  <c r="AE16" i="80" l="1"/>
  <c r="AD17" i="80"/>
  <c r="AE17" i="80" s="1"/>
  <c r="AE5" i="80" s="1"/>
  <c r="AE9" i="80" l="1"/>
  <c r="AC9" i="80" s="1"/>
  <c r="AB9" i="80" s="1"/>
  <c r="AE8" i="80"/>
  <c r="AC8" i="80" s="1"/>
  <c r="AB8" i="80" s="1"/>
  <c r="AE7" i="80"/>
  <c r="AC7" i="80" s="1"/>
  <c r="AB7" i="80" s="1"/>
  <c r="AE6" i="80"/>
  <c r="AC6" i="80" s="1"/>
  <c r="AB6" i="80" s="1"/>
  <c r="AC5" i="80"/>
  <c r="AB5" i="80" s="1"/>
  <c r="AD6" i="80" l="1"/>
  <c r="AD8" i="80"/>
  <c r="AB4" i="80"/>
  <c r="V5" i="80" s="1"/>
  <c r="AD5" i="80"/>
  <c r="AD7" i="80"/>
  <c r="AD9" i="80"/>
  <c r="V9" i="80" l="1"/>
  <c r="X9" i="80" s="1"/>
  <c r="V7" i="80"/>
  <c r="X7" i="80" s="1"/>
  <c r="W5" i="80"/>
  <c r="Y5" i="80" s="1"/>
  <c r="X5" i="80"/>
  <c r="AD4" i="80"/>
  <c r="V11" i="80"/>
  <c r="V12" i="80"/>
  <c r="V10" i="80"/>
  <c r="V8" i="80"/>
  <c r="V6" i="80"/>
  <c r="W7" i="80" l="1"/>
  <c r="Y7" i="80" s="1"/>
  <c r="W9" i="80"/>
  <c r="Y9" i="80" s="1"/>
  <c r="W6" i="80"/>
  <c r="Y6" i="80" s="1"/>
  <c r="X6" i="80"/>
  <c r="W10" i="80"/>
  <c r="Y10" i="80" s="1"/>
  <c r="X10" i="80"/>
  <c r="W11" i="80"/>
  <c r="Y11" i="80" s="1"/>
  <c r="X11" i="80"/>
  <c r="W8" i="80"/>
  <c r="Y8" i="80" s="1"/>
  <c r="X8" i="80"/>
  <c r="W12" i="80"/>
  <c r="Y12" i="80" s="1"/>
  <c r="X12" i="80"/>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C36" i="71" s="1"/>
  <c r="X34" i="71"/>
  <c r="X35" i="71"/>
  <c r="X36" i="71"/>
  <c r="C38" i="71"/>
  <c r="D38" i="71" s="1"/>
  <c r="Y37" i="71"/>
  <c r="Z37" i="71"/>
  <c r="AB37" i="71"/>
  <c r="X38" i="71"/>
  <c r="AA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5" i="71"/>
  <c r="AA26" i="71"/>
  <c r="AA27" i="71"/>
  <c r="AA28" i="71"/>
  <c r="C66" i="71"/>
  <c r="O67" i="71"/>
  <c r="D67" i="71"/>
  <c r="C64" i="71"/>
  <c r="D64" i="71" s="1"/>
  <c r="D63" i="71"/>
  <c r="D83" i="71"/>
  <c r="C82" i="71"/>
  <c r="D82" i="71"/>
  <c r="D75" i="71"/>
  <c r="C74" i="71"/>
  <c r="D74" i="71" s="1"/>
  <c r="N65" i="71"/>
  <c r="D87" i="71"/>
  <c r="D79" i="71"/>
  <c r="C78" i="71"/>
  <c r="D78" i="71" s="1"/>
  <c r="D71" i="71"/>
  <c r="C70" i="71"/>
  <c r="D70" i="71"/>
  <c r="C60" i="71"/>
  <c r="D59" i="71"/>
  <c r="P67" i="71"/>
  <c r="E66" i="71"/>
  <c r="P65" i="71" s="1"/>
  <c r="C52" i="71"/>
  <c r="D51" i="71"/>
  <c r="D43" i="71"/>
  <c r="D39" i="71"/>
  <c r="D35" i="71"/>
  <c r="C32" i="71"/>
  <c r="D31" i="71"/>
  <c r="V28" i="71"/>
  <c r="P66" i="71"/>
  <c r="O66" i="71"/>
  <c r="D66" i="71"/>
  <c r="O65" i="71"/>
  <c r="T32" i="71"/>
  <c r="D32"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H1" i="69"/>
  <c r="W25" i="40"/>
  <c r="U25" i="40"/>
  <c r="U29" i="39"/>
  <c r="W29" i="39"/>
  <c r="W18" i="36"/>
  <c r="AB21" i="37"/>
  <c r="U21" i="37"/>
  <c r="S21" i="37"/>
  <c r="U21" i="34"/>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I24" i="84" s="1"/>
  <c r="C24" i="84"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H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G54" i="43" s="1"/>
  <c r="K54" i="43" s="1"/>
  <c r="J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J35" i="33"/>
  <c r="S37" i="33"/>
  <c r="AA37" i="33"/>
  <c r="S39" i="33"/>
  <c r="J32" i="33"/>
  <c r="S46" i="33"/>
  <c r="W43" i="33"/>
  <c r="S43" i="33"/>
  <c r="F91" i="33"/>
  <c r="H27" i="33"/>
  <c r="H25" i="33"/>
  <c r="F25" i="33"/>
  <c r="J23" i="33"/>
  <c r="H23" i="33"/>
  <c r="F19" i="33"/>
  <c r="S19" i="33"/>
  <c r="W19" i="33"/>
  <c r="J17" i="33"/>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U9" i="34"/>
  <c r="S46" i="34"/>
  <c r="AA46" i="34"/>
  <c r="U32" i="34"/>
  <c r="AB32" i="34"/>
  <c r="U14" i="34"/>
  <c r="AB14" i="34"/>
  <c r="AC43" i="34"/>
  <c r="W43" i="34"/>
  <c r="W23" i="34"/>
  <c r="AC23" i="34"/>
  <c r="AC35" i="34"/>
  <c r="W35"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J101" i="21"/>
  <c r="K101" i="21" s="1"/>
  <c r="L101" i="21" s="1"/>
  <c r="M101" i="21" s="1"/>
  <c r="F33" i="21"/>
  <c r="AA33" i="21" s="1"/>
  <c r="J33" i="21"/>
  <c r="AC33" i="21" s="1"/>
  <c r="H33" i="21"/>
  <c r="AB33" i="21" s="1"/>
  <c r="F37" i="21"/>
  <c r="AA37" i="21"/>
  <c r="AA26" i="21"/>
  <c r="AB14" i="21"/>
  <c r="AB46" i="21"/>
  <c r="U40" i="21"/>
  <c r="AB31" i="21"/>
  <c r="U31" i="21"/>
  <c r="U13" i="21"/>
  <c r="S35" i="21"/>
  <c r="J37" i="21"/>
  <c r="W37" i="21" s="1"/>
  <c r="H15" i="21"/>
  <c r="J17" i="21"/>
  <c r="AC19" i="21"/>
  <c r="W39" i="21"/>
  <c r="AC14" i="21"/>
  <c r="W30" i="21"/>
  <c r="S46" i="21"/>
  <c r="H45" i="21"/>
  <c r="U45" i="21"/>
  <c r="F29" i="21"/>
  <c r="S29" i="21"/>
  <c r="F13" i="21"/>
  <c r="AA13" i="21"/>
  <c r="AC38" i="21"/>
  <c r="H32" i="21"/>
  <c r="H9" i="21"/>
  <c r="J9" i="21"/>
  <c r="J32" i="21"/>
  <c r="W32" i="21" s="1"/>
  <c r="F32" i="2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c r="K91" i="33" s="1"/>
  <c r="L91" i="33" s="1"/>
  <c r="M91" i="33" s="1"/>
  <c r="J27" i="33"/>
  <c r="U25" i="33"/>
  <c r="AB25" i="33"/>
  <c r="S25" i="33"/>
  <c r="AA25" i="33"/>
  <c r="H87" i="33"/>
  <c r="I87" i="33" s="1"/>
  <c r="J87" i="33"/>
  <c r="K87" i="33" s="1"/>
  <c r="L87" i="33" s="1"/>
  <c r="M87" i="33" s="1"/>
  <c r="J25" i="33"/>
  <c r="AB23" i="33"/>
  <c r="U23" i="33"/>
  <c r="F23" i="33"/>
  <c r="G85" i="33"/>
  <c r="AC23" i="33"/>
  <c r="W23" i="33"/>
  <c r="AA19" i="33"/>
  <c r="H19" i="33"/>
  <c r="U19" i="33" s="1"/>
  <c r="G79" i="33"/>
  <c r="H17" i="33"/>
  <c r="F17" i="33"/>
  <c r="W17" i="33"/>
  <c r="AC17" i="33"/>
  <c r="S37" i="21"/>
  <c r="AA23"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AA17" i="33"/>
  <c r="S17" i="33"/>
  <c r="U17" i="33"/>
  <c r="AB17" i="33"/>
  <c r="U23" i="21"/>
  <c r="AB23" i="21"/>
  <c r="AC23" i="21"/>
  <c r="H109" i="9"/>
  <c r="AD3" i="71"/>
  <c r="J1" i="73"/>
  <c r="H69" i="43"/>
  <c r="H50" i="43"/>
  <c r="G50" i="43" s="1"/>
  <c r="K50" i="43" s="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6" i="15"/>
  <c r="C76" i="15"/>
  <c r="E13" i="76"/>
  <c r="M22" i="67"/>
  <c r="D6" i="73"/>
  <c r="F40" i="67"/>
  <c r="M29" i="15"/>
  <c r="M26" i="15"/>
  <c r="F42" i="67"/>
  <c r="F36" i="15"/>
  <c r="M6" i="67"/>
  <c r="F20" i="31"/>
  <c r="M23" i="67"/>
  <c r="M24" i="67"/>
  <c r="F7" i="73"/>
  <c r="E7" i="76"/>
  <c r="F26" i="15"/>
  <c r="M26" i="67"/>
  <c r="B12" i="76"/>
  <c r="F8" i="67"/>
  <c r="E10" i="76"/>
  <c r="AO13" i="1"/>
  <c r="L47" i="67"/>
  <c r="L48" i="67"/>
  <c r="F7" i="67"/>
  <c r="F6" i="67"/>
  <c r="B10" i="76"/>
  <c r="F6" i="73"/>
  <c r="F16" i="67"/>
  <c r="F4" i="73"/>
  <c r="E8" i="76"/>
  <c r="F36" i="67"/>
  <c r="F37" i="15"/>
  <c r="B8" i="76"/>
  <c r="E2" i="69"/>
  <c r="F8" i="15"/>
  <c r="F38" i="15"/>
  <c r="J15" i="67"/>
  <c r="F38" i="67"/>
  <c r="B7" i="76"/>
  <c r="M9" i="67"/>
  <c r="E2" i="68"/>
  <c r="E11" i="76"/>
  <c r="F43" i="67"/>
  <c r="D5" i="73"/>
  <c r="E9" i="76"/>
  <c r="M28" i="15"/>
  <c r="M24" i="15"/>
  <c r="D3" i="73"/>
  <c r="F9" i="15"/>
  <c r="F40" i="15"/>
  <c r="L48" i="15"/>
  <c r="F13" i="15"/>
  <c r="F43" i="15"/>
  <c r="F6" i="15"/>
  <c r="M8" i="67"/>
  <c r="E12" i="76"/>
  <c r="M29" i="67"/>
  <c r="F9" i="67"/>
  <c r="M22" i="15"/>
  <c r="F42" i="15"/>
  <c r="B9" i="76"/>
  <c r="F5" i="73"/>
  <c r="J15" i="15"/>
  <c r="M28" i="67"/>
  <c r="D4" i="73"/>
  <c r="M8" i="15"/>
  <c r="F13" i="67"/>
  <c r="F26" i="67"/>
  <c r="L47" i="15"/>
  <c r="B11" i="76"/>
  <c r="D7" i="73"/>
  <c r="F3" i="73"/>
  <c r="M23" i="15"/>
  <c r="F37" i="67"/>
  <c r="C76" i="67"/>
  <c r="F7" i="15"/>
  <c r="M9" i="15"/>
  <c r="F16" i="15"/>
  <c r="B13" i="76"/>
  <c r="C40" i="84" l="1"/>
  <c r="C33" i="84"/>
  <c r="T16" i="84"/>
  <c r="V16" i="84" s="1"/>
  <c r="T8" i="84"/>
  <c r="V8" i="84" s="1"/>
  <c r="T2" i="84"/>
  <c r="V2" i="84" s="1"/>
  <c r="C37" i="84"/>
  <c r="T10" i="84"/>
  <c r="V10" i="84" s="1"/>
  <c r="T13" i="84"/>
  <c r="V13" i="84" s="1"/>
  <c r="T3" i="84"/>
  <c r="V3" i="84" s="1"/>
  <c r="T5" i="84"/>
  <c r="V5" i="84" s="1"/>
  <c r="C38" i="84"/>
  <c r="T11" i="84"/>
  <c r="V11" i="84" s="1"/>
  <c r="T14" i="84"/>
  <c r="V14" i="84" s="1"/>
  <c r="T4" i="84"/>
  <c r="V4" i="84" s="1"/>
  <c r="T6" i="84"/>
  <c r="V6" i="84" s="1"/>
  <c r="C39" i="84"/>
  <c r="T12" i="84"/>
  <c r="V12" i="84" s="1"/>
  <c r="T15" i="84"/>
  <c r="V15" i="84" s="1"/>
  <c r="T7" i="84"/>
  <c r="V7" i="84" s="1"/>
  <c r="T9" i="84"/>
  <c r="V9" i="84" s="1"/>
  <c r="J50" i="43"/>
  <c r="D50" i="43"/>
  <c r="M50" i="43"/>
  <c r="N50" i="43" s="1"/>
  <c r="M54" i="43"/>
  <c r="N54" i="43" s="1"/>
  <c r="C40" i="69"/>
  <c r="G6" i="1"/>
  <c r="I24" i="43"/>
  <c r="C24" i="43" s="1"/>
  <c r="F28" i="6"/>
  <c r="E19" i="71"/>
  <c r="E18" i="71" s="1"/>
  <c r="E17" i="71" s="1"/>
  <c r="E16" i="71" s="1"/>
  <c r="V20" i="71"/>
  <c r="AC17" i="21"/>
  <c r="W17" i="21"/>
  <c r="AZ557" i="3"/>
  <c r="S12" i="21"/>
  <c r="AA12" i="21"/>
  <c r="D17" i="71"/>
  <c r="C16" i="71"/>
  <c r="D16" i="53"/>
  <c r="B34" i="72" s="1"/>
  <c r="U15" i="21"/>
  <c r="AB15" i="21"/>
  <c r="AC29" i="21"/>
  <c r="W29" i="21"/>
  <c r="AC15" i="21"/>
  <c r="S20" i="35"/>
  <c r="U12" i="39"/>
  <c r="AA27" i="40"/>
  <c r="AB27" i="40"/>
  <c r="G28" i="6"/>
  <c r="F29" i="6"/>
  <c r="AA25" i="21"/>
  <c r="U43" i="33"/>
  <c r="AA41" i="34"/>
  <c r="W29" i="33"/>
  <c r="S45" i="33"/>
  <c r="AC30" i="34"/>
  <c r="U46" i="33"/>
  <c r="AA13" i="35"/>
  <c r="AA29" i="35"/>
  <c r="B73" i="43"/>
  <c r="B79" i="43"/>
  <c r="B76" i="43"/>
  <c r="B75" i="43"/>
  <c r="J12" i="35"/>
  <c r="H36" i="35"/>
  <c r="J36" i="35"/>
  <c r="J23" i="36"/>
  <c r="H23" i="36"/>
  <c r="F23" i="36"/>
  <c r="AZ409" i="3"/>
  <c r="AZ425" i="3"/>
  <c r="AZ432" i="3"/>
  <c r="AZ445" i="3"/>
  <c r="AZ447" i="3"/>
  <c r="AZ464" i="3"/>
  <c r="AZ467" i="3"/>
  <c r="AZ474" i="3"/>
  <c r="AZ480" i="3"/>
  <c r="AZ482" i="3"/>
  <c r="AZ486" i="3"/>
  <c r="AZ488" i="3"/>
  <c r="AZ385" i="3"/>
  <c r="AZ210" i="3"/>
  <c r="AZ225" i="3"/>
  <c r="BL5" i="3"/>
  <c r="G5" i="3"/>
  <c r="B3" i="3" s="1"/>
  <c r="J9" i="34"/>
  <c r="F9" i="34"/>
  <c r="AA9" i="34" s="1"/>
  <c r="J12" i="34"/>
  <c r="F12" i="34"/>
  <c r="J34" i="35"/>
  <c r="H34" i="35"/>
  <c r="F34" i="35"/>
  <c r="AZ399" i="3"/>
  <c r="AZ404" i="3"/>
  <c r="AZ414" i="3"/>
  <c r="AZ421" i="3"/>
  <c r="AZ449" i="3"/>
  <c r="AZ453" i="3"/>
  <c r="AZ455" i="3"/>
  <c r="AC31" i="35"/>
  <c r="AZ228" i="3"/>
  <c r="AZ231" i="3"/>
  <c r="AZ244" i="3"/>
  <c r="AZ247" i="3"/>
  <c r="AZ260" i="3"/>
  <c r="AZ264" i="3"/>
  <c r="AZ282" i="3"/>
  <c r="AZ285" i="3"/>
  <c r="AZ290" i="3"/>
  <c r="AZ293" i="3"/>
  <c r="AZ153" i="3"/>
  <c r="AZ169" i="3"/>
  <c r="AZ185" i="3"/>
  <c r="AZ201" i="3"/>
  <c r="AZ207" i="3"/>
  <c r="AZ25" i="3"/>
  <c r="AZ30" i="3"/>
  <c r="AZ36" i="3"/>
  <c r="AZ40" i="3"/>
  <c r="AZ46" i="3"/>
  <c r="AZ49" i="3"/>
  <c r="AZ62" i="3"/>
  <c r="AZ65" i="3"/>
  <c r="AZ76" i="3"/>
  <c r="AZ90" i="3"/>
  <c r="AZ92" i="3"/>
  <c r="AZ96" i="3"/>
  <c r="AZ99" i="3"/>
  <c r="AZ106" i="3"/>
  <c r="AZ112" i="3"/>
  <c r="AB21" i="33"/>
  <c r="T40" i="71"/>
  <c r="D40" i="71"/>
  <c r="AB21" i="21"/>
  <c r="AC21" i="34"/>
  <c r="T44" i="71"/>
  <c r="D44" i="71"/>
  <c r="T36" i="71"/>
  <c r="D36" i="71"/>
  <c r="C27" i="71"/>
  <c r="T28" i="71"/>
  <c r="D28" i="71"/>
  <c r="U28" i="71" s="1"/>
  <c r="D54" i="71"/>
  <c r="C55" i="71"/>
  <c r="S21" i="21"/>
  <c r="U18" i="36"/>
  <c r="AB27" i="71"/>
  <c r="S28" i="71"/>
  <c r="X27" i="71"/>
  <c r="AA36" i="71"/>
  <c r="AB33" i="71"/>
  <c r="Y33" i="71"/>
  <c r="Z33" i="71" s="1"/>
  <c r="X32" i="71"/>
  <c r="X37" i="71"/>
  <c r="AA29" i="71"/>
  <c r="Y9" i="71"/>
  <c r="Z9" i="71" s="1"/>
  <c r="Y10" i="71"/>
  <c r="Z10" i="71" s="1"/>
  <c r="AA9" i="71"/>
  <c r="AA10" i="71"/>
  <c r="V68" i="71"/>
  <c r="F67" i="71"/>
  <c r="X22" i="71"/>
  <c r="AA24" i="71"/>
  <c r="AA23" i="71"/>
  <c r="AA22" i="71"/>
  <c r="X21" i="71"/>
  <c r="Y18" i="71"/>
  <c r="Z18" i="71" s="1"/>
  <c r="X17" i="71"/>
  <c r="Y17" i="71"/>
  <c r="Z17" i="71" s="1"/>
  <c r="AA17" i="71"/>
  <c r="AB18" i="71"/>
  <c r="Y14" i="71"/>
  <c r="Z14" i="71" s="1"/>
  <c r="X9" i="71"/>
  <c r="X10" i="71"/>
  <c r="AB9" i="71"/>
  <c r="AB10" i="71"/>
  <c r="AB24" i="71"/>
  <c r="Y21" i="71"/>
  <c r="Z21" i="71" s="1"/>
  <c r="AB23" i="71"/>
  <c r="AB21" i="71"/>
  <c r="AA21" i="71"/>
  <c r="X18" i="71"/>
  <c r="AA18" i="71"/>
  <c r="X12" i="71"/>
  <c r="AA14" i="71"/>
  <c r="AB17" i="71"/>
  <c r="X24" i="71"/>
  <c r="Y24" i="71"/>
  <c r="Z24" i="71" s="1"/>
  <c r="AB15" i="71"/>
  <c r="AB11" i="71"/>
  <c r="AB14" i="71"/>
  <c r="Y11" i="71"/>
  <c r="Z11" i="71" s="1"/>
  <c r="AA12" i="71"/>
  <c r="X13" i="71"/>
  <c r="Y23" i="71"/>
  <c r="Z23" i="71" s="1"/>
  <c r="Y22" i="71"/>
  <c r="Z22" i="71" s="1"/>
  <c r="X15" i="71"/>
  <c r="AA15" i="71"/>
  <c r="AB12" i="71"/>
  <c r="AB13" i="71"/>
  <c r="Y12" i="71"/>
  <c r="Z12" i="71" s="1"/>
  <c r="Y13" i="71"/>
  <c r="Z13" i="71" s="1"/>
  <c r="AA11" i="71"/>
  <c r="AA13" i="71"/>
  <c r="X11"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E547" i="3"/>
  <c r="AS6" i="3"/>
  <c r="E403" i="3"/>
  <c r="E476" i="3"/>
  <c r="E546" i="3"/>
  <c r="E447" i="3"/>
  <c r="E71" i="3"/>
  <c r="E27" i="3"/>
  <c r="E92" i="3"/>
  <c r="E162" i="3"/>
  <c r="E126" i="3"/>
  <c r="E186" i="3"/>
  <c r="E272" i="3"/>
  <c r="E210" i="3"/>
  <c r="E291" i="3"/>
  <c r="E331"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36" i="68"/>
  <c r="C16" i="15"/>
  <c r="G1" i="73"/>
  <c r="C16" i="67"/>
  <c r="E39" i="84" l="1"/>
  <c r="G39" i="84"/>
  <c r="I39" i="84" s="1"/>
  <c r="E37" i="84"/>
  <c r="G37" i="84"/>
  <c r="I37" i="84" s="1"/>
  <c r="E33" i="84"/>
  <c r="C34" i="84"/>
  <c r="E34" i="84" s="1"/>
  <c r="E38" i="84"/>
  <c r="G38" i="84"/>
  <c r="I38" i="84" s="1"/>
  <c r="E40" i="84"/>
  <c r="G40" i="84"/>
  <c r="I40" i="84" s="1"/>
  <c r="M11" i="83"/>
  <c r="J10" i="83" s="1"/>
  <c r="J5" i="83" s="1"/>
  <c r="F11" i="83"/>
  <c r="V25" i="1"/>
  <c r="K51" i="43"/>
  <c r="M51" i="43"/>
  <c r="N51" i="43" s="1"/>
  <c r="M53" i="43"/>
  <c r="N53" i="43" s="1"/>
  <c r="K53" i="43"/>
  <c r="K52" i="43"/>
  <c r="M52" i="43"/>
  <c r="N52" i="43" s="1"/>
  <c r="K56" i="43"/>
  <c r="J56" i="43" s="1"/>
  <c r="D56" i="43" s="1"/>
  <c r="M56" i="43"/>
  <c r="N56" i="43" s="1"/>
  <c r="M58" i="43"/>
  <c r="N58" i="43" s="1"/>
  <c r="K58" i="43"/>
  <c r="K57" i="43"/>
  <c r="J57" i="43" s="1"/>
  <c r="D57" i="43" s="1"/>
  <c r="M57" i="43"/>
  <c r="N57" i="43" s="1"/>
  <c r="M55" i="43"/>
  <c r="N55" i="43" s="1"/>
  <c r="K55" i="4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26" i="43"/>
  <c r="N94" i="46"/>
  <c r="J26" i="43"/>
  <c r="N370" i="46"/>
  <c r="G26" i="43"/>
  <c r="F66" i="71"/>
  <c r="Q67" i="71"/>
  <c r="AB34" i="35"/>
  <c r="U34" i="35"/>
  <c r="S12" i="34"/>
  <c r="AA12"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507" i="3"/>
  <c r="E422" i="3"/>
  <c r="E440" i="3"/>
  <c r="E490" i="3"/>
  <c r="E376" i="3"/>
  <c r="J6" i="3"/>
  <c r="E498" i="3"/>
  <c r="E483" i="3"/>
  <c r="E463" i="3"/>
  <c r="E25" i="3"/>
  <c r="E108" i="3"/>
  <c r="E119" i="3"/>
  <c r="E242" i="3"/>
  <c r="E226" i="3"/>
  <c r="E346" i="3"/>
  <c r="E372" i="3"/>
  <c r="L6" i="3"/>
  <c r="E42" i="3"/>
  <c r="E94" i="3"/>
  <c r="E75" i="3"/>
  <c r="E428" i="3"/>
  <c r="E482" i="3"/>
  <c r="E412" i="3"/>
  <c r="E455" i="3"/>
  <c r="E79" i="3"/>
  <c r="E38" i="3"/>
  <c r="E100" i="3"/>
  <c r="E129" i="3"/>
  <c r="E190" i="3"/>
  <c r="E174" i="3"/>
  <c r="E220" i="3"/>
  <c r="E234" i="3"/>
  <c r="E219" i="3"/>
  <c r="E299" i="3"/>
  <c r="E339" i="3"/>
  <c r="E325" i="3"/>
  <c r="E342" i="3"/>
  <c r="E522" i="3"/>
  <c r="E52" i="3"/>
  <c r="E36" i="3"/>
  <c r="E34" i="3"/>
  <c r="E49" i="3"/>
  <c r="E206" i="3"/>
  <c r="E232" i="3"/>
  <c r="E251" i="3"/>
  <c r="E340" i="3"/>
  <c r="E364" i="3"/>
  <c r="E102" i="3"/>
  <c r="E20" i="3"/>
  <c r="E62" i="3"/>
  <c r="E176" i="3"/>
  <c r="E218" i="3"/>
  <c r="E265" i="3"/>
  <c r="E365" i="3"/>
  <c r="E524" i="3"/>
  <c r="E101" i="3"/>
  <c r="E83" i="3"/>
  <c r="E486" i="3"/>
  <c r="AH6" i="3"/>
  <c r="E419" i="3"/>
  <c r="E401" i="3"/>
  <c r="E40" i="3"/>
  <c r="E178" i="3"/>
  <c r="E202" i="3"/>
  <c r="E276" i="3"/>
  <c r="E333" i="3"/>
  <c r="AL6" i="3"/>
  <c r="E60" i="3"/>
  <c r="E43" i="3"/>
  <c r="E540" i="3"/>
  <c r="E473" i="3"/>
  <c r="E15" i="3"/>
  <c r="E18" i="3"/>
  <c r="E96" i="3"/>
  <c r="E78" i="3"/>
  <c r="E170" i="3"/>
  <c r="E137" i="3"/>
  <c r="E194" i="3"/>
  <c r="E275" i="3"/>
  <c r="E235" i="3"/>
  <c r="E324" i="3"/>
  <c r="E383" i="3"/>
  <c r="E392" i="3"/>
  <c r="AQ6" i="3"/>
  <c r="E35" i="3"/>
  <c r="E86" i="3"/>
  <c r="E112" i="3"/>
  <c r="E123" i="3"/>
  <c r="E147" i="3"/>
  <c r="E289" i="3"/>
  <c r="E370" i="3"/>
  <c r="AF6" i="3"/>
  <c r="E50" i="3"/>
  <c r="E80" i="3"/>
  <c r="E113" i="3"/>
  <c r="E158" i="3"/>
  <c r="E287" i="3"/>
  <c r="E308" i="3"/>
  <c r="E326" i="3"/>
  <c r="E22" i="3"/>
  <c r="AB23" i="36"/>
  <c r="U23" i="36"/>
  <c r="AC36" i="35"/>
  <c r="W36" i="35"/>
  <c r="W12" i="35"/>
  <c r="AC12" i="35"/>
  <c r="B15" i="71"/>
  <c r="B14" i="71" s="1"/>
  <c r="B13" i="71" s="1"/>
  <c r="B12" i="71" s="1"/>
  <c r="S16" i="71"/>
  <c r="D55" i="71"/>
  <c r="C56" i="71"/>
  <c r="C26" i="71"/>
  <c r="D26" i="71" s="1"/>
  <c r="D27" i="71"/>
  <c r="AA34" i="35"/>
  <c r="S34" i="35"/>
  <c r="W34" i="35"/>
  <c r="AC34" i="35"/>
  <c r="W12" i="34"/>
  <c r="AC12" i="34"/>
  <c r="AC9" i="34"/>
  <c r="W9" i="34"/>
  <c r="S23" i="36"/>
  <c r="AA23" i="36"/>
  <c r="AC23" i="36"/>
  <c r="W23" i="36"/>
  <c r="AB36" i="35"/>
  <c r="U36" i="35"/>
  <c r="C15" i="71"/>
  <c r="T16" i="71"/>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84"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AE10" i="1"/>
  <c r="F27" i="68"/>
  <c r="AE7" i="1"/>
  <c r="AE6" i="1"/>
  <c r="F41" i="67"/>
  <c r="C31" i="84" l="1"/>
  <c r="C30" i="84"/>
  <c r="B2" i="84" s="1"/>
  <c r="L37" i="84"/>
  <c r="Q36" i="84"/>
  <c r="O36" i="84"/>
  <c r="M36" i="84"/>
  <c r="P36" i="84"/>
  <c r="N36" i="84"/>
  <c r="L36" i="43"/>
  <c r="P36" i="43" s="1"/>
  <c r="F24" i="83"/>
  <c r="C53" i="83"/>
  <c r="C48" i="83" s="1"/>
  <c r="C10" i="83"/>
  <c r="C5" i="83" s="1"/>
  <c r="J24" i="83"/>
  <c r="J26" i="83"/>
  <c r="J55" i="43"/>
  <c r="D55" i="43"/>
  <c r="J58" i="43"/>
  <c r="D58" i="43"/>
  <c r="J53" i="43"/>
  <c r="D53" i="43"/>
  <c r="J52" i="43"/>
  <c r="D52" i="43"/>
  <c r="D51" i="43"/>
  <c r="E50" i="43" s="1"/>
  <c r="B48" i="43" s="1"/>
  <c r="C28" i="43" s="1"/>
  <c r="J51" i="43"/>
  <c r="AC6" i="3"/>
  <c r="E65" i="39"/>
  <c r="T56" i="71"/>
  <c r="D56" i="71"/>
  <c r="E11" i="71"/>
  <c r="E10" i="71" s="1"/>
  <c r="E9" i="71" s="1"/>
  <c r="E8" i="71" s="1"/>
  <c r="E7" i="71" s="1"/>
  <c r="E6" i="71" s="1"/>
  <c r="E5" i="71" s="1"/>
  <c r="V12" i="71"/>
  <c r="D15" i="71"/>
  <c r="C14" i="71"/>
  <c r="B11" i="71"/>
  <c r="B10" i="71" s="1"/>
  <c r="B9" i="71" s="1"/>
  <c r="B8" i="71" s="1"/>
  <c r="B7" i="71" s="1"/>
  <c r="B6" i="71" s="1"/>
  <c r="B5" i="71" s="1"/>
  <c r="S12" i="71"/>
  <c r="Q66" i="71"/>
  <c r="Q65"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I91" i="9"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83"/>
  <c r="M27" i="67"/>
  <c r="F41" i="15"/>
  <c r="M27" i="15"/>
  <c r="O36" i="43" l="1"/>
  <c r="F69" i="83"/>
  <c r="J29" i="83"/>
  <c r="B3" i="84"/>
  <c r="N36" i="43"/>
  <c r="P37" i="84"/>
  <c r="N37" i="84"/>
  <c r="Q37" i="84"/>
  <c r="O37" i="84"/>
  <c r="M37" i="84"/>
  <c r="M36" i="43"/>
  <c r="Q36" i="43"/>
  <c r="C66" i="83"/>
  <c r="C60" i="83"/>
  <c r="C38" i="83"/>
  <c r="C24" i="83"/>
  <c r="C23" i="83"/>
  <c r="B14" i="74"/>
  <c r="I85" i="9"/>
  <c r="I87" i="9" s="1"/>
  <c r="B1" i="74"/>
  <c r="C88" i="9"/>
  <c r="C89" i="9" s="1"/>
  <c r="C87" i="9" s="1"/>
  <c r="C91" i="9"/>
  <c r="T15" i="43"/>
  <c r="V15" i="43" s="1"/>
  <c r="T11" i="43"/>
  <c r="V11" i="43" s="1"/>
  <c r="T7" i="43"/>
  <c r="V7" i="43" s="1"/>
  <c r="T14" i="43"/>
  <c r="V14" i="43" s="1"/>
  <c r="T10" i="43"/>
  <c r="V10" i="43" s="1"/>
  <c r="T4" i="43"/>
  <c r="V4" i="43" s="1"/>
  <c r="T2" i="43"/>
  <c r="V2" i="43" s="1"/>
  <c r="T5" i="43"/>
  <c r="V5" i="43" s="1"/>
  <c r="C40" i="43"/>
  <c r="E40" i="43" s="1"/>
  <c r="C41" i="43"/>
  <c r="G41" i="43" s="1"/>
  <c r="I41" i="43" s="1"/>
  <c r="C42" i="43"/>
  <c r="E42" i="43" s="1"/>
  <c r="T13" i="43"/>
  <c r="V13" i="43" s="1"/>
  <c r="T9" i="43"/>
  <c r="V9" i="43" s="1"/>
  <c r="T12" i="43"/>
  <c r="V12" i="43" s="1"/>
  <c r="T8" i="43"/>
  <c r="V8" i="43" s="1"/>
  <c r="T3" i="43"/>
  <c r="V3" i="43" s="1"/>
  <c r="C33" i="43"/>
  <c r="E33" i="43" s="1"/>
  <c r="C37" i="43"/>
  <c r="G37" i="43" s="1"/>
  <c r="I37" i="43" s="1"/>
  <c r="C39" i="43"/>
  <c r="E39" i="43" s="1"/>
  <c r="C38" i="43"/>
  <c r="E38" i="43" s="1"/>
  <c r="T16" i="43"/>
  <c r="V16" i="43" s="1"/>
  <c r="T6" i="43"/>
  <c r="V6" i="43" s="1"/>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41" i="43"/>
  <c r="E37" i="43"/>
  <c r="G38" i="43"/>
  <c r="I38"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G39" i="43" l="1"/>
  <c r="I39" i="43" s="1"/>
  <c r="G42" i="43"/>
  <c r="I42" i="43" s="1"/>
  <c r="C34" i="43"/>
  <c r="E34" i="43" s="1"/>
  <c r="C29" i="83"/>
  <c r="Q49" i="83" s="1"/>
  <c r="G40" i="43"/>
  <c r="I40" i="43" s="1"/>
  <c r="C31" i="43" s="1"/>
  <c r="C57" i="83"/>
  <c r="C64" i="83" s="1"/>
  <c r="C92" i="9"/>
  <c r="C94" i="9"/>
  <c r="H25" i="6"/>
  <c r="R25" i="6" s="1"/>
  <c r="R12" i="1" s="1"/>
  <c r="C12" i="71"/>
  <c r="D13" i="71"/>
  <c r="C18" i="67"/>
  <c r="C15" i="67"/>
  <c r="H23" i="6"/>
  <c r="C30" i="43"/>
  <c r="B2" i="43" s="1"/>
  <c r="C6" i="68"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C14" i="74" s="1"/>
  <c r="B2" i="74" s="1"/>
  <c r="D7" i="74" s="1"/>
  <c r="R21" i="6"/>
  <c r="R8" i="1" s="1"/>
  <c r="C10" i="69"/>
  <c r="C8" i="69" s="1"/>
  <c r="C5" i="69" s="1"/>
  <c r="D19" i="69"/>
  <c r="F50" i="69"/>
  <c r="F50" i="11"/>
  <c r="F50" i="68"/>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3" i="83" l="1"/>
  <c r="C75" i="83" s="1"/>
  <c r="C36" i="83"/>
  <c r="J59" i="83"/>
  <c r="J60" i="83" s="1"/>
  <c r="L46" i="83" s="1"/>
  <c r="J14" i="83"/>
  <c r="J22" i="83" s="1"/>
  <c r="B3" i="43"/>
  <c r="C7" i="68"/>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J13" i="83" l="1"/>
  <c r="J23" i="83" s="1"/>
  <c r="C37" i="83"/>
  <c r="Q70" i="83"/>
  <c r="C56" i="83"/>
  <c r="C65" i="83" s="1"/>
  <c r="Q48" i="83"/>
  <c r="C5" i="68"/>
  <c r="C23" i="68"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3"/>
  <c r="F35" i="15"/>
  <c r="F35" i="67"/>
  <c r="F35" i="83"/>
  <c r="M21" i="67"/>
  <c r="M21" i="15"/>
  <c r="J20" i="83" l="1"/>
  <c r="J17" i="83" s="1"/>
  <c r="J16" i="83" s="1"/>
  <c r="J25" i="83" s="1"/>
  <c r="F63" i="83"/>
  <c r="C62" i="83" s="1"/>
  <c r="C59" i="83" s="1"/>
  <c r="C58" i="83" s="1"/>
  <c r="C67" i="83" s="1"/>
  <c r="C68" i="83" s="1"/>
  <c r="C34" i="83"/>
  <c r="C31" i="83" s="1"/>
  <c r="C30" i="83" s="1"/>
  <c r="C39" i="83"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71" i="83" l="1"/>
  <c r="C40" i="83"/>
  <c r="Q69" i="83"/>
  <c r="Q68" i="83" s="1"/>
  <c r="C80" i="83"/>
  <c r="C79" i="83" s="1"/>
  <c r="C102" i="9"/>
  <c r="C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8"/>
  <c r="L51" i="83"/>
  <c r="D2" i="21"/>
  <c r="C20" i="9"/>
  <c r="D34" i="9"/>
  <c r="D35" i="9"/>
  <c r="Q67" i="83" l="1"/>
  <c r="C43" i="83"/>
  <c r="Q65" i="83"/>
  <c r="Q75" i="83" s="1"/>
  <c r="Q47" i="83"/>
  <c r="Q53" i="83" s="1"/>
  <c r="B2" i="83"/>
  <c r="B3" i="83" s="1"/>
  <c r="Q56" i="83"/>
  <c r="Q62" i="83" s="1"/>
  <c r="C83" i="83"/>
  <c r="C82" i="83" s="1"/>
  <c r="C46" i="83"/>
  <c r="C103" i="9"/>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D2" i="34"/>
  <c r="L51" i="15"/>
  <c r="M24" i="43" l="1"/>
  <c r="Q57" i="67"/>
  <c r="Q66" i="67"/>
  <c r="Q75" i="67" s="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2" i="1"/>
  <c r="AO7" i="1"/>
  <c r="AO11"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1" i="9" l="1"/>
  <c r="G19" i="9"/>
  <c r="D14" i="74" s="1"/>
  <c r="G14" i="74" s="1"/>
  <c r="D102" i="9"/>
  <c r="D22" i="9"/>
  <c r="B3" i="70"/>
  <c r="G21" i="9"/>
  <c r="C42" i="40"/>
  <c r="C43" i="40"/>
  <c r="E47" i="40"/>
  <c r="F47" i="40" s="1"/>
  <c r="E46" i="40"/>
  <c r="F46" i="40" s="1"/>
  <c r="I47" i="40"/>
  <c r="J47" i="40" s="1"/>
  <c r="D20" i="9"/>
  <c r="C27" i="9" l="1"/>
  <c r="D27" i="9" s="1"/>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F4" i="52" s="1"/>
  <c r="B51" i="72" s="1"/>
  <c r="D118" i="9"/>
  <c r="D4" i="52" s="1"/>
  <c r="B47" i="72" s="1"/>
  <c r="H118" i="9"/>
  <c r="G118" i="9" l="1"/>
  <c r="G4" i="52" s="1"/>
  <c r="B52" i="72" s="1"/>
  <c r="C104" i="9"/>
  <c r="H119" i="9"/>
  <c r="H5" i="52" s="1"/>
  <c r="H4" i="52"/>
  <c r="H101" i="9"/>
  <c r="I118" i="9"/>
  <c r="D119" i="9"/>
  <c r="D5" i="52" s="1"/>
  <c r="B49" i="72" s="1"/>
  <c r="F119" i="9"/>
  <c r="F5" i="52" s="1"/>
  <c r="B53" i="72" s="1"/>
  <c r="M48" i="9" l="1"/>
  <c r="D5" i="53"/>
  <c r="D45" i="9"/>
  <c r="H107" i="9"/>
  <c r="C105" i="9"/>
  <c r="H102" i="9"/>
  <c r="I4" i="52"/>
  <c r="E118" i="9"/>
  <c r="E4" i="52" s="1"/>
  <c r="B48" i="72" s="1"/>
  <c r="D13" i="53" l="1"/>
  <c r="D122" i="9"/>
  <c r="H108" i="9"/>
  <c r="M49" i="9"/>
  <c r="B20" i="72"/>
  <c r="D6" i="53"/>
  <c r="B22" i="72" s="1"/>
  <c r="C5" i="74"/>
  <c r="D7" i="53"/>
  <c r="B21" i="72" s="1"/>
  <c r="D53" i="9"/>
  <c r="D48" i="9" s="1"/>
  <c r="M52" i="9" s="1"/>
  <c r="C93" i="9"/>
  <c r="C86" i="9" s="1"/>
  <c r="D52" i="9"/>
  <c r="C78" i="9"/>
  <c r="C73" i="9" s="1"/>
  <c r="C64" i="9"/>
  <c r="C63" i="9" s="1"/>
  <c r="C67" i="9" s="1"/>
  <c r="D55" i="9"/>
  <c r="M53" i="9" s="1"/>
  <c r="C72" i="9"/>
  <c r="C85" i="9"/>
  <c r="C95" i="9" s="1"/>
  <c r="L65" i="9" l="1"/>
  <c r="M65" i="9" s="1"/>
  <c r="L64" i="9"/>
  <c r="M64" i="9" s="1"/>
  <c r="L67" i="9"/>
  <c r="M67" i="9" s="1"/>
  <c r="L66" i="9"/>
  <c r="M66" i="9" s="1"/>
  <c r="L68" i="9"/>
  <c r="M68" i="9" s="1"/>
  <c r="L63" i="9"/>
  <c r="M63" i="9" s="1"/>
  <c r="D123" i="9"/>
  <c r="D9" i="52" s="1"/>
  <c r="D8" i="52"/>
  <c r="C96" i="9"/>
  <c r="E96" i="9" s="1"/>
  <c r="E97" i="9" s="1"/>
  <c r="C79" i="9"/>
  <c r="D59" i="9"/>
  <c r="M55" i="9" s="1"/>
  <c r="C68" i="9"/>
  <c r="D54" i="9" s="1"/>
  <c r="D15" i="53"/>
  <c r="B31" i="72" s="1"/>
  <c r="C6" i="74"/>
  <c r="B30" i="72"/>
  <c r="D14" i="53"/>
  <c r="B32" i="72" s="1"/>
  <c r="C97" i="9" l="1"/>
  <c r="D58" i="9" s="1"/>
  <c r="D56" i="9" s="1"/>
  <c r="M54" i="9" s="1"/>
  <c r="N57" i="9" s="1"/>
  <c r="N58" i="9" s="1"/>
  <c r="M69" i="9"/>
  <c r="N69" i="9" s="1"/>
  <c r="C80" i="9"/>
  <c r="E80" i="9" s="1"/>
  <c r="E81" i="9" s="1"/>
  <c r="N59" i="9" l="1"/>
  <c r="H111" i="9" s="1"/>
  <c r="P57" i="9"/>
  <c r="C81" i="9"/>
  <c r="D126" i="9" l="1"/>
  <c r="D19" i="53"/>
  <c r="N60" i="9"/>
  <c r="I14" i="74"/>
  <c r="B8" i="74" s="1"/>
  <c r="N61" i="9"/>
  <c r="H112" i="9" s="1"/>
  <c r="D21" i="53" s="1"/>
  <c r="B39" i="72" s="1"/>
  <c r="D127" i="9" l="1"/>
  <c r="D13" i="52" s="1"/>
  <c r="D12" i="52"/>
  <c r="B38" i="72"/>
  <c r="D20" i="53"/>
  <c r="B40" i="72" s="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Administrator</author>
  </authors>
  <commentList>
    <comment ref="H10" authorId="0">
      <text>
        <r>
          <rPr>
            <b/>
            <sz val="9"/>
            <rFont val="宋体"/>
            <family val="3"/>
            <charset val="134"/>
          </rPr>
          <t>Administrator:</t>
        </r>
        <r>
          <rPr>
            <sz val="9"/>
            <rFont val="宋体"/>
            <family val="3"/>
            <charset val="134"/>
          </rPr>
          <t xml:space="preserve">
2018、2020、2022</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<sst xmlns="http://schemas.openxmlformats.org/spreadsheetml/2006/main" count="9149" uniqueCount="3644">
  <si>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</si>
  <si>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</si>
  <si>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</si>
  <si>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</si>
  <si>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</si>
  <si>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</si>
  <si>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</si>
  <si>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</si>
  <si>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</si>
  <si>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</si>
  <si>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</si>
  <si>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</si>
  <si>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</si>
  <si>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</si>
  <si>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</si>
  <si>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</si>
  <si>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</si>
  <si>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</si>
  <si>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</si>
  <si>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</si>
  <si>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</si>
  <si>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</si>
  <si>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</si>
  <si>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</si>
  <si>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</si>
  <si>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</si>
  <si>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</si>
  <si>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</si>
  <si>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</si>
  <si>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</si>
  <si>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</si>
  <si>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</si>
  <si>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</si>
  <si>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</si>
  <si>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</si>
  <si>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</si>
  <si>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</si>
  <si>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</si>
  <si>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</si>
  <si>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</si>
  <si>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</si>
  <si>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</si>
  <si>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</si>
  <si>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</si>
  <si>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</si>
  <si>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</si>
  <si>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</si>
  <si>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</si>
  <si>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</si>
  <si>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</si>
  <si>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</si>
  <si>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</si>
  <si>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</si>
  <si>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</si>
  <si>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</si>
  <si>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</si>
  <si>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</si>
  <si>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</si>
  <si>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</si>
  <si>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</si>
  <si>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</si>
  <si>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</si>
  <si>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</si>
  <si>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</si>
  <si>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</si>
  <si>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</si>
  <si>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</si>
  <si>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</si>
  <si>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</si>
  <si>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</si>
  <si>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</si>
  <si>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</si>
  <si>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</si>
  <si>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</si>
  <si>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</si>
  <si>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</si>
  <si>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</si>
  <si>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</si>
  <si>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</si>
  <si>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</si>
  <si>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</si>
  <si>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</si>
  <si>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</si>
  <si>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</si>
  <si>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</si>
  <si>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</si>
  <si>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</si>
  <si>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</si>
  <si>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</si>
  <si>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</si>
  <si>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</si>
  <si>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</si>
  <si>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</si>
  <si>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</si>
  <si>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</si>
  <si>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</si>
  <si>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</si>
  <si>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</si>
  <si>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</si>
  <si>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</si>
  <si>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</si>
  <si>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</si>
  <si>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</si>
  <si>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</si>
  <si>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</si>
  <si>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</si>
  <si>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</si>
  <si>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</si>
  <si>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</si>
  <si>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</si>
  <si>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</si>
  <si>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</si>
  <si>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</si>
  <si>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</si>
  <si>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</si>
  <si>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</si>
  <si>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</si>
  <si>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</si>
  <si>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</si>
  <si>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</si>
  <si>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</si>
  <si>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</si>
  <si>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</si>
  <si>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</si>
  <si>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</si>
  <si>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</si>
  <si>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</si>
  <si>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</si>
  <si>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</si>
  <si>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</si>
  <si>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</si>
  <si>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</si>
  <si>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</si>
  <si>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</si>
  <si>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</si>
  <si>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</si>
  <si>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</si>
  <si>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</si>
  <si>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</si>
  <si>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</si>
  <si>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</si>
  <si>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</si>
  <si>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</si>
  <si>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</si>
  <si>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</si>
  <si>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</si>
  <si>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</si>
  <si>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</si>
  <si>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</si>
  <si>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</si>
  <si>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</si>
  <si>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</si>
  <si>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</si>
  <si>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</si>
  <si>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</si>
  <si>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</si>
  <si>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</si>
  <si>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</si>
  <si>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</si>
  <si>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</si>
  <si>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</si>
  <si>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</si>
  <si>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</si>
  <si>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</si>
  <si>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</si>
  <si>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</si>
  <si>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</si>
  <si>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</si>
  <si>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</si>
  <si>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</si>
  <si>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</si>
  <si>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</si>
  <si>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</si>
  <si>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</si>
  <si>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</si>
  <si>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</si>
  <si>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</si>
  <si>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</si>
  <si>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</si>
  <si>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</si>
  <si>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</si>
  <si>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</si>
  <si>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</si>
  <si>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</si>
  <si>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</si>
  <si>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</si>
  <si>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</si>
  <si>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</si>
  <si>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</si>
  <si>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</si>
  <si>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</si>
  <si>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</si>
  <si>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</si>
  <si>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</si>
  <si>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</si>
  <si>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</si>
  <si>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</si>
  <si>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</si>
  <si>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</si>
  <si>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</si>
  <si>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</si>
  <si>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</si>
  <si>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</si>
  <si>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</si>
  <si>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</si>
  <si>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</si>
  <si>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</si>
  <si>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</si>
  <si>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</si>
  <si>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</si>
  <si>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</si>
  <si>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</si>
  <si>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</si>
  <si>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</si>
  <si>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</si>
  <si>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</si>
  <si>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</si>
  <si>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</si>
  <si>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</si>
  <si>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</si>
  <si>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</si>
  <si>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</si>
  <si>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</si>
  <si>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</si>
  <si>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</si>
  <si>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</si>
  <si>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</si>
  <si>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</si>
  <si>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</si>
  <si>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</si>
  <si>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</si>
  <si>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</si>
  <si>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</si>
  <si>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</si>
  <si>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</si>
  <si>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</si>
  <si>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</si>
  <si>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</si>
  <si>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</si>
  <si>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</si>
  <si>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</si>
  <si>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</si>
  <si>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</si>
  <si>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</si>
  <si>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</si>
  <si>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</si>
  <si>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</si>
  <si>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</si>
  <si>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</si>
  <si>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</si>
  <si>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</si>
  <si>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</si>
  <si>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</si>
  <si>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</si>
  <si>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</si>
  <si>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</si>
  <si>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</si>
  <si>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</si>
  <si>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</si>
  <si>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</si>
  <si>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</si>
  <si>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</si>
  <si>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</si>
  <si>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</si>
  <si>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</si>
  <si>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</si>
  <si>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</si>
  <si>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</si>
  <si>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</si>
  <si>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</si>
  <si>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</si>
  <si>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</si>
  <si>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</si>
  <si>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</si>
  <si>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</si>
  <si>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</si>
  <si>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</si>
  <si>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</si>
  <si>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</si>
  <si>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</si>
  <si>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</si>
  <si>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</si>
  <si>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</si>
  <si>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</si>
  <si>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</si>
  <si>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</si>
  <si>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</si>
  <si>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</si>
  <si>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</si>
  <si>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</si>
  <si>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</si>
  <si>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</si>
  <si>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</si>
  <si>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</si>
  <si>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</si>
  <si>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</si>
  <si>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</si>
  <si>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</si>
  <si>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</si>
  <si>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</si>
  <si>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</si>
  <si>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</si>
  <si>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</si>
  <si>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</si>
  <si>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</si>
  <si>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</si>
  <si>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</si>
  <si>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</si>
  <si>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</si>
  <si>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</si>
  <si>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</si>
  <si>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</si>
  <si>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</si>
  <si>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</si>
  <si>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</si>
  <si>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</si>
  <si>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</si>
  <si>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</si>
  <si>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</si>
  <si>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</si>
  <si>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</si>
  <si>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</si>
  <si>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</si>
  <si>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</si>
  <si>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</si>
  <si>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</si>
  <si>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</si>
  <si>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</si>
  <si>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</si>
  <si>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</si>
  <si>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</si>
  <si>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</si>
  <si>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</si>
  <si>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</si>
  <si>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</si>
  <si>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</si>
  <si>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</si>
  <si>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</si>
  <si>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</si>
  <si>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</si>
  <si>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</si>
  <si>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</si>
  <si>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</si>
  <si>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</si>
  <si>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</si>
  <si>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</si>
  <si>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</si>
  <si>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</si>
  <si>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</si>
  <si>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</si>
  <si>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</si>
  <si>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</si>
  <si>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</si>
  <si>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</si>
  <si>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</si>
  <si>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</si>
  <si>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</si>
  <si>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</si>
  <si>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</si>
  <si>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</si>
  <si>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</si>
  <si>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</si>
  <si>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</si>
  <si>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</si>
  <si>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</si>
  <si>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</si>
  <si>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</si>
  <si>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</si>
  <si>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</si>
  <si>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</si>
  <si>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</si>
  <si>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</si>
  <si>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</si>
  <si>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</si>
  <si>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</si>
  <si>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</si>
  <si>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</si>
  <si>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</si>
  <si>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</si>
  <si>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</si>
  <si>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</si>
  <si>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</si>
  <si>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</si>
  <si>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</si>
  <si>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</si>
  <si>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</si>
  <si>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</si>
  <si>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</si>
  <si>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</si>
  <si>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</si>
  <si>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</si>
  <si>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</si>
  <si>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</si>
  <si>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</si>
  <si>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</si>
  <si>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</si>
  <si>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</si>
  <si>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</si>
  <si>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</si>
  <si>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</si>
  <si>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</si>
  <si>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</si>
  <si>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</si>
  <si>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</si>
  <si>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</si>
  <si>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</si>
  <si>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</si>
  <si>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</si>
  <si>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</si>
  <si>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</si>
  <si>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</si>
  <si>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</si>
  <si>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</si>
  <si>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</si>
  <si>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</si>
  <si>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</si>
  <si>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</si>
  <si>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</si>
  <si>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</si>
  <si>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</si>
  <si>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</si>
  <si>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</si>
  <si>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</si>
  <si>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</si>
  <si>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</si>
  <si>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</si>
  <si>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</si>
  <si>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</si>
  <si>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</si>
  <si>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</si>
  <si>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</si>
  <si>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</si>
  <si>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</si>
  <si>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</si>
  <si>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</si>
  <si>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</si>
  <si>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</si>
  <si>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</si>
  <si>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</si>
  <si>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</si>
  <si>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</si>
  <si>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</si>
  <si>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</si>
  <si>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</si>
  <si>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</si>
  <si>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</si>
  <si>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</si>
  <si>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</si>
  <si>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</si>
  <si>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</si>
  <si>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</si>
  <si>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</si>
  <si>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</si>
  <si>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</si>
  <si>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</si>
  <si>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</si>
  <si>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</si>
  <si>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</si>
  <si>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</si>
  <si>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</si>
  <si>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</si>
  <si>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</si>
  <si>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</si>
  <si>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</si>
  <si>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</si>
  <si>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</si>
  <si>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</si>
  <si>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</si>
  <si>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</si>
  <si>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</si>
  <si>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</si>
  <si>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</si>
  <si>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</si>
  <si>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</si>
  <si>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</si>
  <si>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</si>
  <si>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</si>
  <si>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</si>
  <si>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</si>
  <si>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</si>
  <si>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</si>
  <si>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</si>
  <si>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</si>
  <si>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</si>
  <si>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</si>
  <si>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</si>
  <si>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</si>
  <si>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</si>
  <si>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</si>
  <si>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</si>
  <si>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</si>
  <si>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</si>
  <si>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</si>
  <si>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</si>
  <si>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</si>
  <si>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</si>
  <si>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</si>
  <si>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</si>
  <si>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</si>
  <si>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</si>
  <si>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</si>
  <si>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</si>
  <si>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</si>
  <si>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</si>
  <si>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</si>
  <si>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</si>
  <si>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</si>
  <si>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</si>
  <si>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</si>
  <si>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</si>
  <si>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</si>
  <si>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</si>
  <si>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</si>
  <si>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</si>
  <si>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</si>
  <si>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</si>
  <si>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</si>
  <si>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</si>
  <si>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</si>
  <si>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</si>
  <si>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</si>
  <si>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</si>
  <si>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</si>
  <si>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</si>
  <si>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</si>
  <si>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</si>
  <si>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</si>
  <si>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</si>
  <si>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</si>
  <si>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</si>
  <si>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</si>
  <si>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</si>
  <si>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</si>
  <si>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</si>
  <si>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</si>
  <si>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</si>
  <si>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</si>
  <si>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</si>
  <si>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</si>
  <si>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</si>
  <si>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</si>
  <si>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</si>
  <si>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</si>
  <si>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</si>
  <si>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</si>
  <si>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</si>
  <si>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</si>
  <si>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</si>
  <si>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</si>
  <si>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</si>
  <si>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</si>
  <si>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</si>
  <si>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</si>
  <si>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</si>
  <si>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</si>
  <si>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</si>
  <si>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</si>
  <si>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</si>
  <si>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</si>
  <si>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</si>
  <si>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</si>
  <si>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</si>
  <si>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</si>
  <si>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</si>
  <si>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</si>
  <si>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</si>
  <si>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</si>
  <si>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</si>
  <si>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</si>
  <si>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</si>
  <si>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</si>
  <si>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</si>
  <si>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</si>
  <si>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</si>
  <si>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</si>
  <si>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</si>
  <si>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</si>
  <si>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</si>
  <si>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</si>
  <si>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</si>
  <si>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</si>
  <si>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</si>
  <si>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</si>
  <si>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</si>
  <si>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</si>
  <si>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</si>
  <si>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</si>
  <si>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</si>
  <si>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</si>
  <si>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</si>
  <si>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</si>
  <si>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</si>
  <si>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</si>
  <si>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</si>
  <si>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</si>
  <si>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</si>
  <si>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</si>
  <si>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</si>
  <si>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</si>
  <si>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</si>
  <si>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</si>
  <si>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</si>
  <si>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</si>
  <si>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</si>
  <si>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</si>
  <si>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</si>
  <si>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</si>
  <si>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</si>
  <si>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</si>
  <si>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</si>
  <si>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</si>
  <si>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</si>
  <si>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</si>
  <si>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</si>
  <si>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</si>
  <si>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</si>
  <si>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</si>
  <si>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</si>
  <si>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</si>
  <si>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</si>
  <si>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</si>
  <si>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</si>
  <si>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</si>
  <si>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</si>
  <si>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</si>
  <si>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</si>
  <si>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</si>
  <si>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</si>
  <si>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</si>
  <si>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</si>
  <si>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</si>
  <si>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</si>
  <si>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</si>
  <si>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</si>
  <si>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</si>
  <si>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</si>
  <si>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</si>
  <si>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</si>
  <si>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</si>
  <si>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</si>
  <si>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</si>
  <si>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</si>
  <si>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</si>
  <si>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</si>
  <si>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</si>
  <si>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</si>
  <si>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</si>
  <si>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</si>
  <si>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</si>
  <si>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</si>
  <si>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</si>
  <si>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</si>
  <si>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</si>
  <si>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</si>
  <si>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</si>
  <si>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</si>
  <si>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</si>
  <si>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</si>
  <si>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</si>
  <si>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</si>
  <si>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</si>
  <si>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</si>
  <si>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</si>
  <si>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</si>
  <si>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</si>
  <si>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</si>
  <si>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</si>
  <si>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</si>
  <si>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</si>
  <si>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</si>
  <si>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</si>
  <si>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</si>
  <si>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</si>
  <si>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</si>
  <si>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</si>
  <si>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</si>
  <si>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</si>
  <si>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</si>
  <si>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</si>
  <si>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</si>
  <si>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</si>
  <si>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</si>
  <si>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</si>
  <si>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</si>
  <si>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</si>
  <si>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</si>
  <si>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</si>
  <si>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</si>
  <si>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</si>
  <si>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</si>
  <si>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</si>
  <si>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</si>
  <si>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</si>
  <si>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</si>
  <si>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</si>
  <si>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</si>
  <si>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</si>
  <si>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</si>
  <si>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</si>
  <si>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</si>
  <si>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</si>
  <si>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</si>
  <si>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</si>
  <si>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</si>
  <si>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</si>
  <si>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</si>
  <si>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</si>
  <si>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</si>
  <si>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</si>
  <si>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</si>
  <si>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</si>
  <si>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</si>
  <si>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</si>
  <si>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</si>
  <si>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</si>
  <si>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</si>
  <si>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</si>
  <si>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</si>
  <si>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</si>
  <si>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</si>
  <si>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</si>
  <si>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</si>
  <si>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</si>
  <si>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</si>
  <si>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</si>
  <si>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</si>
  <si>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</si>
  <si>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</si>
  <si>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</si>
  <si>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</si>
  <si>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</si>
  <si>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</si>
  <si>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</si>
  <si>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</si>
  <si>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</si>
  <si>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</si>
  <si>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</si>
  <si>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</si>
  <si>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</si>
  <si>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</si>
  <si>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</si>
  <si>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</si>
  <si>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</si>
  <si>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</si>
  <si>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</si>
  <si>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</si>
  <si>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</si>
  <si>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</si>
  <si>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</si>
  <si>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</si>
  <si>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</si>
  <si>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</si>
  <si>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</si>
  <si>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</si>
  <si>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</si>
  <si>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</si>
  <si>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</si>
  <si>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</si>
  <si>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</si>
  <si>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</si>
  <si>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</si>
  <si>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</si>
  <si>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</si>
  <si>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</si>
  <si>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</si>
  <si>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</si>
  <si>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</si>
  <si>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</si>
  <si>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</si>
  <si>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</si>
  <si>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</si>
  <si>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</si>
  <si>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</si>
  <si>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</si>
  <si>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</si>
  <si>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</si>
  <si>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</si>
  <si>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</si>
  <si>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</si>
  <si>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</si>
  <si>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</si>
  <si>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</si>
  <si>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</si>
  <si>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</si>
  <si>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</si>
  <si>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</si>
  <si>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</si>
  <si>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</si>
  <si>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</si>
  <si>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</si>
  <si>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</si>
  <si>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</si>
  <si>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</si>
  <si>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</si>
  <si>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</si>
  <si>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</si>
  <si>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</si>
  <si>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</si>
  <si>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</si>
  <si>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</si>
  <si>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</si>
  <si>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</si>
  <si>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</si>
  <si>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</si>
  <si>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</si>
  <si>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</si>
  <si>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</si>
  <si>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</si>
  <si>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</si>
  <si>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</si>
  <si>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</si>
  <si>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</si>
  <si>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</si>
  <si>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</si>
  <si>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</si>
  <si>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</si>
  <si>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</si>
  <si>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</si>
  <si>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</si>
  <si>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</si>
  <si>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</si>
  <si>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</si>
  <si>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</si>
  <si>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</si>
  <si>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</si>
  <si>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</si>
  <si>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</si>
  <si>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</si>
  <si>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</si>
  <si>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</si>
  <si>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</si>
  <si>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</si>
  <si>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</si>
  <si>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</si>
  <si>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</si>
  <si>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</si>
  <si>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</si>
  <si>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</si>
  <si>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</si>
  <si>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</si>
  <si>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</si>
  <si>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</si>
  <si>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</si>
  <si>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</si>
  <si>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</si>
  <si>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</si>
  <si>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</si>
  <si>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</si>
  <si>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</si>
  <si>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</si>
  <si>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</si>
  <si>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</si>
  <si>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</si>
  <si>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</si>
  <si>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</si>
  <si>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</si>
  <si>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</si>
  <si>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</si>
  <si>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</si>
  <si>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</si>
  <si>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</si>
  <si>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</si>
  <si>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</si>
  <si>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</si>
  <si>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</si>
  <si>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</si>
  <si>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</si>
  <si>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</si>
  <si>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</si>
  <si>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</si>
  <si>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</si>
  <si>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</si>
  <si>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</si>
  <si>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</si>
  <si>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</si>
  <si>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</si>
  <si>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</si>
  <si>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</si>
  <si>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</si>
  <si>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</si>
  <si>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</si>
  <si>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</si>
  <si>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</si>
  <si>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</si>
  <si>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</si>
  <si>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</si>
  <si>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</si>
  <si>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</si>
  <si>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</si>
  <si>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</si>
  <si>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</si>
  <si>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</si>
  <si>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</si>
  <si>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</si>
  <si>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</si>
  <si>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</si>
  <si>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</si>
  <si>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</si>
  <si>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</si>
  <si>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</si>
  <si>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</si>
  <si>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</si>
  <si>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</si>
  <si>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</si>
  <si>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</si>
  <si>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</si>
  <si>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</si>
  <si>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</si>
  <si>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</si>
  <si>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</si>
  <si>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</si>
  <si>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</si>
  <si>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</si>
  <si>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</si>
  <si>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</si>
  <si>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</si>
  <si>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</si>
  <si>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</si>
  <si>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</si>
  <si>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</si>
  <si>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</si>
  <si>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</si>
  <si>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</si>
  <si>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</si>
  <si>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</si>
  <si>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</si>
  <si>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</si>
  <si>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</si>
  <si>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</si>
  <si>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</si>
  <si>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</si>
  <si>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</si>
  <si>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</si>
  <si>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</si>
  <si>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</si>
  <si>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</si>
  <si>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</si>
  <si>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</si>
  <si>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</si>
  <si>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</si>
  <si>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</si>
  <si>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</si>
  <si>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</si>
  <si>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</si>
  <si>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</si>
  <si>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</si>
  <si>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</si>
  <si>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</si>
  <si>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</si>
  <si>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</si>
  <si>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</si>
  <si>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</si>
  <si>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</si>
  <si>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</si>
  <si>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</si>
  <si>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</si>
  <si>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</si>
  <si>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</si>
  <si>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</si>
  <si>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</si>
  <si>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</si>
  <si>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</si>
  <si>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</si>
  <si>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</si>
  <si>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</si>
  <si>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</si>
  <si>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</si>
  <si>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</si>
  <si>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</si>
  <si>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</si>
  <si>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</si>
  <si>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</si>
  <si>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</si>
  <si>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</si>
  <si>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</si>
  <si>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</si>
  <si>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</si>
  <si>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</si>
  <si>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</si>
  <si>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</si>
  <si>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</si>
  <si>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</si>
  <si>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</si>
  <si>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</si>
  <si>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</si>
  <si>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</si>
  <si>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</si>
  <si>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</si>
  <si>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</si>
  <si>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</si>
  <si>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</si>
  <si>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</si>
  <si>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</si>
  <si>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</si>
  <si>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</si>
  <si>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</si>
  <si>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</si>
  <si>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</si>
  <si>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</si>
  <si>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</si>
  <si>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</si>
  <si>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</si>
  <si>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</si>
  <si>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</si>
  <si>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</si>
  <si>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</si>
  <si>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</si>
  <si>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</si>
  <si>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</si>
  <si>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</si>
  <si>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</si>
  <si>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</si>
  <si>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</si>
  <si>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</si>
  <si>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</si>
  <si>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</si>
  <si>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</si>
  <si>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</si>
  <si>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</si>
  <si>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</si>
  <si>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</si>
  <si>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</si>
  <si>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</si>
  <si>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</si>
  <si>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</si>
  <si>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</si>
  <si>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</si>
  <si>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</si>
  <si>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</si>
  <si>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</si>
  <si>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</si>
  <si>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</si>
  <si>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</si>
  <si>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</si>
  <si>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</si>
  <si>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</si>
  <si>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</si>
  <si>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</si>
  <si>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</si>
  <si>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</si>
  <si>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</si>
  <si>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</si>
  <si>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</si>
  <si>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</si>
  <si>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</si>
  <si>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</si>
  <si>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</si>
  <si>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</si>
  <si>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</si>
  <si>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</si>
  <si>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</si>
  <si>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</si>
  <si>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</si>
  <si>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</si>
  <si>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</si>
  <si>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</si>
  <si>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</si>
  <si>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</si>
  <si>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</si>
  <si>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</si>
  <si>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</si>
  <si>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</si>
  <si>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</si>
  <si>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</si>
  <si>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</si>
  <si>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</si>
  <si>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</si>
  <si>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</si>
  <si>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</si>
  <si>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</si>
  <si>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</si>
  <si>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</si>
  <si>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</si>
  <si>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</si>
  <si>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</si>
  <si>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</si>
  <si>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</si>
  <si>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</si>
  <si>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</si>
  <si>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</si>
  <si>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</si>
  <si>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</si>
  <si>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</si>
  <si>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</si>
  <si>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</si>
  <si>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</si>
  <si>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</si>
  <si>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</si>
  <si>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</si>
  <si>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</si>
  <si>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</si>
  <si>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</si>
  <si>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</si>
  <si>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</si>
  <si>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</si>
  <si>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</si>
  <si>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</si>
  <si>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</si>
  <si>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</si>
  <si>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</si>
  <si>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</si>
  <si>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</si>
  <si>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</si>
  <si>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</si>
  <si>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</si>
  <si>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</si>
  <si>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</si>
  <si>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</si>
  <si>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</si>
  <si>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</si>
  <si>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</si>
  <si>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</si>
  <si>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</si>
  <si>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</si>
  <si>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</si>
  <si>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</si>
  <si>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</si>
  <si>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</si>
  <si>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</si>
  <si>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</si>
  <si>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</si>
  <si>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</si>
  <si>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</si>
  <si>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</si>
  <si>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</si>
  <si>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</si>
  <si>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</si>
  <si>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</si>
  <si>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</si>
  <si>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</si>
  <si>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</si>
  <si>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</si>
  <si>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</si>
  <si>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</si>
  <si>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</si>
  <si>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</si>
  <si>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</si>
  <si>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</si>
  <si>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</si>
  <si>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</si>
  <si>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</si>
  <si>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</si>
  <si>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</si>
  <si>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</si>
  <si>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</si>
  <si>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</si>
  <si>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</si>
  <si>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</si>
  <si>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</si>
  <si>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</si>
  <si>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</si>
  <si>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</si>
  <si>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</si>
  <si>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</si>
  <si>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</si>
  <si>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</si>
  <si>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</si>
  <si>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</si>
  <si>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</si>
  <si>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</si>
  <si>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</si>
  <si>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</si>
  <si>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</si>
  <si>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</si>
  <si>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</si>
  <si>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</si>
  <si>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</si>
  <si>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</si>
  <si>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</si>
  <si>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</si>
  <si>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</si>
  <si>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</si>
  <si>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</si>
  <si>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</si>
  <si>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</si>
  <si>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</si>
  <si>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</si>
  <si>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</si>
  <si>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</si>
  <si>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</si>
  <si>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</si>
  <si>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</si>
  <si>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</si>
  <si>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</si>
  <si>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</si>
  <si>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</si>
  <si>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</si>
  <si>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</si>
  <si>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</si>
  <si>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</si>
  <si>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</si>
  <si>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</si>
  <si>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</si>
  <si>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</si>
  <si>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</si>
  <si>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</si>
  <si>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</si>
  <si>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</si>
  <si>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</si>
  <si>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</si>
  <si>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</si>
  <si>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</si>
  <si>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</si>
  <si>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</si>
  <si>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</si>
  <si>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</si>
  <si>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</si>
  <si>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</si>
  <si>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</si>
  <si>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</si>
  <si>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</si>
  <si>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</si>
  <si>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</si>
  <si>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</si>
  <si>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</si>
  <si>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</si>
  <si>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</si>
  <si>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</si>
  <si>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</si>
  <si>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</si>
  <si>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</si>
  <si>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</si>
  <si>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</si>
  <si>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</si>
  <si>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</si>
  <si>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</si>
  <si>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</si>
  <si>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</si>
  <si>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</si>
  <si>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</si>
  <si>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</si>
  <si>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</si>
  <si>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</si>
  <si>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</si>
  <si>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</si>
  <si>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</si>
  <si>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</si>
  <si>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</si>
  <si>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</si>
  <si>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</si>
  <si>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</si>
  <si>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</si>
  <si>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</si>
  <si>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</si>
  <si>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</si>
  <si>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</si>
  <si>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</si>
  <si>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</si>
  <si>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</si>
  <si>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</si>
  <si>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</si>
  <si>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</si>
  <si>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</si>
  <si>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</si>
  <si>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</si>
  <si>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</si>
  <si>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</si>
  <si>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</si>
  <si>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</si>
  <si>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</si>
  <si>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</si>
  <si>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</si>
  <si>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</si>
  <si>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</si>
  <si>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</si>
  <si>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</si>
  <si>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</si>
  <si>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</si>
  <si>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</si>
  <si>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</si>
  <si>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</si>
  <si>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</si>
  <si>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</si>
  <si>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</si>
  <si>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</si>
  <si>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</si>
  <si>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</si>
  <si>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</si>
  <si>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</si>
  <si>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</si>
  <si>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</si>
  <si>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</si>
  <si>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</si>
  <si>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</si>
  <si>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</si>
  <si>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</si>
  <si>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</si>
  <si>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</si>
  <si>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</si>
  <si>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</si>
  <si>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</si>
  <si>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</si>
  <si>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</si>
  <si>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</si>
  <si>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</si>
  <si>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</si>
  <si>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</si>
  <si>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</si>
  <si>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</si>
  <si>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</si>
  <si>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</si>
  <si>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</si>
  <si>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</si>
  <si>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</si>
  <si>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</si>
  <si>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</si>
  <si>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</si>
  <si>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</si>
  <si>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</si>
  <si>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</si>
  <si>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</si>
  <si>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</si>
  <si>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</si>
  <si>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</si>
  <si>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</si>
  <si>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</si>
  <si>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</si>
  <si>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</si>
  <si>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</si>
  <si>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</si>
  <si>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</si>
  <si>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</si>
  <si>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</si>
  <si>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</si>
  <si>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</si>
  <si>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</si>
  <si>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</si>
  <si>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</si>
  <si>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</si>
  <si>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</si>
  <si>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</si>
  <si>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</si>
  <si>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</si>
  <si>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</si>
  <si>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</si>
  <si>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</si>
  <si>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</si>
  <si>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</si>
  <si>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</si>
  <si>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</si>
  <si>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</si>
  <si>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</si>
  <si>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</si>
  <si>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</si>
  <si>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</si>
  <si>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</si>
  <si>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</si>
  <si>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</si>
  <si>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</si>
  <si>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</si>
  <si>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</si>
  <si>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</si>
  <si>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</si>
  <si>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</si>
  <si>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</si>
  <si>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</si>
  <si>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</si>
  <si>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</si>
  <si>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</si>
  <si>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</si>
  <si>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</si>
  <si>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</si>
  <si>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</si>
  <si>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</si>
  <si>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</si>
  <si>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</si>
  <si>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</si>
  <si>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</si>
  <si>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</si>
  <si>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</si>
  <si>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</si>
  <si>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</si>
  <si>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</si>
  <si>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</si>
  <si>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</si>
  <si>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</si>
  <si>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</si>
  <si>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</si>
  <si>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</si>
  <si>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</si>
  <si>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</si>
  <si>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</si>
  <si>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</si>
  <si>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</si>
  <si>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</si>
  <si>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</si>
  <si>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</si>
  <si>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</si>
  <si>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</si>
  <si>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</si>
  <si>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</si>
  <si>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</si>
  <si>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</si>
  <si>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</si>
  <si>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</si>
  <si>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</si>
  <si>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</si>
  <si>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</si>
  <si>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</si>
  <si>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</si>
  <si>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</si>
  <si>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</si>
  <si>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</si>
  <si>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</si>
  <si>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</si>
  <si>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</si>
  <si>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</si>
  <si>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</si>
  <si>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</si>
  <si>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</si>
  <si>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</si>
  <si>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</si>
  <si>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</si>
  <si>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</si>
  <si>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</si>
  <si>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</si>
  <si>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</si>
  <si>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</si>
  <si>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</si>
  <si>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</si>
  <si>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</si>
  <si>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</si>
  <si>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</si>
  <si>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</si>
  <si>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</si>
  <si>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</si>
  <si>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</si>
  <si>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</si>
  <si>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</si>
  <si>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</si>
  <si>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</si>
  <si>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</si>
  <si>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</si>
  <si>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</si>
  <si>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</si>
  <si>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</si>
  <si>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</si>
  <si>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</si>
  <si>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</si>
  <si>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</si>
  <si>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</si>
  <si>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</si>
  <si>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</si>
  <si>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</si>
  <si>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</si>
  <si>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</si>
  <si>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</si>
  <si>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</si>
  <si>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</si>
  <si>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</si>
  <si>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</si>
  <si>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</si>
  <si>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</si>
  <si>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</si>
  <si>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</si>
  <si>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</si>
  <si>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</si>
  <si>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</si>
  <si>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</si>
  <si>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</si>
  <si>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</si>
  <si>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</si>
  <si>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</si>
  <si>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</si>
  <si>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</si>
  <si>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</si>
  <si>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</si>
  <si>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</si>
  <si>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</si>
  <si>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</si>
  <si>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</si>
  <si>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</si>
  <si>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</si>
  <si>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</si>
  <si>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</si>
  <si>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</si>
  <si>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</si>
  <si>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</si>
  <si>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</si>
  <si>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</si>
  <si>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</si>
  <si>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</si>
  <si>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</si>
  <si>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</si>
  <si>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</si>
  <si>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</si>
  <si>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</si>
  <si>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</si>
  <si>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</si>
  <si>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</si>
  <si>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</si>
  <si>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</si>
  <si>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</si>
  <si>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</si>
  <si>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</si>
  <si>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</si>
  <si>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</si>
  <si>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</si>
  <si>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</si>
  <si>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</si>
  <si>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</si>
  <si>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</si>
  <si>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</si>
  <si>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</si>
  <si>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</si>
  <si>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</si>
  <si>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</si>
  <si>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</si>
  <si>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</si>
  <si>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</si>
  <si>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</si>
  <si>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</si>
  <si>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</si>
  <si>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</si>
  <si>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</si>
  <si>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</si>
  <si>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</si>
  <si>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</si>
  <si>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</si>
  <si>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</si>
  <si>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</si>
  <si>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</si>
  <si>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</si>
  <si>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</si>
  <si>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</si>
  <si>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</si>
  <si>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</si>
  <si>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</si>
  <si>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</si>
  <si>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</si>
  <si>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</si>
  <si>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</si>
  <si>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</si>
  <si>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</si>
  <si>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</si>
  <si>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</si>
  <si>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</si>
  <si>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</si>
  <si>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</si>
  <si>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</si>
  <si>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</si>
  <si>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</si>
  <si>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</si>
  <si>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</si>
  <si>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</si>
  <si>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</si>
  <si>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</si>
  <si>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</si>
  <si>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</si>
  <si>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</si>
  <si>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</si>
  <si>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</si>
  <si>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</si>
  <si>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</si>
  <si>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</si>
  <si>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</si>
  <si>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</si>
  <si>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</si>
  <si>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</si>
  <si>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</si>
  <si>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</si>
  <si>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</si>
  <si>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</si>
  <si>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</si>
  <si>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</si>
  <si>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</si>
  <si>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</si>
  <si>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</si>
  <si>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</si>
  <si>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</si>
  <si>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</si>
  <si>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</si>
  <si>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</si>
  <si>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</si>
  <si>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</si>
  <si>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</si>
  <si>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</si>
  <si>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</si>
  <si>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</si>
  <si>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</si>
  <si>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</si>
  <si>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</si>
  <si>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</si>
  <si>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</si>
  <si>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</si>
  <si>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</si>
  <si>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</si>
  <si>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</si>
  <si>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</si>
  <si>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</si>
  <si>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</si>
  <si>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</si>
  <si>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</si>
  <si>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</si>
  <si>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</si>
  <si>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</si>
  <si>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</si>
  <si>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</si>
  <si>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</si>
  <si>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</si>
  <si>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</si>
  <si>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</si>
  <si>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</si>
  <si>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</si>
  <si>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</si>
  <si>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</si>
  <si>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</si>
  <si>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</si>
  <si>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</si>
  <si>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</si>
  <si>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</si>
  <si>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</si>
  <si>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</si>
  <si>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</si>
  <si>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</si>
  <si>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</si>
  <si>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</si>
  <si>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</si>
  <si>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</si>
  <si>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</si>
  <si>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</si>
  <si>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</si>
  <si>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</si>
  <si>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</si>
  <si>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</si>
  <si>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</si>
  <si>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</si>
  <si>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</si>
  <si>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</si>
  <si>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</si>
  <si>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</si>
  <si>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</si>
  <si>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</si>
  <si>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</si>
  <si>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</si>
  <si>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</si>
  <si>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</si>
  <si>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</si>
  <si>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</si>
  <si>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</si>
  <si>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</si>
  <si>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</si>
  <si>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</si>
  <si>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</si>
  <si>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</si>
  <si>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</si>
  <si>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</si>
  <si>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</si>
  <si>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</si>
  <si>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</si>
  <si>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</si>
  <si>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</si>
  <si>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</si>
  <si>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</si>
  <si>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</si>
  <si>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</si>
  <si>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</si>
  <si>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</si>
  <si>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</si>
  <si>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</si>
  <si>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</si>
  <si>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</si>
  <si>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</si>
  <si>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</si>
  <si>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</si>
  <si>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</si>
  <si>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</si>
  <si>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</si>
  <si>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</si>
  <si>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</si>
  <si>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</si>
  <si>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</si>
  <si>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</si>
  <si>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</si>
  <si>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</si>
  <si>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</si>
  <si>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</si>
  <si>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</si>
  <si>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</si>
  <si>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</si>
  <si>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</si>
  <si>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</si>
  <si>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</si>
  <si>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</si>
  <si>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</si>
  <si>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</si>
  <si>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</si>
  <si>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</si>
  <si>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</si>
  <si>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</si>
  <si>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</si>
  <si>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</si>
  <si>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</si>
  <si>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</si>
  <si>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</si>
  <si>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</si>
  <si>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</si>
  <si>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</si>
  <si>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</si>
  <si>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</si>
  <si>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</si>
  <si>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</si>
  <si>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</si>
  <si>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</si>
  <si>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</si>
  <si>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</si>
  <si>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</si>
  <si>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</si>
  <si>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</si>
  <si>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</si>
  <si>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</si>
  <si>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</si>
  <si>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</si>
  <si>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</si>
  <si>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</si>
  <si>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</si>
  <si>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</si>
  <si>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</si>
  <si>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</si>
  <si>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</si>
  <si>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</si>
  <si>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</si>
  <si>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</si>
  <si>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</si>
  <si>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</si>
  <si>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</si>
  <si>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</si>
  <si>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</si>
  <si>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</si>
  <si>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</si>
  <si>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</si>
  <si>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</si>
  <si>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</si>
  <si>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</si>
  <si>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</si>
  <si>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</si>
  <si>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</si>
  <si>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</si>
  <si>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</si>
  <si>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</si>
  <si>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</si>
  <si>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</si>
  <si>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</si>
  <si>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</si>
  <si>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</si>
  <si>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</si>
  <si>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</si>
  <si>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</si>
  <si>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</si>
  <si>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</si>
  <si>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</si>
  <si>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</si>
  <si>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</si>
  <si>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</si>
  <si>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</si>
  <si>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</si>
  <si>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</si>
  <si>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</si>
  <si>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</si>
  <si>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</si>
  <si>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</si>
  <si>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</si>
  <si>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</si>
  <si>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</si>
  <si>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</si>
  <si>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</si>
  <si>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</si>
  <si>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</si>
  <si>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</si>
  <si>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</si>
  <si>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</si>
  <si>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</si>
  <si>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</si>
  <si>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</si>
  <si>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</si>
  <si>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</si>
  <si>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</si>
  <si>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</si>
  <si>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</si>
  <si>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</si>
  <si>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</si>
  <si>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</si>
  <si>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</si>
  <si>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</si>
  <si>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</si>
  <si>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</si>
  <si>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</si>
  <si>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</si>
  <si>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</si>
  <si>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</si>
  <si>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</si>
  <si>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</si>
  <si>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</si>
  <si>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</si>
  <si>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</si>
  <si>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</si>
  <si>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</si>
  <si>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</si>
  <si>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</si>
  <si>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</si>
  <si>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</si>
  <si>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</si>
  <si>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</si>
  <si>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</si>
  <si>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</si>
  <si>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</si>
  <si>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</si>
  <si>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</si>
  <si>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</si>
  <si>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</si>
  <si>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</si>
  <si>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</si>
  <si>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</si>
  <si>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</si>
  <si>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</si>
  <si>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</si>
  <si>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</si>
  <si>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</si>
  <si>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</si>
  <si>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</si>
  <si>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</si>
  <si>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</si>
  <si>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</si>
  <si>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</si>
  <si>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</si>
  <si>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</si>
  <si>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</si>
  <si>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</si>
  <si>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</si>
  <si>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</si>
  <si>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</si>
  <si>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</si>
  <si>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</si>
  <si>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</si>
  <si>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</si>
  <si>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</si>
  <si>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</si>
  <si>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</si>
  <si>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</si>
  <si>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</si>
  <si>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</si>
  <si>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</si>
  <si>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</si>
  <si>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</si>
  <si>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</si>
  <si>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</si>
  <si>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</si>
  <si>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</si>
  <si>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</si>
  <si>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</si>
  <si>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</si>
  <si>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</si>
  <si>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</si>
  <si>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</si>
  <si>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</si>
  <si>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</si>
  <si>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</si>
  <si>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</si>
  <si>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</si>
  <si>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</si>
  <si>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</si>
  <si>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</si>
  <si>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</si>
  <si>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</si>
  <si>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</si>
  <si>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</si>
  <si>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</si>
  <si>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</si>
  <si>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</si>
  <si>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</si>
  <si>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</si>
  <si>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</si>
  <si>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</si>
  <si>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</si>
  <si>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</si>
  <si>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</si>
  <si>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</si>
  <si>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</si>
  <si>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</si>
  <si>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</si>
  <si>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</si>
  <si>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</si>
  <si>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</si>
  <si>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</si>
  <si>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</si>
  <si>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</si>
  <si>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</si>
  <si>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</si>
  <si>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</si>
  <si>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</si>
  <si>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</si>
  <si>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</si>
  <si>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</si>
  <si>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</si>
  <si>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</si>
  <si>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</si>
  <si>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</si>
  <si>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</si>
  <si>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</si>
  <si>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</si>
  <si>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</si>
  <si>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</si>
  <si>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</si>
  <si>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</si>
  <si>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</si>
  <si>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</si>
  <si>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</si>
  <si>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</si>
  <si>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</si>
  <si>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</si>
  <si>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</si>
  <si>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</si>
  <si>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</si>
  <si>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</si>
  <si>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</si>
  <si>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</si>
  <si>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</si>
  <si>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</si>
  <si>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</si>
  <si>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</si>
  <si>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</si>
  <si>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</si>
  <si>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</si>
  <si>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</si>
  <si>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</si>
  <si>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</si>
  <si>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</si>
  <si>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</si>
  <si>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</si>
  <si>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</si>
  <si>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</si>
  <si>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</si>
  <si>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</si>
  <si>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</si>
  <si>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</si>
  <si>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</si>
  <si>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</si>
  <si>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</si>
  <si>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</si>
  <si>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</si>
  <si>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</si>
  <si>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</si>
  <si>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</si>
  <si>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</si>
  <si>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</si>
  <si>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</si>
  <si>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</si>
  <si>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</si>
  <si>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</si>
  <si>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</si>
  <si>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</si>
  <si>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</si>
  <si>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</si>
  <si>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</si>
  <si>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</si>
  <si>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</si>
  <si>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</si>
  <si>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</si>
  <si>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</si>
  <si>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</si>
  <si>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</si>
  <si>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</si>
  <si>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</si>
  <si>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</si>
  <si>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</si>
  <si>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</si>
  <si>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</si>
  <si>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</si>
  <si>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</si>
  <si>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</si>
  <si>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</si>
  <si>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</si>
  <si>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</si>
  <si>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</si>
  <si>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</si>
  <si>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</si>
  <si>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</si>
  <si>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</si>
  <si>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</si>
  <si>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</si>
  <si>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</si>
  <si>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</si>
  <si>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</si>
  <si>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</si>
  <si>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</si>
  <si>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</si>
  <si>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</si>
  <si>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</si>
  <si>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</si>
  <si>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</si>
  <si>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</si>
  <si>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</si>
  <si>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</si>
  <si>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</si>
  <si>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</si>
  <si>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</si>
  <si>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</si>
  <si>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</si>
  <si>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</si>
  <si>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</si>
  <si>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</si>
  <si>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</si>
  <si>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</si>
  <si>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</si>
  <si>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</si>
  <si>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</si>
  <si>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</si>
  <si>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</si>
  <si>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</si>
  <si>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</si>
  <si>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</si>
  <si>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</si>
  <si>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</si>
  <si>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</si>
  <si>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</si>
  <si>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</si>
  <si>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</si>
  <si>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</si>
  <si>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</si>
  <si>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</si>
  <si>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</si>
  <si>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</si>
  <si>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</si>
  <si>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</si>
  <si>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</si>
  <si>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</si>
  <si>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</si>
  <si>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</si>
  <si>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</si>
  <si>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</si>
  <si>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</si>
  <si>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</si>
  <si>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</si>
  <si>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</si>
  <si>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</si>
  <si>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</si>
  <si>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</si>
  <si>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</si>
  <si>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</si>
  <si>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</si>
  <si>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</si>
  <si>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</si>
  <si>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</si>
  <si>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</si>
  <si>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</si>
  <si>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</si>
  <si>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</si>
  <si>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</si>
  <si>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</si>
  <si>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</si>
  <si>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</si>
  <si>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</si>
  <si>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</si>
  <si>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</si>
  <si>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</si>
  <si>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</si>
  <si>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</si>
  <si>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</si>
  <si>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</si>
  <si>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</si>
  <si>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</si>
  <si>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</si>
  <si>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</si>
  <si>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</si>
  <si>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</si>
  <si>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</si>
  <si>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</si>
  <si>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</si>
  <si>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</si>
  <si>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</si>
  <si>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</si>
  <si>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</si>
  <si>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</si>
  <si>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</si>
  <si>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</si>
  <si>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</si>
  <si>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</si>
  <si>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</si>
  <si>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</si>
  <si>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</si>
  <si>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</si>
  <si>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</si>
  <si>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</si>
  <si>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</si>
  <si>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</si>
  <si>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</si>
  <si>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</si>
  <si>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</si>
  <si>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</si>
  <si>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</si>
  <si>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</si>
  <si>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</si>
  <si>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</si>
  <si>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</si>
  <si>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</si>
  <si>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</si>
  <si>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</si>
  <si>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</si>
  <si>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</si>
  <si>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</si>
  <si>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</si>
  <si>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</si>
  <si>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</si>
  <si>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</si>
  <si>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</si>
  <si>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</si>
  <si>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</si>
  <si>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</si>
  <si>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</si>
  <si>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</si>
  <si>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</si>
  <si>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</si>
  <si>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</si>
  <si>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</si>
  <si>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</si>
  <si>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</si>
  <si>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</si>
  <si>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</si>
  <si>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</si>
  <si>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</si>
  <si>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</si>
  <si>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</si>
  <si>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</si>
  <si>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</si>
  <si>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</si>
  <si>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</si>
  <si>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</si>
  <si>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</si>
  <si>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</si>
  <si>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</si>
  <si>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</si>
  <si>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</si>
  <si>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</si>
  <si>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</si>
  <si>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</si>
  <si>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</si>
  <si>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</si>
  <si>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</si>
  <si>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</si>
  <si>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</si>
  <si>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</si>
  <si>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</si>
  <si>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</si>
  <si>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</si>
  <si>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</si>
  <si>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</si>
  <si>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</si>
  <si>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</si>
  <si>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</si>
  <si>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</si>
  <si>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</si>
  <si>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</si>
  <si>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</si>
  <si>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</si>
  <si>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</si>
  <si>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</si>
  <si>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</si>
  <si>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</si>
  <si>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</si>
  <si>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</si>
  <si>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</si>
  <si>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</si>
  <si>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</si>
  <si>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</si>
  <si>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</si>
  <si>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</si>
  <si>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</si>
  <si>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</si>
  <si>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</si>
  <si>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</si>
  <si>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</si>
  <si>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</si>
  <si>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</si>
  <si>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</si>
  <si>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</si>
  <si>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</si>
  <si>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</si>
  <si>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</si>
  <si>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</si>
  <si>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</si>
  <si>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</si>
  <si>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</si>
  <si>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</si>
  <si>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</si>
  <si>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</si>
  <si>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</si>
  <si>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</si>
  <si>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</si>
  <si>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</si>
  <si>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</si>
  <si>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</si>
  <si>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</si>
  <si>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</si>
  <si>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</si>
  <si>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</si>
  <si>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</si>
  <si>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</si>
  <si>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</si>
  <si>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</si>
  <si>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</si>
  <si>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</si>
  <si>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</si>
  <si>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</si>
  <si>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</si>
  <si>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</si>
  <si>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</si>
  <si>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</si>
  <si>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</si>
  <si>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</si>
  <si>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</si>
  <si>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</si>
  <si>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</si>
  <si>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</si>
  <si>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</si>
  <si>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</si>
  <si>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</si>
  <si>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</si>
  <si>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</si>
  <si>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</si>
  <si>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</si>
  <si>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</si>
  <si>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</si>
  <si>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</si>
  <si>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</si>
  <si>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</si>
  <si>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</si>
  <si>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</si>
  <si>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</si>
  <si>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</si>
  <si>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</si>
  <si>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</si>
  <si>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</si>
  <si>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</si>
  <si>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</si>
  <si>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</si>
  <si>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</si>
  <si>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</si>
  <si>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</si>
  <si>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</si>
  <si>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</si>
  <si>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</si>
  <si>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</si>
  <si>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</si>
  <si>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</si>
  <si>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</si>
  <si>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</si>
  <si>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</si>
  <si>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</si>
  <si>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</si>
  <si>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</si>
  <si>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</si>
  <si>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</si>
  <si>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</si>
  <si>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</si>
  <si>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</si>
  <si>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</si>
  <si>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</si>
  <si>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</si>
  <si>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</si>
  <si>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</si>
  <si>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</si>
  <si>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</si>
  <si>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</si>
  <si>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</si>
  <si>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</si>
  <si>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</si>
  <si>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</si>
  <si>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</si>
  <si>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</si>
  <si>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</si>
  <si>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</si>
  <si>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</si>
  <si>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</si>
  <si>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</si>
  <si>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</si>
  <si>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</si>
  <si>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</si>
  <si>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</si>
  <si>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</si>
  <si>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</si>
  <si>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</si>
  <si>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</si>
  <si>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</si>
  <si>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</si>
  <si>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</si>
  <si>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</si>
  <si>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</si>
  <si>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</si>
  <si>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</si>
  <si>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</si>
  <si>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</si>
  <si>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</si>
  <si>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</si>
  <si>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</si>
  <si>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</si>
  <si>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</si>
  <si>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</si>
  <si>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</si>
  <si>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</si>
  <si>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</si>
  <si>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</si>
  <si>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</si>
  <si>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</si>
  <si>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</si>
  <si>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</si>
  <si>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</si>
  <si>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</si>
  <si>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</si>
  <si>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</si>
  <si>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</si>
  <si>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</si>
  <si>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</si>
  <si>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</si>
  <si>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</si>
  <si>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</si>
  <si>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</si>
  <si>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</si>
  <si>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</si>
  <si>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</si>
  <si>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</si>
  <si>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</si>
  <si>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</si>
  <si>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</si>
  <si>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</si>
  <si>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</si>
  <si>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</si>
  <si>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</si>
  <si>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</si>
  <si>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</si>
  <si>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</si>
  <si>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</si>
  <si>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</si>
  <si>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</si>
  <si>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</si>
  <si>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</si>
  <si>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</si>
  <si>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</si>
  <si>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</si>
  <si>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</si>
  <si>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</si>
  <si>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</si>
  <si>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</si>
  <si>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</si>
  <si>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</si>
  <si>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</si>
  <si>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</si>
  <si>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</si>
  <si>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</si>
  <si>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</si>
  <si>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</si>
  <si>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</si>
  <si>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</si>
  <si>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</si>
  <si>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</si>
  <si>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</si>
  <si>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</si>
  <si>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</si>
  <si>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</si>
  <si>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</si>
  <si>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</si>
  <si>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</si>
  <si>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</si>
  <si>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</si>
  <si>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</si>
  <si>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</si>
  <si>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</si>
  <si>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</si>
  <si>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</si>
  <si>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</si>
  <si>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</si>
  <si>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</si>
  <si>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</si>
  <si>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</si>
  <si>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</si>
  <si>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</si>
  <si>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</si>
  <si>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</si>
  <si>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</si>
  <si>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</si>
  <si>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</si>
  <si>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</si>
  <si>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</si>
  <si>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</si>
  <si>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</si>
  <si>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</si>
  <si>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</si>
  <si>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</si>
  <si>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</si>
  <si>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</si>
  <si>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</si>
  <si>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</si>
  <si>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</si>
  <si>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</si>
  <si>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</si>
  <si>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</si>
  <si>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</si>
  <si>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</si>
  <si>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</si>
  <si>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</si>
  <si>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</si>
  <si>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</si>
  <si>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</si>
  <si>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</si>
  <si>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</si>
  <si>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</si>
  <si>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</si>
  <si>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</si>
  <si>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</si>
  <si>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</si>
  <si>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</si>
  <si>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</si>
  <si>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</si>
  <si>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</si>
  <si>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</si>
  <si>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</si>
  <si>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</si>
  <si>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</si>
  <si>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</si>
  <si>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</si>
  <si>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</si>
  <si>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</si>
  <si>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</si>
  <si>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</si>
  <si>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</si>
  <si>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</si>
  <si>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</si>
  <si>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</si>
  <si>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</si>
  <si>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</si>
  <si>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</si>
  <si>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</si>
  <si>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</si>
  <si>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</si>
  <si>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</si>
  <si>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</si>
  <si>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</si>
  <si>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</si>
  <si>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</si>
  <si>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</si>
  <si>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</si>
  <si>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</si>
  <si>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</si>
  <si>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</si>
  <si>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</si>
  <si>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</si>
  <si>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</si>
  <si>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</si>
  <si>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</si>
  <si>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</si>
  <si>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</si>
  <si>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</si>
  <si>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</si>
  <si>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</si>
  <si>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</si>
  <si>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</si>
  <si>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</si>
  <si>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</si>
  <si>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</si>
  <si>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</si>
  <si>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</si>
  <si>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</si>
  <si>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</si>
  <si>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</si>
  <si>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</si>
  <si>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</si>
  <si>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</si>
  <si>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</si>
  <si>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</si>
  <si>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</si>
  <si>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</si>
  <si>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</si>
  <si>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</si>
  <si>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</si>
  <si>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</si>
  <si>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</si>
  <si>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</si>
  <si>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</si>
  <si>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</si>
  <si>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</si>
  <si>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</si>
  <si>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</si>
  <si>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</si>
  <si>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</si>
  <si>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</si>
  <si>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</si>
  <si>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</si>
  <si>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</si>
  <si>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</si>
  <si>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</si>
  <si>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</si>
  <si>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</si>
  <si>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</si>
  <si>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</si>
  <si>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</si>
  <si>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</si>
  <si>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</si>
  <si>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</si>
  <si>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</si>
  <si>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</si>
  <si>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</si>
  <si>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</si>
  <si>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</si>
  <si>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</si>
  <si>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</si>
  <si>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</si>
  <si>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</si>
  <si>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</si>
  <si>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</si>
  <si>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</si>
  <si>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</si>
  <si>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</si>
  <si>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</si>
  <si>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</si>
  <si>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</si>
  <si>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</si>
  <si>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</si>
  <si>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</si>
  <si>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</si>
  <si>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</si>
  <si>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</si>
  <si>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</si>
  <si>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</si>
  <si>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</si>
  <si>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</si>
  <si>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</si>
  <si>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</si>
  <si>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</si>
  <si>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</si>
  <si>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</si>
  <si>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</si>
  <si>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</si>
  <si>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</si>
  <si>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</si>
  <si>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</si>
  <si>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</si>
  <si>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</si>
  <si>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</si>
  <si>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</si>
  <si>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</si>
  <si>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</si>
  <si>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</si>
  <si>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</si>
  <si>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</si>
  <si>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</si>
  <si>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</si>
  <si>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</si>
  <si>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</si>
  <si>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</si>
  <si>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</si>
  <si>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</si>
  <si>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</si>
  <si>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</si>
  <si>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</si>
  <si>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</si>
  <si>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</si>
  <si>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</si>
  <si>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</si>
  <si>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</si>
  <si>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</si>
  <si>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</si>
  <si>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</si>
  <si>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</si>
  <si>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</si>
  <si>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</si>
  <si>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</si>
  <si>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</si>
  <si>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</si>
  <si>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</si>
  <si>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</si>
  <si>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</si>
  <si>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</si>
  <si>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</si>
  <si>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</si>
  <si>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</si>
  <si>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</si>
  <si>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</si>
  <si>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</si>
  <si>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</si>
  <si>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</si>
  <si>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</si>
  <si>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</si>
  <si>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</si>
  <si>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</si>
  <si>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</si>
  <si>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</si>
  <si>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</si>
  <si>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</si>
  <si>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</si>
  <si>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</si>
  <si>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</si>
  <si>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</si>
  <si>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</si>
  <si>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</si>
  <si>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</si>
  <si>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</si>
  <si>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</si>
  <si>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</si>
  <si>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</si>
  <si>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</si>
  <si>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</si>
  <si>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</si>
  <si>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</si>
  <si>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</si>
  <si>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</si>
  <si>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</si>
  <si>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</si>
  <si>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</si>
  <si>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</si>
  <si>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</si>
  <si>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</si>
  <si>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</si>
  <si>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</si>
  <si>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</si>
  <si>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</si>
  <si>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</si>
  <si>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</si>
  <si>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</si>
  <si>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</si>
  <si>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</si>
  <si>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</si>
  <si>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</si>
  <si>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</si>
  <si>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</si>
  <si>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</si>
  <si>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</si>
  <si>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</si>
  <si>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</si>
  <si>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</si>
  <si>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</si>
  <si>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</si>
  <si>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</si>
  <si>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</si>
  <si>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</si>
  <si>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</si>
  <si>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</si>
  <si>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</si>
  <si>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</si>
  <si>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</si>
  <si>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</si>
  <si>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</si>
  <si>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</si>
  <si>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</si>
  <si>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</si>
  <si>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</si>
  <si>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</si>
  <si>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</si>
  <si>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</si>
  <si>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</si>
  <si>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</si>
  <si>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</si>
  <si>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</si>
  <si>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</si>
  <si>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</si>
  <si>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</si>
  <si>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</si>
  <si>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</si>
  <si>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</si>
  <si>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</si>
  <si>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</si>
  <si>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</si>
  <si>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</si>
  <si>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</si>
  <si>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</si>
  <si>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</si>
  <si>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</si>
  <si>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</si>
  <si>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</si>
  <si>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</si>
  <si>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</si>
  <si>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</si>
  <si>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</si>
  <si>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</si>
  <si>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</si>
  <si>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</si>
  <si>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</si>
  <si>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</si>
  <si>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</si>
  <si>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</si>
  <si>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</si>
  <si>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</si>
  <si>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</si>
  <si>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</si>
  <si>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</si>
  <si>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</si>
  <si>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</si>
  <si>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</si>
  <si>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</si>
  <si>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</si>
  <si>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</si>
  <si>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</si>
  <si>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</si>
  <si>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</si>
  <si>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</si>
  <si>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</si>
  <si>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</si>
  <si>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</si>
  <si>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</si>
  <si>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</si>
  <si>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</si>
  <si>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</si>
  <si>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</si>
  <si>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</si>
  <si>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</si>
  <si>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</si>
  <si>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</si>
  <si>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</si>
  <si>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</si>
  <si>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</si>
  <si>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</si>
  <si>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</si>
  <si>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</si>
  <si>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</si>
  <si>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</si>
  <si>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</si>
  <si>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</si>
  <si>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</si>
  <si>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</si>
  <si>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</si>
  <si>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</si>
  <si>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</si>
  <si>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</si>
  <si>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</si>
  <si>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</si>
  <si>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</si>
  <si>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</si>
  <si>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</si>
  <si>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</si>
  <si>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</si>
  <si>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</si>
  <si>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</si>
  <si>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</si>
  <si>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</si>
  <si>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</si>
  <si>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</si>
  <si>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</si>
  <si>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</si>
  <si>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</si>
  <si>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</si>
  <si>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</si>
  <si>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</si>
  <si>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</si>
  <si>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</si>
  <si>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</si>
  <si>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</si>
  <si>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</si>
  <si>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</si>
  <si>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</si>
  <si>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</si>
  <si>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</si>
  <si>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</si>
  <si>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</si>
  <si>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</si>
  <si>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</si>
  <si>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</si>
  <si>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</si>
  <si>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</si>
  <si>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</si>
  <si>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</si>
  <si>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</si>
  <si>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</si>
  <si>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</si>
  <si>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</si>
  <si>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</si>
  <si>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</si>
  <si>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</si>
  <si>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</si>
  <si>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</si>
  <si>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</si>
  <si>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</si>
  <si>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</si>
  <si>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</si>
  <si>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</si>
  <si>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</si>
  <si>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</si>
  <si>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</si>
  <si>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</si>
  <si>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</si>
  <si>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</si>
  <si>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</si>
  <si>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</si>
  <si>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</si>
  <si>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</si>
  <si>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</si>
  <si>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</si>
  <si>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</si>
  <si>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</si>
  <si>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</si>
  <si>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</si>
  <si>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</si>
  <si>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</si>
  <si>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</si>
  <si>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</si>
  <si>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</si>
  <si>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</si>
  <si>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</si>
  <si>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</si>
  <si>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</si>
  <si>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</si>
  <si>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</si>
  <si>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</si>
  <si>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</si>
  <si>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</si>
  <si>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</si>
  <si>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</si>
  <si>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</si>
  <si>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</si>
  <si>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</si>
  <si>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</si>
  <si>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</si>
  <si>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</si>
  <si>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</si>
  <si>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</si>
  <si>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</si>
  <si>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</si>
  <si>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</si>
  <si>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</si>
  <si>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</si>
  <si>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</si>
  <si>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</si>
  <si>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</si>
  <si>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</si>
  <si>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</si>
  <si>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</si>
  <si>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</si>
  <si>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</si>
  <si>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</si>
  <si>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</si>
  <si>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</si>
  <si>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</si>
  <si>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</si>
  <si>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</si>
  <si>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</si>
  <si>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</si>
  <si>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</si>
  <si>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</si>
  <si>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</si>
  <si>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</si>
  <si>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</si>
  <si>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</si>
  <si>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</si>
  <si>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</si>
  <si>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</si>
  <si>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</si>
  <si>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</si>
  <si>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</si>
  <si>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</si>
  <si>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</si>
  <si>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</si>
  <si>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</si>
  <si>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</si>
  <si>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</si>
  <si>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</si>
  <si>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</si>
  <si>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</si>
  <si>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</si>
  <si>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</si>
  <si>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</si>
  <si>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</si>
  <si>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</si>
  <si>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</si>
  <si>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</si>
  <si>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</si>
  <si>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</si>
  <si>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</si>
  <si>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</si>
  <si>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</si>
  <si>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</si>
  <si>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</si>
  <si>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</si>
  <si>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</si>
  <si>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</si>
  <si>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</si>
  <si>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</si>
  <si>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</si>
  <si>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</si>
  <si>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</si>
  <si>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</si>
  <si>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</si>
  <si>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</si>
  <si>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</si>
  <si>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</si>
  <si>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</si>
  <si>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</si>
  <si>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</si>
  <si>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</si>
  <si>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</si>
  <si>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</si>
  <si>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</si>
  <si>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</si>
  <si>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</si>
  <si>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</si>
  <si>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</si>
  <si>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</si>
  <si>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</si>
  <si>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</si>
  <si>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</si>
  <si>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</si>
  <si>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</si>
  <si>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</si>
  <si>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</si>
  <si>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</si>
  <si>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</si>
  <si>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</si>
  <si>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</si>
  <si>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</si>
  <si>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</si>
  <si>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</si>
  <si>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</si>
  <si>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</si>
  <si>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</si>
  <si>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</si>
  <si>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</si>
  <si>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</si>
  <si>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</si>
  <si>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</si>
  <si>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</si>
  <si>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</si>
  <si>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</si>
  <si>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</si>
  <si>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</si>
  <si>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</si>
  <si>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</si>
  <si>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</si>
  <si>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</si>
  <si>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</si>
  <si>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</si>
  <si>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</si>
  <si>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</si>
  <si>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</si>
  <si>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</si>
  <si>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</si>
  <si>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</si>
  <si>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</si>
  <si>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</si>
  <si>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</si>
  <si>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</si>
  <si>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</si>
  <si>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</si>
  <si>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</si>
  <si>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</si>
  <si>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</si>
  <si>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</si>
  <si>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</si>
  <si>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</si>
  <si>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</si>
  <si>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</si>
  <si>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</si>
  <si>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</si>
  <si>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</si>
  <si>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</si>
  <si>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</si>
  <si>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</si>
  <si>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</si>
  <si>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</si>
  <si>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</si>
  <si>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</si>
  <si>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</si>
  <si>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</si>
  <si>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</si>
  <si>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</si>
  <si>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</si>
  <si>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</si>
  <si>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</si>
  <si>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</si>
  <si>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</si>
  <si>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</si>
  <si>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</si>
  <si>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</si>
  <si>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</si>
  <si>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</si>
  <si>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</si>
  <si>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</si>
  <si>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</si>
  <si>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</si>
  <si>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</si>
  <si>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</si>
  <si>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</si>
  <si>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</si>
  <si>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</si>
  <si>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</si>
  <si>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</si>
  <si>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</si>
  <si>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</si>
  <si>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</si>
  <si>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</si>
  <si>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</si>
  <si>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</si>
  <si>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</si>
  <si>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</si>
  <si>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</si>
  <si>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</si>
  <si>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</si>
  <si>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</si>
  <si>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</si>
  <si>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</si>
  <si>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</si>
  <si>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</si>
  <si>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</si>
  <si>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</si>
  <si>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</si>
  <si>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</si>
  <si>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</si>
  <si>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</si>
  <si>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</si>
  <si>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</si>
  <si>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</si>
  <si>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</si>
  <si>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</si>
  <si>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</si>
  <si>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</si>
  <si>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</si>
  <si>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</si>
  <si>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</si>
  <si>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</si>
  <si>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</si>
  <si>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</si>
  <si>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</si>
  <si>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</si>
  <si>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</si>
  <si>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</si>
  <si>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</si>
  <si>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</si>
  <si>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</si>
  <si>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</si>
  <si>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</si>
  <si>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</si>
  <si>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</si>
  <si>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</si>
  <si>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</si>
  <si>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</si>
  <si>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</si>
  <si>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</si>
  <si>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</si>
  <si>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</si>
  <si>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</si>
  <si>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</si>
  <si>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</si>
  <si>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</si>
  <si>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</si>
  <si>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</si>
  <si>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</si>
  <si>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</si>
  <si>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</si>
  <si>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</si>
  <si>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</si>
  <si>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</si>
  <si>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</si>
  <si>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</si>
  <si>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</si>
  <si>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</si>
  <si>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</si>
  <si>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</si>
  <si>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</si>
  <si>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</si>
  <si>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</si>
  <si>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</si>
  <si>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</si>
  <si>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</si>
  <si>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</si>
  <si>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</si>
  <si>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</si>
  <si>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</si>
  <si>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</si>
  <si>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</si>
  <si>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</si>
  <si>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</si>
  <si>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</si>
  <si>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</si>
  <si>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</si>
  <si>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</si>
  <si>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</si>
  <si>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</si>
  <si>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</si>
  <si>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</si>
  <si>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</si>
  <si>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</si>
  <si>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</si>
  <si>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</si>
  <si>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</si>
  <si>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</si>
  <si>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</si>
  <si>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</si>
  <si>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</si>
  <si>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</si>
  <si>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</si>
  <si>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</si>
  <si>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</si>
  <si>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</si>
  <si>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</si>
  <si>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</si>
  <si>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</si>
  <si>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</si>
  <si>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</si>
  <si>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</si>
  <si>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</si>
  <si>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</si>
  <si>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</si>
  <si>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</si>
  <si>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</si>
  <si>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</si>
  <si>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</si>
  <si>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</si>
  <si>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</si>
  <si>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</si>
  <si>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</si>
  <si>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</si>
  <si>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</si>
  <si>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</si>
  <si>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</si>
  <si>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</si>
  <si>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</si>
  <si>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</si>
  <si>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</si>
  <si>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</si>
  <si>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</si>
  <si>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</si>
  <si>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</si>
  <si>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</si>
  <si>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</si>
  <si>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</si>
  <si>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</si>
  <si>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</si>
  <si>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</si>
  <si>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</si>
  <si>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</si>
  <si>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</si>
  <si>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</si>
  <si>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</si>
  <si>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</si>
  <si>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</si>
  <si>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</si>
  <si>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</si>
  <si>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</si>
  <si>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</si>
  <si>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</si>
  <si>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</si>
  <si>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</si>
  <si>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</si>
  <si>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</si>
  <si>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</si>
  <si>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</si>
  <si>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</si>
  <si>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</si>
  <si>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</si>
  <si>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</si>
  <si>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</si>
  <si>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</si>
  <si>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</si>
  <si>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</si>
  <si>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</si>
  <si>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</si>
  <si>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</si>
  <si>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</si>
  <si>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</si>
  <si>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</si>
  <si>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</si>
  <si>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</si>
  <si>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</si>
  <si>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</si>
  <si>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</si>
  <si>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</si>
  <si>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</si>
  <si>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</si>
  <si>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</si>
  <si>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</si>
  <si>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</si>
  <si>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</si>
  <si>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</si>
  <si>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</si>
  <si>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</si>
  <si>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</si>
  <si>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</si>
  <si>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</si>
  <si>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</si>
  <si>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</si>
  <si>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</si>
  <si>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</si>
  <si>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</si>
  <si>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</si>
  <si>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</si>
  <si>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</si>
  <si>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</si>
  <si>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</si>
  <si>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</si>
  <si>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</si>
  <si>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</si>
  <si>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</si>
  <si>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</si>
  <si>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</si>
  <si>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</si>
  <si>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</si>
  <si>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</si>
  <si>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</si>
  <si>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</si>
  <si>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</si>
  <si>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</si>
  <si>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</si>
  <si>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</si>
  <si>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</si>
  <si>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</si>
  <si>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</si>
  <si>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</si>
  <si>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</si>
  <si>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</si>
  <si>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</si>
  <si>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</si>
  <si>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</si>
  <si>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</si>
  <si>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</si>
  <si>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</si>
  <si>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</si>
  <si>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</si>
  <si>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</si>
  <si>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</si>
  <si>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</si>
  <si>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</si>
  <si>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</si>
  <si>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</si>
  <si>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</si>
  <si>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</si>
  <si>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</si>
  <si>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</si>
  <si>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</si>
  <si>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</si>
  <si>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</si>
  <si>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</si>
  <si>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</si>
  <si>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</si>
  <si>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</si>
  <si>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</si>
  <si>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</si>
  <si>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</si>
  <si>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</si>
  <si>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</si>
  <si>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</si>
  <si>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</si>
  <si>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</si>
  <si>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</si>
  <si>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</si>
  <si>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</si>
  <si>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</si>
  <si>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</si>
  <si>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</si>
  <si>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</si>
  <si>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</si>
  <si>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</si>
  <si>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</si>
  <si>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</si>
  <si>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</si>
  <si>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</si>
  <si>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</si>
  <si>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</si>
  <si>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</si>
  <si>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</si>
  <si>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</si>
  <si>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</si>
  <si>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</si>
  <si>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</si>
  <si>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</si>
  <si>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</si>
  <si>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</si>
  <si>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</si>
  <si>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</si>
  <si>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</si>
  <si>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</si>
  <si>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</si>
  <si>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</si>
  <si>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</si>
  <si>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</si>
  <si>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</si>
  <si>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</si>
  <si>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</si>
  <si>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</si>
  <si>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</si>
  <si>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</si>
  <si>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</si>
  <si>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</si>
  <si>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</si>
  <si>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</si>
  <si>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</si>
  <si>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</si>
  <si>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</si>
  <si>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</si>
  <si>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</si>
  <si>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</si>
  <si>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</si>
  <si>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</si>
  <si>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</si>
  <si>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</si>
  <si>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</si>
  <si>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</si>
  <si>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</si>
  <si>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</si>
  <si>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</si>
  <si>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</si>
  <si>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</si>
  <si>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</si>
  <si>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</si>
  <si>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</si>
  <si>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</si>
  <si>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</si>
  <si>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</si>
  <si>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</si>
  <si>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</si>
  <si>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</si>
  <si>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</si>
  <si>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</si>
  <si>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</si>
  <si>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</si>
  <si>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</si>
  <si>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</si>
  <si>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</si>
  <si>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</si>
  <si>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</si>
  <si>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</si>
  <si>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</si>
  <si>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</si>
  <si>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</si>
  <si>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</si>
  <si>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</si>
  <si>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</si>
  <si>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</si>
  <si>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</si>
  <si>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</si>
  <si>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</si>
  <si>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</si>
  <si>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</si>
  <si>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</si>
  <si>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</si>
  <si>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</si>
  <si>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</si>
  <si>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</si>
  <si>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</si>
  <si>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</si>
  <si>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</si>
  <si>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</si>
  <si>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</si>
  <si>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</si>
  <si>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</si>
  <si>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</si>
  <si>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</si>
  <si>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</si>
  <si>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</si>
  <si>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</si>
  <si>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</si>
  <si>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</si>
  <si>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</si>
  <si>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</si>
  <si>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</si>
  <si>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</si>
  <si>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</si>
  <si>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</si>
  <si>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</si>
  <si>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</si>
  <si>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</si>
  <si>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</si>
  <si>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</si>
  <si>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</si>
  <si>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</si>
  <si>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</si>
  <si>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</si>
  <si>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</si>
  <si>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</si>
  <si>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</si>
  <si>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</si>
  <si>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</si>
  <si>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</si>
  <si>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</si>
  <si>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</si>
  <si>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</si>
  <si>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</si>
  <si>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</si>
  <si>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</si>
  <si>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2023-4</t>
  </si>
  <si>
    <t>2023-3</t>
  </si>
  <si>
    <t>2022-4</t>
    <phoneticPr fontId="4" type="noConversion"/>
  </si>
  <si>
    <t>2023-2</t>
    <phoneticPr fontId="4" type="noConversion"/>
  </si>
  <si>
    <t>2023-1</t>
    <phoneticPr fontId="4" type="noConversion"/>
  </si>
  <si>
    <t>2023-2</t>
    <phoneticPr fontId="4" type="noConversion"/>
  </si>
  <si>
    <t>抵押</t>
  </si>
  <si>
    <t>房地产抵押价值</t>
  </si>
  <si>
    <t>北京市</t>
  </si>
  <si>
    <t>企业</t>
  </si>
  <si>
    <t>是</t>
  </si>
  <si>
    <t>地上</t>
  </si>
  <si>
    <t>地下</t>
  </si>
  <si>
    <t>华辰公寓抵押物清单</t>
  </si>
  <si>
    <t>基准地价</t>
    <phoneticPr fontId="135" type="noConversion"/>
  </si>
  <si>
    <t>2层</t>
    <phoneticPr fontId="135" type="noConversion"/>
  </si>
  <si>
    <t>车位</t>
    <phoneticPr fontId="135" type="noConversion"/>
  </si>
  <si>
    <t>楼层</t>
  </si>
  <si>
    <t>部位及房号</t>
  </si>
  <si>
    <t>建筑面积（平方米）</t>
  </si>
  <si>
    <t>土地使用面积（平方米）</t>
  </si>
  <si>
    <t>规划用途</t>
  </si>
  <si>
    <t>总值</t>
    <phoneticPr fontId="135" type="noConversion"/>
  </si>
  <si>
    <t>单价</t>
    <phoneticPr fontId="135" type="noConversion"/>
  </si>
  <si>
    <t>土地</t>
    <phoneticPr fontId="135" type="noConversion"/>
  </si>
  <si>
    <t>建筑物</t>
    <phoneticPr fontId="135" type="noConversion"/>
  </si>
  <si>
    <t>1层</t>
    <phoneticPr fontId="135" type="noConversion"/>
  </si>
  <si>
    <t>车位</t>
    <phoneticPr fontId="135" type="noConversion"/>
  </si>
  <si>
    <t>4号楼</t>
  </si>
  <si>
    <t>-1层</t>
  </si>
  <si>
    <t>-1-10</t>
  </si>
  <si>
    <t>负1层</t>
    <phoneticPr fontId="135" type="noConversion"/>
  </si>
  <si>
    <t>1层</t>
  </si>
  <si>
    <t>1-1</t>
  </si>
  <si>
    <t>商业</t>
    <phoneticPr fontId="135" type="noConversion"/>
  </si>
  <si>
    <t>车位</t>
    <phoneticPr fontId="135" type="noConversion"/>
  </si>
  <si>
    <t>1-2</t>
  </si>
  <si>
    <t>自行车库</t>
    <phoneticPr fontId="135" type="noConversion"/>
  </si>
  <si>
    <t>车位</t>
    <phoneticPr fontId="135" type="noConversion"/>
  </si>
  <si>
    <t>2层</t>
  </si>
  <si>
    <t>2-1</t>
  </si>
  <si>
    <t>备用间</t>
    <phoneticPr fontId="135" type="noConversion"/>
  </si>
  <si>
    <t>车位</t>
    <phoneticPr fontId="135" type="noConversion"/>
  </si>
  <si>
    <t>2-2</t>
  </si>
  <si>
    <t>负2层</t>
    <phoneticPr fontId="135" type="noConversion"/>
  </si>
  <si>
    <t>车位</t>
    <phoneticPr fontId="135" type="noConversion"/>
  </si>
  <si>
    <t>-2层</t>
  </si>
  <si>
    <t>车位</t>
  </si>
  <si>
    <t>车位</t>
    <phoneticPr fontId="135" type="noConversion"/>
  </si>
  <si>
    <t>-3层</t>
  </si>
  <si>
    <t>备用间</t>
    <phoneticPr fontId="135" type="noConversion"/>
  </si>
  <si>
    <t>车位</t>
    <phoneticPr fontId="135" type="noConversion"/>
  </si>
  <si>
    <t>-4层</t>
  </si>
  <si>
    <t>负3层</t>
    <phoneticPr fontId="135" type="noConversion"/>
  </si>
  <si>
    <t>车位</t>
    <phoneticPr fontId="135" type="noConversion"/>
  </si>
  <si>
    <t>合计</t>
  </si>
  <si>
    <t>注：-1至2层商业建筑面积13463.41平方米,-4至-2车位建筑面积10112.9平方米，共计车位164个</t>
    <phoneticPr fontId="135" type="noConversion"/>
  </si>
  <si>
    <t>备用间</t>
    <phoneticPr fontId="135" type="noConversion"/>
  </si>
  <si>
    <t>负4层</t>
    <phoneticPr fontId="135" type="noConversion"/>
  </si>
  <si>
    <t>车库合计</t>
    <phoneticPr fontId="135" type="noConversion"/>
  </si>
  <si>
    <t>商业合计</t>
    <phoneticPr fontId="135" type="noConversion"/>
  </si>
  <si>
    <t>单价</t>
    <phoneticPr fontId="135" type="noConversion"/>
  </si>
  <si>
    <t>总价</t>
    <phoneticPr fontId="135" type="noConversion"/>
  </si>
  <si>
    <t>1层</t>
    <phoneticPr fontId="135" type="noConversion"/>
  </si>
  <si>
    <t>2层</t>
    <phoneticPr fontId="135" type="noConversion"/>
  </si>
  <si>
    <t>负1层</t>
    <phoneticPr fontId="135" type="noConversion"/>
  </si>
  <si>
    <t>负2层</t>
  </si>
  <si>
    <t>负3层</t>
  </si>
  <si>
    <t>车位</t>
    <phoneticPr fontId="135" type="noConversion"/>
  </si>
  <si>
    <t>负4层</t>
  </si>
  <si>
    <t>-4-1</t>
    <phoneticPr fontId="135" type="noConversion"/>
  </si>
  <si>
    <r>
      <t>-4-2</t>
    </r>
    <r>
      <rPr>
        <sz val="11"/>
        <color theme="1"/>
        <rFont val="宋体"/>
        <family val="2"/>
        <charset val="134"/>
        <scheme val="minor"/>
      </rPr>
      <t/>
    </r>
  </si>
  <si>
    <r>
      <t>-4-3</t>
    </r>
    <r>
      <rPr>
        <sz val="11"/>
        <color theme="1"/>
        <rFont val="宋体"/>
        <family val="2"/>
        <charset val="134"/>
        <scheme val="minor"/>
      </rPr>
      <t/>
    </r>
  </si>
  <si>
    <r>
      <t>-4-4</t>
    </r>
    <r>
      <rPr>
        <sz val="11"/>
        <color theme="1"/>
        <rFont val="宋体"/>
        <family val="2"/>
        <charset val="134"/>
        <scheme val="minor"/>
      </rPr>
      <t/>
    </r>
  </si>
  <si>
    <r>
      <t>-4-5</t>
    </r>
    <r>
      <rPr>
        <sz val="11"/>
        <color theme="1"/>
        <rFont val="宋体"/>
        <family val="2"/>
        <charset val="134"/>
        <scheme val="minor"/>
      </rPr>
      <t/>
    </r>
  </si>
  <si>
    <r>
      <t>-4-6</t>
    </r>
    <r>
      <rPr>
        <sz val="11"/>
        <color theme="1"/>
        <rFont val="宋体"/>
        <family val="2"/>
        <charset val="134"/>
        <scheme val="minor"/>
      </rPr>
      <t/>
    </r>
  </si>
  <si>
    <r>
      <t>-4-7</t>
    </r>
    <r>
      <rPr>
        <sz val="11"/>
        <color theme="1"/>
        <rFont val="宋体"/>
        <family val="2"/>
        <charset val="134"/>
        <scheme val="minor"/>
      </rPr>
      <t/>
    </r>
  </si>
  <si>
    <r>
      <t>-4-8</t>
    </r>
    <r>
      <rPr>
        <sz val="11"/>
        <color theme="1"/>
        <rFont val="宋体"/>
        <family val="2"/>
        <charset val="134"/>
        <scheme val="minor"/>
      </rPr>
      <t/>
    </r>
  </si>
  <si>
    <t>-3-1</t>
    <phoneticPr fontId="135" type="noConversion"/>
  </si>
  <si>
    <r>
      <t>-3-2</t>
    </r>
    <r>
      <rPr>
        <sz val="11"/>
        <color theme="1"/>
        <rFont val="宋体"/>
        <family val="2"/>
        <charset val="134"/>
        <scheme val="minor"/>
      </rPr>
      <t/>
    </r>
  </si>
  <si>
    <r>
      <t>-3-3</t>
    </r>
    <r>
      <rPr>
        <sz val="11"/>
        <color theme="1"/>
        <rFont val="宋体"/>
        <family val="2"/>
        <charset val="134"/>
        <scheme val="minor"/>
      </rPr>
      <t/>
    </r>
  </si>
  <si>
    <r>
      <t>-3-4</t>
    </r>
    <r>
      <rPr>
        <sz val="11"/>
        <color theme="1"/>
        <rFont val="宋体"/>
        <family val="2"/>
        <charset val="134"/>
        <scheme val="minor"/>
      </rPr>
      <t/>
    </r>
  </si>
  <si>
    <r>
      <t>-3-5</t>
    </r>
    <r>
      <rPr>
        <sz val="11"/>
        <color theme="1"/>
        <rFont val="宋体"/>
        <family val="2"/>
        <charset val="134"/>
        <scheme val="minor"/>
      </rPr>
      <t/>
    </r>
  </si>
  <si>
    <r>
      <t>-3-6</t>
    </r>
    <r>
      <rPr>
        <sz val="11"/>
        <color theme="1"/>
        <rFont val="宋体"/>
        <family val="2"/>
        <charset val="134"/>
        <scheme val="minor"/>
      </rPr>
      <t/>
    </r>
  </si>
  <si>
    <r>
      <t>-3-7</t>
    </r>
    <r>
      <rPr>
        <sz val="11"/>
        <color theme="1"/>
        <rFont val="宋体"/>
        <family val="2"/>
        <charset val="134"/>
        <scheme val="minor"/>
      </rPr>
      <t/>
    </r>
  </si>
  <si>
    <r>
      <t>-3-8</t>
    </r>
    <r>
      <rPr>
        <sz val="11"/>
        <color theme="1"/>
        <rFont val="宋体"/>
        <family val="2"/>
        <charset val="134"/>
        <scheme val="minor"/>
      </rPr>
      <t/>
    </r>
  </si>
  <si>
    <r>
      <t>-3-9</t>
    </r>
    <r>
      <rPr>
        <sz val="11"/>
        <color theme="1"/>
        <rFont val="宋体"/>
        <family val="2"/>
        <charset val="134"/>
        <scheme val="minor"/>
      </rPr>
      <t/>
    </r>
  </si>
  <si>
    <r>
      <t>-3-10</t>
    </r>
    <r>
      <rPr>
        <sz val="11"/>
        <color theme="1"/>
        <rFont val="宋体"/>
        <family val="2"/>
        <charset val="134"/>
        <scheme val="minor"/>
      </rPr>
      <t/>
    </r>
  </si>
  <si>
    <t>备用间</t>
    <phoneticPr fontId="135" type="noConversion"/>
  </si>
  <si>
    <r>
      <t>-3-11</t>
    </r>
    <r>
      <rPr>
        <sz val="11"/>
        <color theme="1"/>
        <rFont val="宋体"/>
        <family val="2"/>
        <charset val="134"/>
        <scheme val="minor"/>
      </rPr>
      <t/>
    </r>
  </si>
  <si>
    <r>
      <t>-3-12</t>
    </r>
    <r>
      <rPr>
        <sz val="11"/>
        <color theme="1"/>
        <rFont val="宋体"/>
        <family val="2"/>
        <charset val="134"/>
        <scheme val="minor"/>
      </rPr>
      <t/>
    </r>
  </si>
  <si>
    <r>
      <t>-3-13</t>
    </r>
    <r>
      <rPr>
        <sz val="11"/>
        <color theme="1"/>
        <rFont val="宋体"/>
        <family val="2"/>
        <charset val="134"/>
        <scheme val="minor"/>
      </rPr>
      <t/>
    </r>
  </si>
  <si>
    <r>
      <t>-3-14</t>
    </r>
    <r>
      <rPr>
        <sz val="11"/>
        <color theme="1"/>
        <rFont val="宋体"/>
        <family val="2"/>
        <charset val="134"/>
        <scheme val="minor"/>
      </rPr>
      <t/>
    </r>
  </si>
  <si>
    <r>
      <t>-3-15</t>
    </r>
    <r>
      <rPr>
        <sz val="11"/>
        <color theme="1"/>
        <rFont val="宋体"/>
        <family val="2"/>
        <charset val="134"/>
        <scheme val="minor"/>
      </rPr>
      <t/>
    </r>
  </si>
  <si>
    <r>
      <t>-3-16</t>
    </r>
    <r>
      <rPr>
        <sz val="11"/>
        <color theme="1"/>
        <rFont val="宋体"/>
        <family val="2"/>
        <charset val="134"/>
        <scheme val="minor"/>
      </rPr>
      <t/>
    </r>
  </si>
  <si>
    <r>
      <t>-3-17</t>
    </r>
    <r>
      <rPr>
        <sz val="11"/>
        <color theme="1"/>
        <rFont val="宋体"/>
        <family val="2"/>
        <charset val="134"/>
        <scheme val="minor"/>
      </rPr>
      <t/>
    </r>
  </si>
  <si>
    <r>
      <t>-3-18</t>
    </r>
    <r>
      <rPr>
        <sz val="11"/>
        <color theme="1"/>
        <rFont val="宋体"/>
        <family val="2"/>
        <charset val="134"/>
        <scheme val="minor"/>
      </rPr>
      <t/>
    </r>
  </si>
  <si>
    <r>
      <t>-3-19</t>
    </r>
    <r>
      <rPr>
        <sz val="11"/>
        <color theme="1"/>
        <rFont val="宋体"/>
        <family val="2"/>
        <charset val="134"/>
        <scheme val="minor"/>
      </rPr>
      <t/>
    </r>
  </si>
  <si>
    <r>
      <t>-3-20</t>
    </r>
    <r>
      <rPr>
        <sz val="11"/>
        <color theme="1"/>
        <rFont val="宋体"/>
        <family val="2"/>
        <charset val="134"/>
        <scheme val="minor"/>
      </rPr>
      <t/>
    </r>
  </si>
  <si>
    <r>
      <t>-3-21</t>
    </r>
    <r>
      <rPr>
        <sz val="11"/>
        <color theme="1"/>
        <rFont val="宋体"/>
        <family val="2"/>
        <charset val="134"/>
        <scheme val="minor"/>
      </rPr>
      <t/>
    </r>
  </si>
  <si>
    <t>-2-1</t>
    <phoneticPr fontId="135" type="noConversion"/>
  </si>
  <si>
    <r>
      <t>-2-2</t>
    </r>
    <r>
      <rPr>
        <sz val="11"/>
        <color theme="1"/>
        <rFont val="宋体"/>
        <family val="2"/>
        <charset val="134"/>
        <scheme val="minor"/>
      </rPr>
      <t/>
    </r>
  </si>
  <si>
    <r>
      <t>-2-3</t>
    </r>
    <r>
      <rPr>
        <sz val="11"/>
        <color theme="1"/>
        <rFont val="宋体"/>
        <family val="2"/>
        <charset val="134"/>
        <scheme val="minor"/>
      </rPr>
      <t/>
    </r>
  </si>
  <si>
    <r>
      <t>-2-4</t>
    </r>
    <r>
      <rPr>
        <sz val="11"/>
        <color theme="1"/>
        <rFont val="宋体"/>
        <family val="2"/>
        <charset val="134"/>
        <scheme val="minor"/>
      </rPr>
      <t/>
    </r>
  </si>
  <si>
    <r>
      <t>-2-5</t>
    </r>
    <r>
      <rPr>
        <sz val="11"/>
        <color theme="1"/>
        <rFont val="宋体"/>
        <family val="2"/>
        <charset val="134"/>
        <scheme val="minor"/>
      </rPr>
      <t/>
    </r>
  </si>
  <si>
    <r>
      <t>-2-6</t>
    </r>
    <r>
      <rPr>
        <sz val="11"/>
        <color theme="1"/>
        <rFont val="宋体"/>
        <family val="2"/>
        <charset val="134"/>
        <scheme val="minor"/>
      </rPr>
      <t/>
    </r>
  </si>
  <si>
    <r>
      <t>-2-7</t>
    </r>
    <r>
      <rPr>
        <sz val="11"/>
        <color theme="1"/>
        <rFont val="宋体"/>
        <family val="2"/>
        <charset val="134"/>
        <scheme val="minor"/>
      </rPr>
      <t/>
    </r>
  </si>
  <si>
    <r>
      <t>-2-8</t>
    </r>
    <r>
      <rPr>
        <sz val="11"/>
        <color theme="1"/>
        <rFont val="宋体"/>
        <family val="2"/>
        <charset val="134"/>
        <scheme val="minor"/>
      </rPr>
      <t/>
    </r>
  </si>
  <si>
    <r>
      <t>-2-9</t>
    </r>
    <r>
      <rPr>
        <sz val="11"/>
        <color theme="1"/>
        <rFont val="宋体"/>
        <family val="2"/>
        <charset val="134"/>
        <scheme val="minor"/>
      </rPr>
      <t/>
    </r>
  </si>
  <si>
    <r>
      <t>-2-10</t>
    </r>
    <r>
      <rPr>
        <sz val="11"/>
        <color theme="1"/>
        <rFont val="宋体"/>
        <family val="2"/>
        <charset val="134"/>
        <scheme val="minor"/>
      </rPr>
      <t/>
    </r>
  </si>
  <si>
    <r>
      <t>-2-11</t>
    </r>
    <r>
      <rPr>
        <sz val="11"/>
        <color theme="1"/>
        <rFont val="宋体"/>
        <family val="2"/>
        <charset val="134"/>
        <scheme val="minor"/>
      </rPr>
      <t/>
    </r>
  </si>
  <si>
    <r>
      <t>-2-12</t>
    </r>
    <r>
      <rPr>
        <sz val="11"/>
        <color theme="1"/>
        <rFont val="宋体"/>
        <family val="2"/>
        <charset val="134"/>
        <scheme val="minor"/>
      </rPr>
      <t/>
    </r>
  </si>
  <si>
    <r>
      <t>-2-13</t>
    </r>
    <r>
      <rPr>
        <sz val="11"/>
        <color theme="1"/>
        <rFont val="宋体"/>
        <family val="2"/>
        <charset val="134"/>
        <scheme val="minor"/>
      </rPr>
      <t/>
    </r>
  </si>
  <si>
    <r>
      <t>-2-14</t>
    </r>
    <r>
      <rPr>
        <sz val="11"/>
        <color theme="1"/>
        <rFont val="宋体"/>
        <family val="2"/>
        <charset val="134"/>
        <scheme val="minor"/>
      </rPr>
      <t/>
    </r>
  </si>
  <si>
    <r>
      <t>-2-15</t>
    </r>
    <r>
      <rPr>
        <sz val="11"/>
        <color theme="1"/>
        <rFont val="宋体"/>
        <family val="2"/>
        <charset val="134"/>
        <scheme val="minor"/>
      </rPr>
      <t/>
    </r>
  </si>
  <si>
    <r>
      <t>-2-16</t>
    </r>
    <r>
      <rPr>
        <sz val="11"/>
        <color theme="1"/>
        <rFont val="宋体"/>
        <family val="2"/>
        <charset val="134"/>
        <scheme val="minor"/>
      </rPr>
      <t/>
    </r>
  </si>
  <si>
    <r>
      <t>-2-17</t>
    </r>
    <r>
      <rPr>
        <sz val="11"/>
        <color theme="1"/>
        <rFont val="宋体"/>
        <family val="2"/>
        <charset val="134"/>
        <scheme val="minor"/>
      </rPr>
      <t/>
    </r>
  </si>
  <si>
    <r>
      <t>-2-18</t>
    </r>
    <r>
      <rPr>
        <sz val="11"/>
        <color theme="1"/>
        <rFont val="宋体"/>
        <family val="2"/>
        <charset val="134"/>
        <scheme val="minor"/>
      </rPr>
      <t/>
    </r>
  </si>
  <si>
    <r>
      <t>-2-19</t>
    </r>
    <r>
      <rPr>
        <sz val="11"/>
        <color theme="1"/>
        <rFont val="宋体"/>
        <family val="2"/>
        <charset val="134"/>
        <scheme val="minor"/>
      </rPr>
      <t/>
    </r>
  </si>
  <si>
    <t>不临65条商业街</t>
  </si>
  <si>
    <t>与级别开发程度一致</t>
  </si>
  <si>
    <t>楼层修正</t>
  </si>
  <si>
    <t>较好</t>
  </si>
  <si>
    <t>一般</t>
  </si>
  <si>
    <t>好</t>
  </si>
  <si>
    <t>崔锴</t>
  </si>
  <si>
    <t>郑燚</t>
  </si>
  <si>
    <t>亚奥观典</t>
  </si>
  <si>
    <t>亚奥观典</t>
    <phoneticPr fontId="8" type="noConversion"/>
  </si>
  <si>
    <t>成新度</t>
  </si>
  <si>
    <t>收益法</t>
  </si>
  <si>
    <t>车库</t>
    <phoneticPr fontId="4" type="noConversion"/>
  </si>
  <si>
    <t>押一</t>
  </si>
  <si>
    <t>钢混</t>
  </si>
  <si>
    <t>非生产用房</t>
  </si>
  <si>
    <t>否</t>
  </si>
  <si>
    <t>成本法</t>
  </si>
  <si>
    <t>未包含在土地购买价格中</t>
  </si>
  <si>
    <t>全部缴纳</t>
  </si>
  <si>
    <t>已包含在土地取得成本中</t>
  </si>
  <si>
    <t>商铺租赁明细</t>
  </si>
  <si>
    <t>序号</t>
  </si>
  <si>
    <t>经营类别</t>
  </si>
  <si>
    <t>商铺地址</t>
  </si>
  <si>
    <t>面积
（平方米）</t>
  </si>
  <si>
    <t>年租金</t>
  </si>
  <si>
    <t>单价</t>
  </si>
  <si>
    <t>递增方式</t>
  </si>
  <si>
    <t>现单价（2023.9）</t>
  </si>
  <si>
    <t>现年租金（2023.9）</t>
  </si>
  <si>
    <t>教育培训</t>
  </si>
  <si>
    <t>二层F2-205-2号</t>
  </si>
  <si>
    <t>每两年递增8%</t>
  </si>
  <si>
    <t>二层F2-205-1号</t>
  </si>
  <si>
    <t>二层F2-006号</t>
  </si>
  <si>
    <t>二层F2-007号</t>
  </si>
  <si>
    <t>二层F2-023号</t>
  </si>
  <si>
    <t>书法美术</t>
  </si>
  <si>
    <t>二层F2-022号</t>
  </si>
  <si>
    <t>美容美体</t>
  </si>
  <si>
    <t>二层F2-001号</t>
  </si>
  <si>
    <t>二层F2-013号</t>
  </si>
  <si>
    <t>每2年递增6%</t>
  </si>
  <si>
    <t>练字派</t>
  </si>
  <si>
    <t>二层F2-014号</t>
  </si>
  <si>
    <t>钢琴培训</t>
  </si>
  <si>
    <t>二层F2-015号</t>
  </si>
  <si>
    <t>二层F2-017号</t>
  </si>
  <si>
    <t>二层F2-018号</t>
  </si>
  <si>
    <t>二层F2-020号</t>
  </si>
  <si>
    <t>音乐培训</t>
  </si>
  <si>
    <t>二层F2-008号</t>
  </si>
  <si>
    <t>小码王编程</t>
  </si>
  <si>
    <t>F2-016</t>
  </si>
  <si>
    <t>二层F2-059号</t>
  </si>
  <si>
    <t>茶叶、茶具</t>
  </si>
  <si>
    <t>一层F1-4号</t>
  </si>
  <si>
    <t>受疫情影响</t>
  </si>
  <si>
    <t>一层F1-5号</t>
  </si>
  <si>
    <t>一层F1-6号</t>
  </si>
  <si>
    <t>一层F1-8号</t>
  </si>
  <si>
    <t>一层F1-2、F1-3号</t>
  </si>
  <si>
    <t>一层F1-1号</t>
  </si>
  <si>
    <t>一层F1-9号</t>
  </si>
  <si>
    <t>一层F1-10号</t>
  </si>
  <si>
    <t>一层F1-11号</t>
  </si>
  <si>
    <t>一层F1-12号</t>
  </si>
  <si>
    <t>一层F1-13号</t>
  </si>
  <si>
    <t>一层F1-14号</t>
  </si>
  <si>
    <t>一层F1-18-1号</t>
  </si>
  <si>
    <t>一层F1-17号</t>
  </si>
  <si>
    <t>一层F1-16-2号</t>
  </si>
  <si>
    <t>一层F1-16-1号</t>
  </si>
  <si>
    <t>一层F1-19号</t>
  </si>
  <si>
    <t>一层F1-20号</t>
  </si>
  <si>
    <t>一层F1-27号</t>
  </si>
  <si>
    <t>一层F1-21号</t>
  </si>
  <si>
    <t>一层F1-22号</t>
  </si>
  <si>
    <t>一层F1-23号</t>
  </si>
  <si>
    <t>一层F1-24号</t>
  </si>
  <si>
    <t>一层F1-25号</t>
  </si>
  <si>
    <t>一层F1-26号</t>
  </si>
  <si>
    <t>一层F1-28号</t>
  </si>
  <si>
    <t>一层F1-29号</t>
  </si>
  <si>
    <t>一层F1-30号</t>
  </si>
  <si>
    <t>一层F1-31号</t>
  </si>
  <si>
    <t>一层F1-32号</t>
  </si>
  <si>
    <t>茶叶、茶具、珠宝</t>
  </si>
  <si>
    <t>一层F1-33</t>
  </si>
  <si>
    <t>茶叶、茶具、手工饰品</t>
  </si>
  <si>
    <t>一层F1-34</t>
  </si>
  <si>
    <t>一层F1-35</t>
  </si>
  <si>
    <t>一层F1-36</t>
  </si>
  <si>
    <t>茶叶、茶具、高端红酒</t>
  </si>
  <si>
    <t>一层F1-37</t>
  </si>
  <si>
    <t>一层F1-39</t>
  </si>
  <si>
    <t>一层F1-40</t>
  </si>
  <si>
    <t>一层F1-41</t>
  </si>
  <si>
    <t>一层F1-42</t>
  </si>
  <si>
    <t>福利彩票</t>
  </si>
  <si>
    <t>一层北门门口</t>
  </si>
  <si>
    <t>一层F1-46号</t>
  </si>
  <si>
    <t>药店</t>
  </si>
  <si>
    <t>一层一号门店</t>
  </si>
  <si>
    <t>美容、按摩</t>
  </si>
  <si>
    <t>一层六号门店</t>
  </si>
  <si>
    <t>无</t>
  </si>
  <si>
    <t>便利店</t>
  </si>
  <si>
    <t>一层二号门店</t>
  </si>
  <si>
    <t>第八年-第九年758160/年</t>
  </si>
  <si>
    <t>倪尔曼女装</t>
  </si>
  <si>
    <t>一层七号-2门店</t>
  </si>
  <si>
    <t>烟酒</t>
  </si>
  <si>
    <t>一层三号门店</t>
  </si>
  <si>
    <t>哥弟阿诗玛</t>
  </si>
  <si>
    <t>一层东侧门店</t>
  </si>
  <si>
    <t>袁平女装</t>
  </si>
  <si>
    <t>F1-004</t>
  </si>
  <si>
    <t>可蕊姿服装</t>
  </si>
  <si>
    <t>一层6号门店</t>
  </si>
  <si>
    <t>黛英服装店</t>
  </si>
  <si>
    <t>一层7-1号</t>
  </si>
  <si>
    <t>天玛时女装</t>
  </si>
  <si>
    <t>F1-008</t>
  </si>
  <si>
    <t>每三年递增8%</t>
  </si>
  <si>
    <t>礼品、食品</t>
  </si>
  <si>
    <t>一层指定位置</t>
  </si>
  <si>
    <t>美发</t>
  </si>
  <si>
    <t>F1-10</t>
  </si>
  <si>
    <t>洗衣店</t>
  </si>
  <si>
    <t>F1-11</t>
  </si>
  <si>
    <t>超市</t>
  </si>
  <si>
    <t>地下一层</t>
  </si>
  <si>
    <t>每两年递增5%</t>
  </si>
  <si>
    <t>档口/五金等</t>
  </si>
  <si>
    <t>总价</t>
  </si>
  <si>
    <t>成本比率</t>
  </si>
  <si>
    <t>情况3</t>
  </si>
  <si>
    <t>正常</t>
  </si>
  <si>
    <t>自行开发建设</t>
  </si>
  <si>
    <t>非个人房产</t>
  </si>
  <si>
    <t>出让金+开发费</t>
  </si>
  <si>
    <t>企业提供（在右侧录入）</t>
  </si>
  <si>
    <t>地下车库</t>
  </si>
  <si>
    <t>地下车库</t>
    <phoneticPr fontId="8" type="noConversion"/>
  </si>
  <si>
    <t>收益法车库</t>
  </si>
  <si>
    <t>收益法车库</t>
    <phoneticPr fontId="17" type="noConversion"/>
  </si>
  <si>
    <t>收益法（汇总）</t>
  </si>
  <si>
    <t>宗地容积率</t>
  </si>
  <si>
    <t>商务金融用地</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</si>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</sst>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_ * #,##0.000_ ;_ * \-#,##0.000_ ;_ * &quot;-&quot;??.0_ ;_ @_ "/>
  </numFmts>
  <fonts count="27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宋体"/>
      <family val="3"/>
      <charset val="134"/>
      <scheme val="minor"/>
    </font>
    <font>
      <b/>
      <sz val="9"/>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FFC000"/>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86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5" xfId="0" applyFont="1" applyFill="1" applyBorder="1" applyAlignment="1" applyProtection="1">
      <alignment vertical="center" wrapText="1"/>
    </xf>
    <xf numFmtId="0" fontId="108" fillId="0" borderId="0" xfId="10" applyFont="1" applyAlignment="1">
      <alignment horizontal="right" vertical="center"/>
    </xf>
    <xf numFmtId="0" fontId="108" fillId="13" borderId="1" xfId="10" applyFont="1" applyFill="1" applyBorder="1" applyAlignment="1">
      <alignment horizontal="right" vertical="center"/>
    </xf>
    <xf numFmtId="0" fontId="108" fillId="8" borderId="0" xfId="10" applyFont="1" applyFill="1" applyAlignment="1">
      <alignment horizontal="right" vertical="center"/>
    </xf>
    <xf numFmtId="0" fontId="108" fillId="0" borderId="1" xfId="10" applyFont="1" applyBorder="1" applyAlignment="1">
      <alignment horizontal="center" vertical="center"/>
    </xf>
    <xf numFmtId="0" fontId="108" fillId="0" borderId="1" xfId="10" applyFont="1" applyFill="1" applyBorder="1" applyAlignment="1">
      <alignment horizontal="center" vertical="center"/>
    </xf>
    <xf numFmtId="0" fontId="108" fillId="15" borderId="1" xfId="10" applyFont="1" applyFill="1" applyBorder="1" applyAlignment="1">
      <alignment horizontal="right" vertical="center"/>
    </xf>
    <xf numFmtId="49" fontId="108" fillId="0" borderId="1" xfId="10" applyNumberFormat="1" applyFont="1" applyBorder="1" applyAlignment="1">
      <alignment horizontal="center" vertical="center"/>
    </xf>
    <xf numFmtId="0" fontId="108" fillId="22" borderId="1" xfId="10" applyFont="1" applyFill="1" applyBorder="1" applyAlignment="1">
      <alignment horizontal="center" vertical="center"/>
    </xf>
    <xf numFmtId="179" fontId="108" fillId="0" borderId="1" xfId="10" applyNumberFormat="1" applyFont="1" applyBorder="1" applyAlignment="1">
      <alignment horizontal="center" vertical="center"/>
    </xf>
    <xf numFmtId="2" fontId="108" fillId="0" borderId="0" xfId="10" applyNumberFormat="1" applyFont="1" applyAlignment="1">
      <alignment horizontal="right" vertical="center"/>
    </xf>
    <xf numFmtId="0" fontId="108" fillId="0" borderId="1" xfId="10" applyFont="1" applyBorder="1" applyAlignment="1">
      <alignment horizontal="right" vertical="center"/>
    </xf>
    <xf numFmtId="0" fontId="108" fillId="15" borderId="1" xfId="10" applyFont="1" applyFill="1" applyBorder="1" applyAlignment="1">
      <alignment horizontal="center" vertical="center"/>
    </xf>
    <xf numFmtId="0" fontId="108" fillId="22" borderId="1" xfId="10" applyFont="1" applyFill="1" applyBorder="1" applyAlignment="1">
      <alignment horizontal="right" vertical="center"/>
    </xf>
    <xf numFmtId="0" fontId="108" fillId="13" borderId="1" xfId="10" applyFont="1" applyFill="1" applyBorder="1" applyAlignment="1">
      <alignment horizontal="center" vertical="center"/>
    </xf>
    <xf numFmtId="49" fontId="108" fillId="0" borderId="2" xfId="10" applyNumberFormat="1" applyFont="1" applyBorder="1" applyAlignment="1">
      <alignment horizontal="center" vertical="center"/>
    </xf>
    <xf numFmtId="0" fontId="108" fillId="23" borderId="1" xfId="10" applyFont="1" applyFill="1" applyBorder="1" applyAlignment="1">
      <alignment horizontal="center" vertical="center"/>
    </xf>
    <xf numFmtId="0" fontId="108" fillId="24" borderId="0" xfId="10" applyFont="1" applyFill="1" applyAlignment="1">
      <alignment horizontal="right" vertical="center"/>
    </xf>
    <xf numFmtId="0" fontId="108" fillId="0" borderId="0" xfId="10" applyFont="1">
      <alignment vertical="center"/>
    </xf>
    <xf numFmtId="49" fontId="108" fillId="0" borderId="0" xfId="10" applyNumberFormat="1" applyFont="1" applyFill="1" applyBorder="1" applyAlignment="1">
      <alignment vertical="center"/>
    </xf>
    <xf numFmtId="0" fontId="108" fillId="23" borderId="1" xfId="10" applyFont="1" applyFill="1" applyBorder="1" applyAlignment="1">
      <alignment horizontal="right" vertical="center"/>
    </xf>
    <xf numFmtId="49" fontId="108" fillId="0" borderId="0" xfId="10" applyNumberFormat="1" applyFont="1" applyAlignment="1">
      <alignment horizontal="right" vertical="center"/>
    </xf>
    <xf numFmtId="0" fontId="108" fillId="9" borderId="0" xfId="10" applyFont="1" applyFill="1" applyAlignment="1">
      <alignment horizontal="right" vertical="center"/>
    </xf>
    <xf numFmtId="0" fontId="108" fillId="25" borderId="0" xfId="10" applyFont="1" applyFill="1" applyAlignment="1">
      <alignment horizontal="right" vertical="center"/>
    </xf>
    <xf numFmtId="0" fontId="100" fillId="5" borderId="1" xfId="0" applyNumberFormat="1" applyFont="1" applyFill="1" applyBorder="1" applyAlignment="1" applyProtection="1">
      <alignment horizontal="left" vertical="center" wrapText="1"/>
      <protection locked="0"/>
    </xf>
    <xf numFmtId="0" fontId="78" fillId="12" borderId="0" xfId="0" applyFont="1" applyFill="1" applyAlignment="1" applyProtection="1">
      <alignment vertical="center"/>
      <protection locked="0"/>
    </xf>
    <xf numFmtId="0" fontId="96" fillId="0" borderId="0" xfId="10">
      <alignment vertical="center"/>
    </xf>
    <xf numFmtId="0" fontId="97" fillId="0" borderId="1" xfId="10" applyFont="1" applyBorder="1" applyAlignment="1">
      <alignment horizontal="center" vertical="center"/>
    </xf>
    <xf numFmtId="0" fontId="97" fillId="0" borderId="1" xfId="10" applyFont="1" applyBorder="1" applyAlignment="1">
      <alignment horizontal="center" vertical="center" wrapText="1"/>
    </xf>
    <xf numFmtId="0" fontId="96" fillId="0" borderId="1" xfId="10" applyBorder="1" applyAlignment="1">
      <alignment horizontal="center" vertical="center"/>
    </xf>
    <xf numFmtId="43" fontId="96" fillId="0" borderId="1" xfId="10" applyNumberFormat="1" applyBorder="1" applyAlignment="1">
      <alignment horizontal="center" vertical="center"/>
    </xf>
    <xf numFmtId="0" fontId="96" fillId="0" borderId="1" xfId="10" applyBorder="1" applyAlignment="1">
      <alignment horizontal="center" vertical="center" wrapText="1"/>
    </xf>
    <xf numFmtId="196" fontId="96" fillId="0" borderId="1" xfId="10" applyNumberFormat="1" applyBorder="1" applyAlignment="1">
      <alignment horizontal="right" vertical="center"/>
    </xf>
    <xf numFmtId="197" fontId="96" fillId="0" borderId="1" xfId="10" applyNumberFormat="1" applyBorder="1" applyAlignment="1">
      <alignment horizontal="center" vertical="center"/>
    </xf>
    <xf numFmtId="197" fontId="96" fillId="24" borderId="1" xfId="10" applyNumberFormat="1" applyFill="1" applyBorder="1" applyAlignment="1">
      <alignment horizontal="center" vertical="center"/>
    </xf>
    <xf numFmtId="43" fontId="96" fillId="24" borderId="1" xfId="10" applyNumberFormat="1" applyFill="1" applyBorder="1" applyAlignment="1">
      <alignment horizontal="center" vertical="center"/>
    </xf>
    <xf numFmtId="43" fontId="96" fillId="0" borderId="1" xfId="10" applyNumberFormat="1" applyBorder="1" applyAlignment="1">
      <alignment horizontal="center" vertical="center" wrapText="1"/>
    </xf>
    <xf numFmtId="0" fontId="270" fillId="0" borderId="1" xfId="10" applyFont="1" applyBorder="1" applyAlignment="1">
      <alignment horizontal="center" vertical="center"/>
    </xf>
    <xf numFmtId="196" fontId="270" fillId="0" borderId="1" xfId="10" applyNumberFormat="1" applyFont="1" applyBorder="1" applyAlignment="1">
      <alignment horizontal="right" vertical="center"/>
    </xf>
    <xf numFmtId="43" fontId="270" fillId="0" borderId="1" xfId="10" applyNumberFormat="1" applyFont="1" applyBorder="1" applyAlignment="1">
      <alignment horizontal="center" vertical="center"/>
    </xf>
    <xf numFmtId="179" fontId="96" fillId="0" borderId="1" xfId="10" applyNumberFormat="1" applyBorder="1" applyAlignment="1">
      <alignment horizontal="center" vertical="center"/>
    </xf>
    <xf numFmtId="196" fontId="97" fillId="0" borderId="1" xfId="10" applyNumberFormat="1" applyFont="1" applyBorder="1" applyAlignment="1">
      <alignment horizontal="right" vertical="center"/>
    </xf>
    <xf numFmtId="10" fontId="48" fillId="9" borderId="1" xfId="1" applyNumberFormat="1" applyFont="1" applyFill="1" applyBorder="1" applyAlignment="1" applyProtection="1">
      <alignment horizontal="center" vertical="center"/>
      <protection locked="0"/>
    </xf>
    <xf numFmtId="177" fontId="48" fillId="9" borderId="1" xfId="1" applyNumberFormat="1" applyFont="1" applyFill="1" applyBorder="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108" fillId="0" borderId="1" xfId="10" applyFont="1" applyBorder="1" applyAlignment="1">
      <alignment horizontal="center" vertical="center"/>
    </xf>
    <xf numFmtId="0" fontId="108" fillId="0" borderId="60" xfId="10" applyFont="1" applyBorder="1" applyAlignment="1">
      <alignment horizontal="center" vertical="center"/>
    </xf>
    <xf numFmtId="0" fontId="108" fillId="0" borderId="13" xfId="10" applyFont="1" applyBorder="1" applyAlignment="1">
      <alignment horizontal="center" vertical="center"/>
    </xf>
    <xf numFmtId="0" fontId="108" fillId="0" borderId="15" xfId="10" applyFont="1" applyBorder="1" applyAlignment="1">
      <alignment horizontal="center" vertical="center"/>
    </xf>
    <xf numFmtId="0" fontId="108" fillId="0" borderId="2" xfId="10" applyFont="1" applyBorder="1" applyAlignment="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21" fillId="0" borderId="0" xfId="10" applyFont="1" applyAlignment="1">
      <alignment horizontal="center" vertical="center"/>
    </xf>
    <xf numFmtId="0" fontId="96" fillId="0" borderId="5" xfId="10" applyBorder="1" applyAlignment="1">
      <alignment horizontal="center" vertical="center"/>
    </xf>
    <xf numFmtId="0" fontId="96" fillId="0" borderId="3" xfId="10" applyBorder="1" applyAlignment="1">
      <alignment horizontal="center" vertical="center"/>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428625</xdr:colOff>
      <xdr:row>2</xdr:row>
      <xdr:rowOff>104775</xdr:rowOff>
    </xdr:from>
    <xdr:to>
      <xdr:col>14</xdr:col>
      <xdr:colOff>27511</xdr:colOff>
      <xdr:row>9</xdr:row>
      <xdr:rowOff>28435</xdr:rowOff>
    </xdr:to>
    <xdr:pic>
      <xdr:nvPicPr>
        <xdr:cNvPr id="2" name="图片 1"/>
        <xdr:cNvPicPr>
          <a:picLocks noChangeAspect="1"/>
        </xdr:cNvPicPr>
      </xdr:nvPicPr>
      <xdr:blipFill>
        <a:blip xmlns:r="http://schemas.openxmlformats.org/officeDocument/2006/relationships" r:embed="rId1"/>
        <a:stretch>
          <a:fillRect/>
        </a:stretch>
      </xdr:blipFill>
      <xdr:spPr>
        <a:xfrm>
          <a:off x="1114425" y="447675"/>
          <a:ext cx="8514286" cy="1123810"/>
        </a:xfrm>
        <a:prstGeom prst="rect">
          <a:avLst/>
        </a:prstGeom>
      </xdr:spPr>
    </xdr:pic>
    <xdr:clientData/>
  </xdr:twoCellAnchor>
  <xdr:twoCellAnchor editAs="oneCell">
    <xdr:from>
      <xdr:col>2</xdr:col>
      <xdr:colOff>0</xdr:colOff>
      <xdr:row>12</xdr:row>
      <xdr:rowOff>0</xdr:rowOff>
    </xdr:from>
    <xdr:to>
      <xdr:col>5</xdr:col>
      <xdr:colOff>514029</xdr:colOff>
      <xdr:row>15</xdr:row>
      <xdr:rowOff>123745</xdr:rowOff>
    </xdr:to>
    <xdr:pic>
      <xdr:nvPicPr>
        <xdr:cNvPr id="3" name="图片 2"/>
        <xdr:cNvPicPr>
          <a:picLocks noChangeAspect="1"/>
        </xdr:cNvPicPr>
      </xdr:nvPicPr>
      <xdr:blipFill>
        <a:blip xmlns:r="http://schemas.openxmlformats.org/officeDocument/2006/relationships" r:embed="rId2"/>
        <a:stretch>
          <a:fillRect/>
        </a:stretch>
      </xdr:blipFill>
      <xdr:spPr>
        <a:xfrm>
          <a:off x="1371600" y="2057400"/>
          <a:ext cx="2571429" cy="638095"/>
        </a:xfrm>
        <a:prstGeom prst="rect">
          <a:avLst/>
        </a:prstGeom>
      </xdr:spPr>
    </xdr:pic>
    <xdr:clientData/>
  </xdr:twoCellAnchor>
  <xdr:twoCellAnchor editAs="oneCell">
    <xdr:from>
      <xdr:col>1</xdr:col>
      <xdr:colOff>104775</xdr:colOff>
      <xdr:row>18</xdr:row>
      <xdr:rowOff>9525</xdr:rowOff>
    </xdr:from>
    <xdr:to>
      <xdr:col>5</xdr:col>
      <xdr:colOff>56813</xdr:colOff>
      <xdr:row>25</xdr:row>
      <xdr:rowOff>56994</xdr:rowOff>
    </xdr:to>
    <xdr:pic>
      <xdr:nvPicPr>
        <xdr:cNvPr id="4" name="图片 3"/>
        <xdr:cNvPicPr>
          <a:picLocks noChangeAspect="1"/>
        </xdr:cNvPicPr>
      </xdr:nvPicPr>
      <xdr:blipFill>
        <a:blip xmlns:r="http://schemas.openxmlformats.org/officeDocument/2006/relationships" r:embed="rId3"/>
        <a:stretch>
          <a:fillRect/>
        </a:stretch>
      </xdr:blipFill>
      <xdr:spPr>
        <a:xfrm>
          <a:off x="790575" y="3095625"/>
          <a:ext cx="2695238" cy="1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5299;&#22269;&#26126;\1-&#24050;&#24402;&#26723;\2022\2022-1-0565&#20122;&#22885;&#35266;&#20856;&#21830;&#19994;-&#28196;&#28023;&#21556;&#34183;\P01DYGJ2\&#26368;&#32456;\2022-1-0565-P01DYGJ2&#21271;&#20140;&#24066;&#26397;&#38451;&#21306;&#24935;&#24544;&#36335;3&#21495;&#38498;4&#21495;&#27004;1&#23618;1-1&#31561;5&#22871;&#21830;&#19994;&#29992;&#25151;&#21450;-4&#23618;-4-1&#31561;164&#22871;&#36710;&#24211;&#29992;&#25151;&#25151;&#22320;&#20135;&#25269;&#25276;&#20215;&#20540;&#39044;&#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35299;&#22269;&#26126;\1-&#24050;&#24402;&#26723;\2022\2022-1-0565&#20122;&#22885;&#35266;&#20856;&#21830;&#19994;-&#28196;&#28023;&#21556;&#34183;\P01DYGJ2\&#26368;&#32456;\2022&#20122;&#22885;&#35266;&#20856;&#21830;&#19994;&#22522;&#20934;&#22320;&#20215;-&#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车位"/>
      <sheetName val="Sheet1"/>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商业</v>
          </cell>
        </row>
        <row r="20">
          <cell r="C20">
            <v>0</v>
          </cell>
        </row>
        <row r="21">
          <cell r="C21">
            <v>0</v>
          </cell>
        </row>
        <row r="22">
          <cell r="C22">
            <v>0</v>
          </cell>
        </row>
        <row r="23">
          <cell r="C23">
            <v>0</v>
          </cell>
        </row>
        <row r="24">
          <cell r="C24">
            <v>0</v>
          </cell>
        </row>
        <row r="25">
          <cell r="C25">
            <v>0</v>
          </cell>
        </row>
        <row r="26">
          <cell r="C26">
            <v>0</v>
          </cell>
        </row>
      </sheetData>
      <sheetData sheetId="14">
        <row r="23">
          <cell r="W23">
            <v>8.5</v>
          </cell>
        </row>
        <row r="24">
          <cell r="W24">
            <v>6</v>
          </cell>
        </row>
        <row r="25">
          <cell r="W25">
            <v>3</v>
          </cell>
        </row>
        <row r="26">
          <cell r="W26">
            <v>0.8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row r="14">
          <cell r="D14">
            <v>50123</v>
          </cell>
        </row>
      </sheetData>
      <sheetData sheetId="17">
        <row r="118">
          <cell r="D118">
            <v>37793</v>
          </cell>
          <cell r="F118">
            <v>12330</v>
          </cell>
        </row>
      </sheetData>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5"/>
      <sheetData sheetId="36"/>
      <sheetData sheetId="37"/>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 sheetId="42"/>
      <sheetData sheetId="43"/>
      <sheetData sheetId="44"/>
      <sheetData sheetId="45"/>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28214</v>
          </cell>
        </row>
        <row r="42">
          <cell r="C42">
            <v>2990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估价对象为北京市房地产，为所有。根据《国有土地使用证》[]，估价对象（分摊）出让国有建设用地使用权面积为2435.9平方米，建筑面积为23576.31平方米。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估价对象为北京市房地产,属开发建设的，该项目尚在开发建设中。根据《国有土地使用证》[]，估价对象（分摊）出让国有建设用地使用权面积为2435.9平方米，规划建筑面积为23576.31平方米。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2023年9月14日</v>
      </c>
    </row>
    <row r="13" spans="1:2" s="1203" customFormat="1">
      <c r="A13" s="1201" t="s">
        <v>529</v>
      </c>
      <c r="B13" s="1202" t="str">
        <f>'预评函-1'!A18</f>
        <v>本次估价的“房地产价值”是指在正常市场情况下，在价值时点2023年9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48085</v>
      </c>
    </row>
    <row r="21" spans="1:2" s="1203" customFormat="1">
      <c r="A21" s="1201" t="s">
        <v>537</v>
      </c>
      <c r="B21" s="1202">
        <f ca="1">'预评函-2'!D7</f>
        <v>20395</v>
      </c>
    </row>
    <row r="22" spans="1:2" s="1203" customFormat="1">
      <c r="A22" s="1201" t="s">
        <v>538</v>
      </c>
      <c r="B22" s="1202" t="str">
        <f ca="1">'预评函-2'!D6</f>
        <v>肆亿捌仟零捌拾伍万元整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48085</v>
      </c>
    </row>
    <row r="31" spans="1:2" s="1203" customFormat="1">
      <c r="A31" s="1201" t="s">
        <v>576</v>
      </c>
      <c r="B31" s="1202">
        <f ca="1">'预评函-2'!D15</f>
        <v>20395</v>
      </c>
    </row>
    <row r="32" spans="1:2" s="1203" customFormat="1">
      <c r="A32" s="1201" t="s">
        <v>543</v>
      </c>
      <c r="B32" s="1202" t="str">
        <f ca="1">'预评函-2'!D14</f>
        <v>肆亿捌仟零捌拾伍万元整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41287</v>
      </c>
    </row>
    <row r="39" spans="1:2" s="1203" customFormat="1">
      <c r="A39" s="1201" t="s">
        <v>545</v>
      </c>
      <c r="B39" s="1202">
        <f ca="1">'预评函-2'!D21</f>
        <v>17512</v>
      </c>
    </row>
    <row r="40" spans="1:2" s="1203" customFormat="1">
      <c r="A40" s="1201" t="s">
        <v>546</v>
      </c>
      <c r="B40" s="1202" t="str">
        <f ca="1">'预评函-2'!D20</f>
        <v>肆亿壹仟贰佰捌拾柒万元整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23576.310000000005</v>
      </c>
    </row>
    <row r="44" spans="1:2" s="1203" customFormat="1">
      <c r="A44" s="1201" t="s">
        <v>575</v>
      </c>
      <c r="B44" s="1202" t="str">
        <f>'预评函-3'!C2</f>
        <v>(分摊)土地面积</v>
      </c>
    </row>
    <row r="45" spans="1:2" s="1203" customFormat="1">
      <c r="A45" s="1201" t="s">
        <v>547</v>
      </c>
      <c r="B45" s="1202">
        <f>'预评函-3'!C4</f>
        <v>2435.9</v>
      </c>
    </row>
    <row r="46" spans="1:2" s="1203" customFormat="1">
      <c r="A46" s="1201" t="s">
        <v>573</v>
      </c>
      <c r="B46" s="1202" t="str">
        <f>'预评函-3'!D2</f>
        <v>出让国有建设用地使用权价值</v>
      </c>
    </row>
    <row r="47" spans="1:2" s="1203" customFormat="1">
      <c r="A47" s="1201" t="s">
        <v>548</v>
      </c>
      <c r="B47" s="1202">
        <f ca="1">'预评函-3'!D4</f>
        <v>35871</v>
      </c>
    </row>
    <row r="48" spans="1:2" s="1203" customFormat="1">
      <c r="A48" s="1201" t="s">
        <v>549</v>
      </c>
      <c r="B48" s="1202">
        <f ca="1">'预评函-3'!E4</f>
        <v>15214</v>
      </c>
    </row>
    <row r="49" spans="1:2" s="1203" customFormat="1">
      <c r="A49" s="1201" t="s">
        <v>550</v>
      </c>
      <c r="B49" s="1202" t="str">
        <f ca="1">'预评函-3'!D5</f>
        <v>叁亿伍仟捌佰柒拾壹万元整</v>
      </c>
    </row>
    <row r="50" spans="1:2" s="1203" customFormat="1">
      <c r="A50" s="1201" t="s">
        <v>574</v>
      </c>
      <c r="B50" s="1202" t="str">
        <f>'预评函-3'!F2</f>
        <v>在建建筑物价值</v>
      </c>
    </row>
    <row r="51" spans="1:2" s="1203" customFormat="1">
      <c r="A51" s="1201" t="s">
        <v>551</v>
      </c>
      <c r="B51" s="1202">
        <f ca="1">'预评函-3'!F4</f>
        <v>12214</v>
      </c>
    </row>
    <row r="52" spans="1:2" s="1203" customFormat="1">
      <c r="A52" s="1201" t="s">
        <v>552</v>
      </c>
      <c r="B52" s="1202">
        <f ca="1">'预评函-3'!G4</f>
        <v>5181</v>
      </c>
    </row>
    <row r="53" spans="1:2" s="1203" customFormat="1">
      <c r="A53" s="1201" t="s">
        <v>580</v>
      </c>
      <c r="B53" s="1202" t="str">
        <f ca="1">'预评函-3'!F5</f>
        <v>壹亿贰仟贰佰壹拾肆万元整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3639</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5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5"/>
      <c r="B54" s="1554" t="s">
        <v>385</v>
      </c>
      <c r="C54" s="1551" t="s">
        <v>583</v>
      </c>
    </row>
    <row r="55" spans="1:4">
      <c r="A55" s="3555"/>
      <c r="B55" s="1554" t="s">
        <v>386</v>
      </c>
      <c r="C55" s="1551" t="s">
        <v>584</v>
      </c>
    </row>
    <row r="56" spans="1:4">
      <c r="A56" s="3555"/>
      <c r="B56" s="1554" t="s">
        <v>387</v>
      </c>
      <c r="C56" s="1551" t="s">
        <v>588</v>
      </c>
    </row>
    <row r="57" spans="1:4">
      <c r="A57" s="355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48" sqref="B48"/>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56" t="s">
        <v>2584</v>
      </c>
      <c r="J2" s="3556"/>
      <c r="K2" s="3556"/>
      <c r="L2" s="3556"/>
      <c r="M2" s="3556"/>
      <c r="N2" s="3556"/>
      <c r="O2" s="3556"/>
      <c r="P2" s="3556"/>
      <c r="Q2" s="3556"/>
      <c r="R2" s="3556"/>
    </row>
    <row r="3" spans="1:18">
      <c r="A3" s="3020" t="s">
        <v>2505</v>
      </c>
      <c r="B3" s="3021">
        <f>项目基本情况!D3</f>
        <v>45183</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3.26</v>
      </c>
      <c r="D5" s="3025">
        <f>IF(ISERROR(ROUND(POWER(1+E5,A5-C5)*(POWER(1+E5,C5)-1)/(POWER(1+E5,A5)-1),3)),0,ROUND(POWER(1+E5,A5-C5)*(POWER(1+E5,C5)-1)/(POWER(1+E5,A5)-1),4))</f>
        <v>0.15160000000000001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13.27</v>
      </c>
      <c r="D6" s="3025">
        <f>IF(ISERROR(ROUND(POWER(1+E6,A6-C6)*(POWER(1+E6,C6)-1)/(POWER(1+E6,A6)-1),3)),0,ROUND(POWER(1+E6,A6-C6)*(POWER(1+E6,C6)-1)/(POWER(1+E6,A6)-1),4))</f>
        <v>0.47220000000000001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33.28</v>
      </c>
      <c r="D7" s="3025">
        <f>IF(ISERROR(ROUND(POWER(1+E7,A7-C7)*(POWER(1+E7,C7)-1)/(POWER(1+E7,A7)-1),3)),0,ROUND(POWER(1+E7,A7-C7)*(POWER(1+E7,C7)-1)/(POWER(1+E7,A7)-1),4))</f>
        <v>0.77890000000000004</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38" sqref="C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57" t="str">
        <f>IF(B10="北京市","北京市",C10)&amp;F10&amp;IF(结果表!G1="在建","出让国有建设用地使用权及在建建筑物",IF(结果表!G1="土地","出让国有建设用地使用权",))&amp;B9&amp;"预评估"</f>
        <v>北京市房地产抵押价值预评估</v>
      </c>
      <c r="C1" s="3558"/>
      <c r="D1" s="3558"/>
      <c r="E1" s="3558"/>
      <c r="F1" s="3558"/>
      <c r="G1" s="3558"/>
      <c r="H1" s="3558"/>
      <c r="I1" s="355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45183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3498</v>
      </c>
      <c r="C4" s="2376">
        <f ca="1">SUMIF(注册房地产估价师,B4,估价师及机构信息!B3:B24)</f>
        <v>1120100036</v>
      </c>
      <c r="D4" s="2375" t="s">
        <v>3499</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60"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61"/>
      <c r="E9" s="2394" t="s">
        <v>587</v>
      </c>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51237</v>
      </c>
      <c r="E13" s="856">
        <v>54889</v>
      </c>
      <c r="F13" s="856">
        <v>54889</v>
      </c>
      <c r="G13" s="856"/>
      <c r="H13" s="856"/>
      <c r="I13" s="856"/>
      <c r="J13" s="3062"/>
      <c r="K13" s="2613"/>
      <c r="L13" s="2613"/>
      <c r="M13" s="2439"/>
      <c r="N13" s="2450"/>
      <c r="O13" s="2439"/>
      <c r="P13" s="2439"/>
      <c r="Q13" s="2439"/>
      <c r="AD13" s="1745"/>
    </row>
    <row r="14" spans="1:30">
      <c r="A14" s="1081"/>
      <c r="B14" s="2407" t="s">
        <v>2191</v>
      </c>
      <c r="C14" s="2408"/>
      <c r="D14" s="2408">
        <v>40</v>
      </c>
      <c r="E14" s="2408">
        <v>50</v>
      </c>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16.579999999999998</v>
      </c>
      <c r="E15" s="2410">
        <f>IF(A13="出让",IF(E13="","",ROUNDDOWN(MIN((E13-$D$3)/365,E14),2)),E14)</f>
        <v>26.59</v>
      </c>
      <c r="F15" s="2410">
        <f>IF(A13="出让",IF(F13="","",ROUNDDOWN(MIN((F13-$D$3)/365,F14),2)),F14)</f>
        <v>26.59</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67"/>
      <c r="C16" s="3568"/>
      <c r="D16" s="3569"/>
      <c r="E16" s="2413" t="s">
        <v>2194</v>
      </c>
      <c r="F16" s="3570"/>
      <c r="G16" s="3571"/>
      <c r="H16" s="3571"/>
      <c r="I16" s="3572"/>
      <c r="J16" s="2439"/>
      <c r="K16" s="2617"/>
      <c r="L16" s="2451"/>
      <c r="M16" s="2451"/>
      <c r="N16" s="2509"/>
      <c r="O16" s="2451"/>
      <c r="P16" s="2509"/>
      <c r="Q16" s="2439"/>
      <c r="R16" s="2439"/>
    </row>
    <row r="17" spans="1:28">
      <c r="A17" s="313" t="s">
        <v>2195</v>
      </c>
      <c r="B17" s="302" t="s">
        <v>2196</v>
      </c>
      <c r="C17" s="8">
        <f>'数据-汇总表'!E3</f>
        <v>23576.310000000005</v>
      </c>
      <c r="D17" s="2322" t="s">
        <v>2197</v>
      </c>
      <c r="E17" s="3573" t="s">
        <v>2198</v>
      </c>
      <c r="F17" s="3574"/>
      <c r="G17" s="3574"/>
      <c r="H17" s="3574"/>
      <c r="I17" s="357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2435.9</v>
      </c>
      <c r="D18" s="1092" t="s">
        <v>2201</v>
      </c>
      <c r="E18" s="3576" t="s">
        <v>2202</v>
      </c>
      <c r="F18" s="3577"/>
      <c r="G18" s="3577"/>
      <c r="H18" s="3577"/>
      <c r="I18" s="357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63" t="s">
        <v>2206</v>
      </c>
      <c r="C20" s="3564"/>
      <c r="D20" s="3565" t="s">
        <v>2207</v>
      </c>
      <c r="E20" s="3566"/>
      <c r="F20" s="2647" t="s">
        <v>1056</v>
      </c>
      <c r="G20" s="2664"/>
      <c r="H20" s="2664"/>
      <c r="I20" s="2664"/>
      <c r="J20" s="2439"/>
      <c r="K20" s="356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6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6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8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8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8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81"/>
      <c r="B30" s="302" t="s">
        <v>2218</v>
      </c>
      <c r="C30" s="3582"/>
      <c r="D30" s="3583"/>
      <c r="E30" s="2664"/>
      <c r="F30" s="2664"/>
      <c r="G30" s="2664"/>
      <c r="H30" s="2664"/>
      <c r="I30" s="2664"/>
      <c r="J30" s="2439"/>
      <c r="K30" s="2616"/>
      <c r="L30" s="2613"/>
      <c r="M30" s="2613"/>
      <c r="N30" s="2439"/>
      <c r="O30" s="2450"/>
      <c r="P30" s="2439"/>
      <c r="Q30" s="2439"/>
      <c r="R30" s="2439"/>
      <c r="S30" s="2439"/>
      <c r="T30" s="2439"/>
      <c r="U30" s="2439"/>
      <c r="V30" s="2439"/>
    </row>
    <row r="31" spans="1:28">
      <c r="A31" s="358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8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8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79" t="s">
        <v>2228</v>
      </c>
      <c r="T34" s="2428" t="str">
        <f>NUMBERSTRING(7-K34,1)&amp;"通"</f>
        <v>七通</v>
      </c>
      <c r="U34" s="2439"/>
      <c r="V34" s="2439"/>
    </row>
    <row r="35" spans="1:30">
      <c r="A35" s="2429"/>
      <c r="B35" s="3586" t="s">
        <v>2229</v>
      </c>
      <c r="C35" s="3586"/>
      <c r="D35" s="3586"/>
      <c r="E35" s="358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296</v>
      </c>
      <c r="C37" s="2431" t="s">
        <v>296</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2946</v>
      </c>
      <c r="C38" s="2432" t="s">
        <v>2938</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2435.9</v>
      </c>
      <c r="B3" s="11">
        <f>IF(C3="否",G5-AT5,G5)</f>
        <v>23576.310000000005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23576.310000000005</v>
      </c>
      <c r="H5" s="13">
        <f t="shared" ref="H5:AT5" si="0">SUM(H13:H656)</f>
        <v>23576.310000000005</v>
      </c>
      <c r="I5" s="13">
        <f t="shared" si="0"/>
        <v>9808.4800000000014</v>
      </c>
      <c r="J5" s="13">
        <f t="shared" si="0"/>
        <v>0</v>
      </c>
      <c r="K5" s="13">
        <f t="shared" si="0"/>
        <v>3654.93</v>
      </c>
      <c r="L5" s="13">
        <f t="shared" si="0"/>
        <v>0</v>
      </c>
      <c r="M5" s="13">
        <f t="shared" si="0"/>
        <v>10112.900000000001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23576.310000000005</v>
      </c>
      <c r="BA5" s="15">
        <f t="shared" si="1"/>
        <v>23576.310000000005</v>
      </c>
      <c r="BB5" s="15">
        <f t="shared" si="1"/>
        <v>9808.4800000000014</v>
      </c>
      <c r="BC5" s="15">
        <f t="shared" si="1"/>
        <v>3654.93</v>
      </c>
      <c r="BD5" s="15">
        <f t="shared" si="1"/>
        <v>10112.900000000001</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2435.8999999999996</v>
      </c>
      <c r="F6" s="13" t="s">
        <v>0</v>
      </c>
      <c r="G6" s="13" t="s">
        <v>1</v>
      </c>
      <c r="H6" s="17">
        <f>SUMIF(I$12:AB$12,"总值",I6:AB6)</f>
        <v>2435.8999999999996</v>
      </c>
      <c r="I6" s="13">
        <f t="shared" ref="I6:AB6" si="2">ROUND($A$3*I5/$B$3,2)</f>
        <v>1013.41</v>
      </c>
      <c r="J6" s="13">
        <f t="shared" si="2"/>
        <v>0</v>
      </c>
      <c r="K6" s="13">
        <f t="shared" si="2"/>
        <v>377.63</v>
      </c>
      <c r="L6" s="13">
        <f t="shared" si="2"/>
        <v>0</v>
      </c>
      <c r="M6" s="13">
        <f t="shared" si="2"/>
        <v>1044.8599999999999</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2435.9</v>
      </c>
      <c r="AZ6" s="13" t="s">
        <v>2</v>
      </c>
      <c r="BA6" s="13">
        <f>ROUND($AY$6*BA5/$AZ$5,2)</f>
        <v>2435.9</v>
      </c>
      <c r="BB6" s="13">
        <f>ROUND($AY$6*BB5/$AZ$5,2)</f>
        <v>1013.41</v>
      </c>
      <c r="BC6" s="13">
        <f t="shared" ref="BC6:BH6" si="4">ROUND($AY$6*BC5/$AZ$5,2)</f>
        <v>377.63</v>
      </c>
      <c r="BD6" s="13">
        <f t="shared" si="4"/>
        <v>1044.8599999999999</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t="s">
        <v>3385</v>
      </c>
      <c r="L9" s="809"/>
      <c r="M9" s="1603" t="s">
        <v>3385</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3339</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2435.9</v>
      </c>
      <c r="F13" s="29"/>
      <c r="G13" s="30">
        <f>H13+AC13+AT13</f>
        <v>23576.310000000005</v>
      </c>
      <c r="H13" s="17">
        <f>SUMIF(I$12:AB$12,"总值",I13:AB13)</f>
        <v>23576.310000000005</v>
      </c>
      <c r="I13" s="1626">
        <f>面积!O6+面积!O7+面积!O8+面积!O9</f>
        <v>9808.4800000000014</v>
      </c>
      <c r="J13" s="1626"/>
      <c r="K13" s="1626">
        <f>面积!O5</f>
        <v>3654.93</v>
      </c>
      <c r="L13" s="1626"/>
      <c r="M13" s="1626">
        <f>面积!O10+面积!O11+面积!O12</f>
        <v>10112.900000000001</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2435.9</v>
      </c>
      <c r="AZ13" s="13">
        <f>BA13+BL13</f>
        <v>23576.310000000005</v>
      </c>
      <c r="BA13" s="13">
        <f>SUM(BB13:BK13)</f>
        <v>23576.310000000005</v>
      </c>
      <c r="BB13" s="13">
        <f>IF($D13="是",I13-J13,0)</f>
        <v>9808.4800000000014</v>
      </c>
      <c r="BC13" s="13">
        <f>IF($D13="是",K13-L13,0)</f>
        <v>3654.93</v>
      </c>
      <c r="BD13" s="13">
        <f>IF($D13="是",M13-N13,0)</f>
        <v>10112.900000000001</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96" t="s">
        <v>1131</v>
      </c>
      <c r="B2" s="3596"/>
      <c r="C2" s="3596"/>
      <c r="D2" s="796" t="s">
        <v>1107</v>
      </c>
      <c r="E2" s="1639" t="s">
        <v>1108</v>
      </c>
      <c r="F2" s="2659"/>
      <c r="G2" s="2650"/>
      <c r="H2" s="2651"/>
      <c r="I2" s="2325" t="s">
        <v>1132</v>
      </c>
      <c r="J2" s="2659"/>
      <c r="K2" s="2659"/>
      <c r="L2" s="2659"/>
      <c r="M2" s="2659"/>
      <c r="N2" s="2661"/>
      <c r="O2" s="2659"/>
      <c r="P2" s="2659"/>
    </row>
    <row r="3" spans="1:16" ht="15.75" thickBot="1">
      <c r="A3" s="3597" t="s">
        <v>1105</v>
      </c>
      <c r="B3" s="3597"/>
      <c r="C3" s="3597"/>
      <c r="D3" s="43">
        <f>'数据-基础表'!AY6</f>
        <v>2435.9</v>
      </c>
      <c r="E3" s="43">
        <f>'数据-基础表'!AZ5</f>
        <v>23576.310000000005</v>
      </c>
      <c r="F3" s="2659"/>
      <c r="G3" s="1145"/>
      <c r="H3" s="1026" t="s">
        <v>1106</v>
      </c>
      <c r="I3" s="855">
        <f>ROUND('数据-基础表'!B3/'数据-基础表'!A3,2)</f>
        <v>9.68</v>
      </c>
      <c r="J3" s="2659"/>
      <c r="K3" s="2659"/>
      <c r="L3" s="2659"/>
      <c r="M3" s="2659"/>
      <c r="N3" s="2661"/>
      <c r="O3" s="2659"/>
      <c r="P3" s="2659"/>
    </row>
    <row r="4" spans="1:16" ht="15">
      <c r="A4" s="3598"/>
      <c r="B4" s="3599"/>
      <c r="C4" s="3600"/>
      <c r="D4" s="1641" t="s">
        <v>1107</v>
      </c>
      <c r="E4" s="1642" t="s">
        <v>1108</v>
      </c>
      <c r="F4" s="2659"/>
      <c r="G4" s="2652" t="s">
        <v>1133</v>
      </c>
      <c r="H4" s="1026" t="s">
        <v>1113</v>
      </c>
      <c r="I4" s="855">
        <f>ROUND(SUMIF('数据-基础表'!I9:AS9,"地上",'数据-基础表'!I5:AS5)/'数据-基础表'!A3,2)</f>
        <v>4.03</v>
      </c>
      <c r="J4" s="2659"/>
      <c r="K4" s="2659"/>
      <c r="L4" s="2659"/>
      <c r="M4" s="2659"/>
      <c r="N4" s="2661"/>
      <c r="O4" s="2659"/>
      <c r="P4" s="2659"/>
    </row>
    <row r="5" spans="1:16">
      <c r="A5" s="44" t="s">
        <v>1109</v>
      </c>
      <c r="B5" s="3601" t="s">
        <v>1110</v>
      </c>
      <c r="C5" s="3601"/>
      <c r="D5" s="45">
        <f>ROUND($D$3*E5/$E$3,2)</f>
        <v>0</v>
      </c>
      <c r="E5" s="46">
        <f>SUMIF('数据-基础表'!$11:$11,"住宅",'数据-基础表'!$5:$5)</f>
        <v>0</v>
      </c>
      <c r="F5" s="2659"/>
      <c r="G5" s="1145"/>
      <c r="H5" s="1026" t="s">
        <v>1106</v>
      </c>
      <c r="I5" s="855">
        <f>ROUND(E31/D31,2)</f>
        <v>9.68</v>
      </c>
      <c r="J5" s="2659"/>
      <c r="K5" s="2659"/>
      <c r="L5" s="2659"/>
      <c r="M5" s="2659"/>
      <c r="N5" s="2659"/>
      <c r="O5" s="2659"/>
      <c r="P5" s="2659"/>
    </row>
    <row r="6" spans="1:16" ht="15" thickBot="1">
      <c r="A6" s="1644"/>
      <c r="B6" s="3601" t="s">
        <v>1111</v>
      </c>
      <c r="C6" s="3601"/>
      <c r="D6" s="45">
        <f>ROUND($D$3*E6/$E$3,2)</f>
        <v>2435.9</v>
      </c>
      <c r="E6" s="46">
        <f>E3-E5</f>
        <v>23576.310000000005</v>
      </c>
      <c r="F6" s="2659"/>
      <c r="G6" s="2653" t="s">
        <v>1112</v>
      </c>
      <c r="H6" s="1146" t="s">
        <v>1113</v>
      </c>
      <c r="I6" s="2654">
        <f>ROUND(F31/D31,2)</f>
        <v>4.03</v>
      </c>
      <c r="J6" s="2659"/>
      <c r="K6" s="2659"/>
      <c r="L6" s="2659"/>
      <c r="M6" s="2659"/>
      <c r="N6" s="2659"/>
      <c r="O6" s="2659"/>
      <c r="P6" s="2659"/>
    </row>
    <row r="7" spans="1:16" ht="15.75" thickBot="1">
      <c r="A7" s="3593"/>
      <c r="B7" s="3594"/>
      <c r="C7" s="3595"/>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1013.41</v>
      </c>
      <c r="E8" s="48">
        <f>SUMIF('数据-基础表'!BB10:BK10,"地上",'数据-基础表'!BB5:BK5)</f>
        <v>9808.4800000000014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377.63</v>
      </c>
      <c r="E10" s="48">
        <f>SUMPRODUCT(('数据-基础表'!BB10:BK10="地下")*('数据-基础表'!BB11:BK11="商业")*('数据-基础表'!BB5:BK5))</f>
        <v>3654.93</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1044.8599999999999</v>
      </c>
      <c r="E13" s="48">
        <f>SUMPRODUCT(('数据-基础表'!BB10:BK10="地下")*('数据-基础表'!BB11:BK11="车库")*('数据-基础表'!BB5:BK5))</f>
        <v>10112.900000000001</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2435.8999999999996</v>
      </c>
      <c r="E16" s="50">
        <f>SUM(E8:E15)</f>
        <v>23576.310000000005</v>
      </c>
      <c r="F16" s="2659"/>
      <c r="G16" s="2660"/>
      <c r="H16" s="1648" t="s">
        <v>1135</v>
      </c>
      <c r="I16" s="1649"/>
      <c r="J16" s="1139"/>
      <c r="K16" s="3590" t="s">
        <v>1135</v>
      </c>
      <c r="L16" s="3591"/>
      <c r="M16" s="3591"/>
      <c r="N16" s="3591"/>
      <c r="O16" s="3591"/>
      <c r="P16" s="3592"/>
    </row>
    <row r="17" spans="1:19" ht="15">
      <c r="A17" s="1650" t="s">
        <v>1136</v>
      </c>
      <c r="B17" s="1651" t="s">
        <v>1137</v>
      </c>
      <c r="C17" s="1652" t="s">
        <v>1138</v>
      </c>
      <c r="D17" s="1653" t="s">
        <v>1126</v>
      </c>
      <c r="E17" s="1654" t="s">
        <v>1127</v>
      </c>
      <c r="F17" s="1655"/>
      <c r="G17" s="1656"/>
      <c r="H17" s="1657" t="s">
        <v>1139</v>
      </c>
      <c r="I17" s="1658" t="s">
        <v>1124</v>
      </c>
      <c r="J17" s="1139"/>
      <c r="K17" s="3587" t="s">
        <v>1140</v>
      </c>
      <c r="L17" s="3588"/>
      <c r="M17" s="3589"/>
      <c r="N17" s="3587" t="s">
        <v>1141</v>
      </c>
      <c r="O17" s="3588"/>
      <c r="P17" s="358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3501</v>
      </c>
      <c r="D19" s="45">
        <f>ROUND($D$3*E19/$E$3,2)</f>
        <v>1391.04</v>
      </c>
      <c r="E19" s="53">
        <f t="shared" ref="E19:E26" si="1">SUM(F19:G19)</f>
        <v>13463.410000000002</v>
      </c>
      <c r="F19" s="2795">
        <f>'数据-基础表'!I13</f>
        <v>9808.4800000000014</v>
      </c>
      <c r="G19" s="2796">
        <f>'数据-基础表'!K13</f>
        <v>3654.93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1391.04</v>
      </c>
      <c r="S19" s="1027">
        <f t="shared" si="5"/>
        <v>13463.410000000002</v>
      </c>
    </row>
    <row r="20" spans="1:19">
      <c r="A20" s="1670"/>
      <c r="B20" s="47" t="s">
        <v>1153</v>
      </c>
      <c r="C20" s="3417" t="s">
        <v>3637</v>
      </c>
      <c r="D20" s="45">
        <f t="shared" ref="D20:D26" si="6">ROUND($D$3*E20/$E$3,2)</f>
        <v>1044.8599999999999</v>
      </c>
      <c r="E20" s="53">
        <f t="shared" si="1"/>
        <v>10112.900000000001</v>
      </c>
      <c r="F20" s="2795"/>
      <c r="G20" s="2796">
        <f>'数据-基础表'!M13</f>
        <v>10112.900000000001</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1044.8599999999999</v>
      </c>
      <c r="S20" s="1027">
        <f t="shared" si="5"/>
        <v>10112.900000000001</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2435.8999999999996</v>
      </c>
      <c r="E27" s="1141">
        <f>IF(SUM(E19:E26)='数据-基础表'!BA5,SUM(E19:E26),IF(F27="地上面积有误","面积有误","地下面积有误"))</f>
        <v>23576.310000000005</v>
      </c>
      <c r="F27" s="1140">
        <f>IF(SUM(F19:F26)=E8,SUM(F19:F26),"地上面积有误")</f>
        <v>9808.4800000000014</v>
      </c>
      <c r="G27" s="1142">
        <f>SUM(G19:G26)</f>
        <v>13767.830000000002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2435.8999999999996</v>
      </c>
      <c r="S27" s="1026">
        <f>IF(SUM(S19:S26)=$E$3,SUM(S19:S26),SUM(S19:S26)&amp;"误差"&amp;ROUND(SUM(S19:S26)-E3,2))</f>
        <v>23576.310000000005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2435.8999999999996</v>
      </c>
      <c r="E31" s="676">
        <f>E27+E30</f>
        <v>23576.310000000005</v>
      </c>
      <c r="F31" s="677">
        <f>F27+F30</f>
        <v>9808.4800000000014</v>
      </c>
      <c r="G31" s="678">
        <f>G27+G30</f>
        <v>13767.830000000002</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J6" activePane="bottomRight" state="frozen"/>
      <selection activeCell="C50" sqref="C50"/>
      <selection pane="topRight" activeCell="C50" sqref="C50"/>
      <selection pane="bottomLeft" activeCell="C50" sqref="C50"/>
      <selection pane="bottomRight" activeCell="C6" sqref="C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3" width="9.25" style="1682" customWidth="1"/>
    <col min="24"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45183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3502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亚奥观典</v>
      </c>
      <c r="B6" s="1713" t="str">
        <f>IF(A6=0,"","经营性")</f>
        <v>经营性</v>
      </c>
      <c r="C6" s="1714" t="s">
        <v>673</v>
      </c>
      <c r="D6" s="858">
        <f>SUMIF(项目基本情况!C$12:I$12,C6,项目基本情况!C$14:I$14)</f>
        <v>40</v>
      </c>
      <c r="E6" s="857">
        <f>IF(B6="","",SUMIF(项目基本情况!C$12:I$12,C6,项目基本情况!C$13:I$13))</f>
        <v>51237</v>
      </c>
      <c r="F6" s="64">
        <f>SUMIF(项目基本情况!C$12:I$12,C6,项目基本情况!C$15:I$15)</f>
        <v>16.579999999999998</v>
      </c>
      <c r="G6" s="65">
        <f>IF(ISERROR(ROUND(POWER(1+H6,D6-F6)*(POWER(1+H6,F6)-1)/(POWER(1+H6,D6)-1),3)),0,ROUND(POWER(1+H6,D6-F6)*(POWER(1+H6,F6)-1)/(POWER(1+H6,D6)-1),3))</f>
        <v>0.64700000000000002</v>
      </c>
      <c r="H6" s="732">
        <v>0.05</v>
      </c>
      <c r="I6" s="732">
        <v>5.5E-2</v>
      </c>
      <c r="J6" s="66">
        <v>7.0000000000000007E-2</v>
      </c>
      <c r="K6" s="1030">
        <f>SUMIF('数据-汇总表'!C$19:C$33,A6,'数据-汇总表'!E$19:E$33)</f>
        <v>13463.410000000002</v>
      </c>
      <c r="L6" s="3514">
        <v>4500</v>
      </c>
      <c r="M6" s="67">
        <f t="shared" ref="M6:M14" si="0">ROUND(K6*L6/10000,0)</f>
        <v>6059</v>
      </c>
      <c r="N6" s="3513">
        <v>0.85</v>
      </c>
      <c r="O6" s="67" t="str">
        <f>IF($N$5="成新度","——",ROUND(M6*N6,0))</f>
        <v>——</v>
      </c>
      <c r="P6" s="68" t="str">
        <f>IF($N$5="成新度","——",M6-O6)</f>
        <v>——</v>
      </c>
      <c r="Q6" s="734">
        <v>0.2</v>
      </c>
      <c r="R6" s="69">
        <f ca="1">SUMIF('数据-汇总表'!C$19:C$33,A6,'数据-汇总表'!R$19:R$27)</f>
        <v>1391.04</v>
      </c>
      <c r="S6" s="51">
        <f>IF('数据-汇总表'!$I$17="按面积比例",SUMIF('数据-汇总表'!C$19:C$33,A6,'数据-汇总表'!K$19:K$33),SUMIF('数据-汇总表'!C$19:C$33,A6,'数据-汇总表'!N$19:N$33))</f>
        <v>0</v>
      </c>
      <c r="T6" s="1172">
        <f>ROUND($L$14*S6/10000,0)</f>
        <v>0</v>
      </c>
      <c r="U6" s="3428">
        <v>7.5</v>
      </c>
      <c r="V6" s="70">
        <v>2.5000000000000001E-2</v>
      </c>
      <c r="W6" s="70">
        <v>0.1</v>
      </c>
      <c r="X6" s="1040"/>
      <c r="Y6" s="71">
        <f>N6</f>
        <v>0.85</v>
      </c>
      <c r="Z6" s="72"/>
      <c r="AA6" s="66"/>
      <c r="AB6" s="66"/>
      <c r="AC6" s="1040"/>
      <c r="AD6" s="73"/>
      <c r="AE6" s="1041">
        <f ca="1">IF(AN6="",0,SUMIF(INDIRECT("'"&amp;AN6&amp;"'"&amp;"!E:E"),$AE$5,INDIRECT("'"&amp;AN6&amp;"'"&amp;"!F:F")))</f>
        <v>16.579999999999998</v>
      </c>
      <c r="AF6" s="1348"/>
      <c r="AG6" s="138">
        <f>IF(AF6="",0,AE6-AF6)</f>
        <v>0</v>
      </c>
      <c r="AH6" s="74"/>
      <c r="AI6" s="76">
        <v>365</v>
      </c>
      <c r="AJ6" s="77"/>
      <c r="AK6" s="78">
        <v>3.0000000000000001E-3</v>
      </c>
      <c r="AL6" s="79">
        <v>1E-3</v>
      </c>
      <c r="AM6" s="80">
        <v>0.01</v>
      </c>
      <c r="AN6" s="1715" t="s">
        <v>3503</v>
      </c>
      <c r="AO6" s="52">
        <f ca="1">SUMIF(INDIRECT("'"&amp;AN6&amp;"'"&amp;"!A:A"),"总价",INDIRECT("'"&amp;AN6&amp;"'"&amp;"!B:B"))</f>
        <v>35272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地下车库</v>
      </c>
      <c r="B7" s="1713" t="str">
        <f t="shared" ref="B7:B13" si="1">IF(A7=0,"","经营性")</f>
        <v>经营性</v>
      </c>
      <c r="C7" s="1714" t="s">
        <v>3339</v>
      </c>
      <c r="D7" s="858">
        <f>SUMIF(项目基本情况!C$12:I$12,C7,项目基本情况!C$14:I$14)</f>
        <v>50</v>
      </c>
      <c r="E7" s="857">
        <f>IF(B7="","",SUMIF(项目基本情况!C$12:I$12,C7,项目基本情况!C$13:I$13))</f>
        <v>54889</v>
      </c>
      <c r="F7" s="64">
        <f>SUMIF(项目基本情况!C$12:I$12,C7,项目基本情况!C$15:I$15)</f>
        <v>26.59</v>
      </c>
      <c r="G7" s="65">
        <f t="shared" ref="G7:G11" si="2">IF(ISERROR(ROUND(POWER(1+H7,D7-F7)*(POWER(1+H7,F7)-1)/(POWER(1+H7,D7)-1),3)),0,ROUND(POWER(1+H7,D7-F7)*(POWER(1+H7,F7)-1)/(POWER(1+H7,D7)-1),3))</f>
        <v>0.77600000000000002</v>
      </c>
      <c r="H7" s="732">
        <v>4.4999999999999998E-2</v>
      </c>
      <c r="I7" s="732">
        <v>0.05</v>
      </c>
      <c r="J7" s="66">
        <v>7.0000000000000007E-2</v>
      </c>
      <c r="K7" s="1030">
        <f>SUMIF('数据-汇总表'!C$19:C$33,A7,'数据-汇总表'!E$19:E$33)</f>
        <v>10112.900000000001</v>
      </c>
      <c r="L7" s="3514">
        <v>4500</v>
      </c>
      <c r="M7" s="67">
        <f t="shared" si="0"/>
        <v>4551</v>
      </c>
      <c r="N7" s="3513">
        <f>N6</f>
        <v>0.85</v>
      </c>
      <c r="O7" s="67" t="str">
        <f t="shared" ref="O7:O14" si="3">IF($N$5="成新度","——",ROUND(M7*N7,0))</f>
        <v>——</v>
      </c>
      <c r="P7" s="68" t="str">
        <f t="shared" ref="P7:P14" si="4">IF($N$5="成新度","——",M7-O7)</f>
        <v>——</v>
      </c>
      <c r="Q7" s="734">
        <v>0.05</v>
      </c>
      <c r="R7" s="69">
        <f ca="1">SUMIF('数据-汇总表'!C$19:C$33,A7,'数据-汇总表'!R$19:R$27)</f>
        <v>1044.8599999999999</v>
      </c>
      <c r="S7" s="51">
        <f>IF('数据-汇总表'!$I$17="按面积比例",SUMIF('数据-汇总表'!C$19:C$33,A7,'数据-汇总表'!K$19:K$33),SUMIF('数据-汇总表'!C$19:C$33,A7,'数据-汇总表'!N$19:N$33))</f>
        <v>0</v>
      </c>
      <c r="T7" s="1172">
        <f t="shared" ref="T7:T13" si="5">ROUND($L$14*S7/10000,0)</f>
        <v>0</v>
      </c>
      <c r="U7" s="3428">
        <v>0.6</v>
      </c>
      <c r="V7" s="70">
        <v>0.02</v>
      </c>
      <c r="W7" s="70">
        <v>0.1</v>
      </c>
      <c r="X7" s="1040"/>
      <c r="Y7" s="71">
        <f>N7</f>
        <v>0.85</v>
      </c>
      <c r="Z7" s="72"/>
      <c r="AA7" s="66"/>
      <c r="AB7" s="66"/>
      <c r="AC7" s="1040"/>
      <c r="AD7" s="73"/>
      <c r="AE7" s="1041">
        <f t="shared" ref="AE7:AE13" ca="1" si="6">IF(AN7="",0,SUMIF(INDIRECT("'"&amp;AN7&amp;"'"&amp;"!E:E"),$AE$5,INDIRECT("'"&amp;AN7&amp;"'"&amp;"!F:F")))</f>
        <v>26.59</v>
      </c>
      <c r="AF7" s="1348"/>
      <c r="AG7" s="138">
        <f t="shared" ref="AG7:AG13" si="7">IF(AF7="",0,AE7-AF7)</f>
        <v>0</v>
      </c>
      <c r="AH7" s="74"/>
      <c r="AI7" s="76">
        <v>365</v>
      </c>
      <c r="AJ7" s="77"/>
      <c r="AK7" s="78">
        <v>3.0000000000000001E-3</v>
      </c>
      <c r="AL7" s="79">
        <v>1E-3</v>
      </c>
      <c r="AM7" s="80">
        <v>5.0000000000000001E-3</v>
      </c>
      <c r="AN7" s="1715" t="s">
        <v>3638</v>
      </c>
      <c r="AO7" s="52">
        <f t="shared" ref="AO7:AO13" ca="1" si="8">SUMIF(INDIRECT("'"&amp;AN7&amp;"'"&amp;"!A:A"),"总价",INDIRECT("'"&amp;AN7&amp;"'"&amp;"!B:B"))</f>
        <v>2869</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0.70199999999999996</v>
      </c>
      <c r="H16" s="90">
        <f>ROUND(SUMPRODUCT(H6:H13,K6:K13)/SUMPRODUCT((H6:H13&gt;0)*(K6:K13)),3)</f>
        <v>4.8000000000000001E-2</v>
      </c>
      <c r="I16" s="91"/>
      <c r="J16" s="91"/>
      <c r="K16" s="92">
        <f>SUM(K6:K15)</f>
        <v>23576.310000000005</v>
      </c>
      <c r="L16" s="93">
        <f>ROUND(M16*10000/SUM(K6:K14),0)</f>
        <v>4500</v>
      </c>
      <c r="M16" s="93">
        <f>SUM(M6:M14)</f>
        <v>10610</v>
      </c>
      <c r="N16" s="94">
        <f>ROUND(SUMPRODUCT(M6:M14,N6:N14)/M16,3)</f>
        <v>0.85</v>
      </c>
      <c r="O16" s="93">
        <f>SUM(O6:O14)</f>
        <v>0</v>
      </c>
      <c r="P16" s="93">
        <f>SUM(P6:P14)</f>
        <v>0</v>
      </c>
      <c r="Q16" s="95">
        <f>ROUND(SUMPRODUCT(Q6:Q13,K6:K13)/SUMPRODUCT((Q6:Q13&gt;0)*(K6:K13)),2)</f>
        <v>0.14000000000000001</v>
      </c>
      <c r="R16" s="1034">
        <f ca="1">SUM(R6:R13)</f>
        <v>2435.8999999999996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2000</v>
      </c>
      <c r="O18" s="2671"/>
      <c r="P18" s="2671"/>
      <c r="Q18" s="2671"/>
      <c r="R18" s="2671"/>
      <c r="S18" s="2671"/>
      <c r="T18" s="2671">
        <v>1</v>
      </c>
      <c r="U18" s="2671">
        <f>面积!O6+面积!O7</f>
        <v>4250.6000000000004</v>
      </c>
      <c r="V18" s="2671">
        <v>10</v>
      </c>
      <c r="W18" s="2671">
        <f>U18*V18*365</f>
        <v>15514690</v>
      </c>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ROUND(1-(2023-N18)/60,2)</f>
        <v>0.62</v>
      </c>
      <c r="O19" s="2671"/>
      <c r="P19" s="2671"/>
      <c r="Q19" s="2671"/>
      <c r="R19" s="2671"/>
      <c r="S19" s="2671"/>
      <c r="T19" s="2671">
        <v>2</v>
      </c>
      <c r="U19" s="2671">
        <f>面积!O8+面积!O9</f>
        <v>5557.88</v>
      </c>
      <c r="V19" s="2671">
        <v>6.5</v>
      </c>
      <c r="W19" s="2671">
        <f>U19*V19*365</f>
        <v>13186070.300000001</v>
      </c>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0.9</v>
      </c>
      <c r="O20" s="2671"/>
      <c r="P20" s="2671"/>
      <c r="Q20" s="2671"/>
      <c r="R20" s="2671"/>
      <c r="S20" s="2671"/>
      <c r="T20" s="2671">
        <v>-1</v>
      </c>
      <c r="U20" s="2671">
        <f>'数据-基础表'!K13</f>
        <v>3654.93</v>
      </c>
      <c r="V20" s="2671">
        <v>3.5</v>
      </c>
      <c r="W20" s="2671">
        <f>U20*V20*365</f>
        <v>4669173.0749999993</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(N19+N20)/2</f>
        <v>0.76</v>
      </c>
      <c r="O21" s="2671"/>
      <c r="P21" s="2671"/>
      <c r="Q21" s="2671"/>
      <c r="R21" s="2671"/>
      <c r="S21" s="2671"/>
      <c r="T21" s="3496" t="s">
        <v>3504</v>
      </c>
      <c r="U21" s="2671">
        <f>'数据-基础表'!M13</f>
        <v>10112.900000000001</v>
      </c>
      <c r="V21" s="2671"/>
      <c r="W21" s="2671">
        <f>U21*V21*365</f>
        <v>0</v>
      </c>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f>W22*10000/365/(U18+U19+U20)</f>
        <v>6.7905883427749734</v>
      </c>
      <c r="W22" s="2671">
        <f>(W18+W19+W20+W21)/10000</f>
        <v>3336.9933375000001</v>
      </c>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f>35000000/365/K16</f>
        <v>4.0672357531311762</v>
      </c>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12</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110</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E230"/>
  <sheetViews>
    <sheetView topLeftCell="C1" workbookViewId="0">
      <selection activeCell="D31" sqref="D31"/>
    </sheetView>
  </sheetViews>
  <sheetFormatPr defaultColWidth="9" defaultRowHeight="12"/>
  <cols>
    <col min="1" max="11" width="9" style="3472"/>
    <col min="12" max="12" width="5.375" style="3472" customWidth="1"/>
    <col min="13" max="13" width="7.625" style="3472" customWidth="1"/>
    <col min="14" max="14" width="8.25" style="3472" customWidth="1"/>
    <col min="15" max="15" width="10" style="3472" customWidth="1"/>
    <col min="16" max="16" width="10.625" style="3472" customWidth="1"/>
    <col min="17" max="16384" width="9" style="3472"/>
  </cols>
  <sheetData>
    <row r="3" spans="2:31">
      <c r="L3" s="3603" t="s">
        <v>3386</v>
      </c>
      <c r="M3" s="3603"/>
      <c r="N3" s="3603"/>
      <c r="O3" s="3603"/>
      <c r="P3" s="3603"/>
      <c r="Q3" s="3603"/>
      <c r="S3" s="3472">
        <f>SUM(S5:S12)</f>
        <v>88532.489999999991</v>
      </c>
      <c r="T3" s="3472">
        <f>[1]系统读取表!D14</f>
        <v>50123</v>
      </c>
      <c r="V3" s="3472">
        <f>[1]结果表!D118</f>
        <v>37793</v>
      </c>
      <c r="X3" s="3472">
        <f>[1]结果表!F118</f>
        <v>12330</v>
      </c>
      <c r="AB3" s="3472" t="s">
        <v>3387</v>
      </c>
    </row>
    <row r="4" spans="2:31">
      <c r="B4" s="3602" t="s">
        <v>3388</v>
      </c>
      <c r="C4" s="3602"/>
      <c r="D4" s="3473">
        <v>5557.88</v>
      </c>
      <c r="F4" s="3474">
        <v>-3</v>
      </c>
      <c r="G4" s="3474">
        <v>-369</v>
      </c>
      <c r="H4" s="3474">
        <v>58.12</v>
      </c>
      <c r="I4" s="3474" t="s">
        <v>3389</v>
      </c>
      <c r="L4" s="3475"/>
      <c r="M4" s="3475" t="s">
        <v>3390</v>
      </c>
      <c r="N4" s="3475" t="s">
        <v>3391</v>
      </c>
      <c r="O4" s="3475" t="s">
        <v>3392</v>
      </c>
      <c r="P4" s="3475" t="s">
        <v>3393</v>
      </c>
      <c r="Q4" s="3476" t="s">
        <v>3394</v>
      </c>
      <c r="T4" s="3472" t="s">
        <v>3395</v>
      </c>
      <c r="U4" s="3472" t="s">
        <v>3396</v>
      </c>
      <c r="V4" s="3472" t="s">
        <v>3397</v>
      </c>
      <c r="W4" s="3472" t="s">
        <v>3396</v>
      </c>
      <c r="X4" s="3472" t="s">
        <v>3398</v>
      </c>
      <c r="Y4" s="3472" t="s">
        <v>3396</v>
      </c>
      <c r="AB4" s="3472">
        <f>SUM(AB5:AB12)</f>
        <v>37796</v>
      </c>
      <c r="AD4" s="3472">
        <f>SUM(AD5:AD12)</f>
        <v>12329</v>
      </c>
    </row>
    <row r="5" spans="2:31">
      <c r="B5" s="3602" t="s">
        <v>3399</v>
      </c>
      <c r="C5" s="3602"/>
      <c r="D5" s="3477">
        <v>4250.6000000000004</v>
      </c>
      <c r="F5" s="3474">
        <v>-3</v>
      </c>
      <c r="G5" s="3474">
        <v>-377</v>
      </c>
      <c r="H5" s="3474">
        <v>64.31</v>
      </c>
      <c r="I5" s="3474" t="s">
        <v>3400</v>
      </c>
      <c r="L5" s="3604" t="s">
        <v>3401</v>
      </c>
      <c r="M5" s="3478" t="s">
        <v>3402</v>
      </c>
      <c r="N5" s="3478" t="s">
        <v>3403</v>
      </c>
      <c r="O5" s="3479">
        <v>3654.93</v>
      </c>
      <c r="P5" s="3480">
        <f>O5*8078.25/78186.86</f>
        <v>377.62660212342581</v>
      </c>
      <c r="Q5" s="3475" t="s">
        <v>673</v>
      </c>
      <c r="R5" s="3481">
        <f>'[1]数据-取费表'!W25</f>
        <v>3</v>
      </c>
      <c r="S5" s="3472">
        <f>R5*O5</f>
        <v>10964.789999999999</v>
      </c>
      <c r="T5" s="3472">
        <f>ROUND($T$3*S5/$S$3,0)</f>
        <v>6208</v>
      </c>
      <c r="U5" s="3472">
        <f>ROUND(T5*10000/O5,0)</f>
        <v>16985</v>
      </c>
      <c r="V5" s="3472">
        <f>ROUND($V$3*AB5/$AB$4,0)</f>
        <v>3284</v>
      </c>
      <c r="W5" s="3472">
        <f>ROUND(V5*10000/O5,0)</f>
        <v>8985</v>
      </c>
      <c r="X5" s="3472">
        <f>T5-V5</f>
        <v>2924</v>
      </c>
      <c r="Y5" s="3472">
        <f>U5-W5</f>
        <v>8000</v>
      </c>
      <c r="AB5" s="3472">
        <f>ROUND(AC5*O5/10000,0)</f>
        <v>3284</v>
      </c>
      <c r="AC5" s="3472">
        <f>U5-AE5</f>
        <v>8985</v>
      </c>
      <c r="AD5" s="3472">
        <f>T5-AB5</f>
        <v>2924</v>
      </c>
      <c r="AE5" s="3472">
        <f>AE17</f>
        <v>8000</v>
      </c>
    </row>
    <row r="6" spans="2:31">
      <c r="B6" s="3602" t="s">
        <v>3404</v>
      </c>
      <c r="C6" s="3602"/>
      <c r="D6" s="3482">
        <v>4684.6400000000003</v>
      </c>
      <c r="F6" s="3474">
        <v>-3</v>
      </c>
      <c r="G6" s="3474">
        <v>-378</v>
      </c>
      <c r="H6" s="3474">
        <v>64.31</v>
      </c>
      <c r="I6" s="3474" t="s">
        <v>3400</v>
      </c>
      <c r="L6" s="3605"/>
      <c r="M6" s="3604" t="s">
        <v>3405</v>
      </c>
      <c r="N6" s="3478" t="s">
        <v>3406</v>
      </c>
      <c r="O6" s="3483">
        <v>2220.27</v>
      </c>
      <c r="P6" s="3480">
        <f t="shared" ref="P6:P12" si="0">O6*8078.25/78186.86</f>
        <v>229.39783139391966</v>
      </c>
      <c r="Q6" s="3475" t="s">
        <v>673</v>
      </c>
      <c r="R6" s="3481">
        <f>'[1]数据-取费表'!W23</f>
        <v>8.5</v>
      </c>
      <c r="S6" s="3472">
        <f t="shared" ref="S6:S12" si="1">R6*O6</f>
        <v>18872.294999999998</v>
      </c>
      <c r="T6" s="3472">
        <f t="shared" ref="T6:T12" si="2">ROUND($T$3*S6/$S$3,0)</f>
        <v>10685</v>
      </c>
      <c r="U6" s="3472">
        <f t="shared" ref="U6:U12" si="3">ROUND(T6*10000/O6,0)</f>
        <v>48125</v>
      </c>
      <c r="V6" s="3472">
        <f t="shared" ref="V6:V12" si="4">ROUND($V$3*AB6/$AB$4,0)</f>
        <v>8908</v>
      </c>
      <c r="W6" s="3472">
        <f t="shared" ref="W6:W12" si="5">ROUND(V6*10000/O6,0)</f>
        <v>40121</v>
      </c>
      <c r="X6" s="3472">
        <f t="shared" ref="X6:Y12" si="6">T6-V6</f>
        <v>1777</v>
      </c>
      <c r="Y6" s="3472">
        <f t="shared" si="6"/>
        <v>8004</v>
      </c>
      <c r="AB6" s="3472">
        <f t="shared" ref="AB6:AB12" si="7">ROUND(AC6*O6/10000,0)</f>
        <v>8909</v>
      </c>
      <c r="AC6" s="3472">
        <f t="shared" ref="AC6:AC9" si="8">U6-AE6</f>
        <v>40125</v>
      </c>
      <c r="AD6" s="3472">
        <f t="shared" ref="AD6:AE12" si="9">T6-AB6</f>
        <v>1776</v>
      </c>
      <c r="AE6" s="3472">
        <f>AE5</f>
        <v>8000</v>
      </c>
    </row>
    <row r="7" spans="2:31">
      <c r="B7" s="3602"/>
      <c r="C7" s="3482" t="s">
        <v>3407</v>
      </c>
      <c r="D7" s="3484">
        <v>3654.93</v>
      </c>
      <c r="F7" s="3474">
        <v>-3</v>
      </c>
      <c r="G7" s="3474">
        <v>-383</v>
      </c>
      <c r="H7" s="3474">
        <v>69.33</v>
      </c>
      <c r="I7" s="3474" t="s">
        <v>3408</v>
      </c>
      <c r="L7" s="3605"/>
      <c r="M7" s="3606"/>
      <c r="N7" s="3478" t="s">
        <v>3409</v>
      </c>
      <c r="O7" s="3483">
        <v>2030.33</v>
      </c>
      <c r="P7" s="3480">
        <f t="shared" si="0"/>
        <v>209.77327037433145</v>
      </c>
      <c r="Q7" s="3475" t="s">
        <v>673</v>
      </c>
      <c r="R7" s="3481">
        <f>R6</f>
        <v>8.5</v>
      </c>
      <c r="S7" s="3472">
        <f t="shared" si="1"/>
        <v>17257.805</v>
      </c>
      <c r="T7" s="3472">
        <f t="shared" si="2"/>
        <v>9771</v>
      </c>
      <c r="U7" s="3472">
        <f t="shared" si="3"/>
        <v>48125</v>
      </c>
      <c r="V7" s="3472">
        <f t="shared" si="4"/>
        <v>8146</v>
      </c>
      <c r="W7" s="3472">
        <f t="shared" si="5"/>
        <v>40122</v>
      </c>
      <c r="X7" s="3472">
        <f t="shared" si="6"/>
        <v>1625</v>
      </c>
      <c r="Y7" s="3472">
        <f t="shared" si="6"/>
        <v>8003</v>
      </c>
      <c r="AB7" s="3472">
        <f t="shared" si="7"/>
        <v>8147</v>
      </c>
      <c r="AC7" s="3472">
        <f t="shared" si="8"/>
        <v>40125</v>
      </c>
      <c r="AD7" s="3472">
        <f t="shared" si="9"/>
        <v>1624</v>
      </c>
      <c r="AE7" s="3472">
        <f>AE5</f>
        <v>8000</v>
      </c>
    </row>
    <row r="8" spans="2:31">
      <c r="B8" s="3602"/>
      <c r="C8" s="3482" t="s">
        <v>3410</v>
      </c>
      <c r="D8" s="3482">
        <v>715.03</v>
      </c>
      <c r="F8" s="3474">
        <v>-3</v>
      </c>
      <c r="G8" s="3474">
        <v>-385</v>
      </c>
      <c r="H8" s="3474">
        <v>69.33</v>
      </c>
      <c r="I8" s="3474" t="s">
        <v>3411</v>
      </c>
      <c r="L8" s="3605"/>
      <c r="M8" s="3604" t="s">
        <v>3412</v>
      </c>
      <c r="N8" s="3478" t="s">
        <v>3413</v>
      </c>
      <c r="O8" s="3485">
        <v>2323.6</v>
      </c>
      <c r="P8" s="3480">
        <f t="shared" si="0"/>
        <v>240.07386535282271</v>
      </c>
      <c r="Q8" s="3475" t="s">
        <v>673</v>
      </c>
      <c r="R8" s="3481">
        <f>'[1]数据-取费表'!W24</f>
        <v>6</v>
      </c>
      <c r="S8" s="3472">
        <f t="shared" si="1"/>
        <v>13941.599999999999</v>
      </c>
      <c r="T8" s="3472">
        <f t="shared" si="2"/>
        <v>7893</v>
      </c>
      <c r="U8" s="3472">
        <f t="shared" si="3"/>
        <v>33969</v>
      </c>
      <c r="V8" s="3472">
        <f t="shared" si="4"/>
        <v>6034</v>
      </c>
      <c r="W8" s="3472">
        <f t="shared" si="5"/>
        <v>25968</v>
      </c>
      <c r="X8" s="3472">
        <f t="shared" si="6"/>
        <v>1859</v>
      </c>
      <c r="Y8" s="3472">
        <f t="shared" si="6"/>
        <v>8001</v>
      </c>
      <c r="AB8" s="3472">
        <f t="shared" si="7"/>
        <v>6034</v>
      </c>
      <c r="AC8" s="3472">
        <f t="shared" si="8"/>
        <v>25969</v>
      </c>
      <c r="AD8" s="3472">
        <f t="shared" si="9"/>
        <v>1859</v>
      </c>
      <c r="AE8" s="3472">
        <f>AE5</f>
        <v>8000</v>
      </c>
    </row>
    <row r="9" spans="2:31">
      <c r="B9" s="3602"/>
      <c r="C9" s="3482" t="s">
        <v>3414</v>
      </c>
      <c r="D9" s="3482">
        <f>4684.64-D7-D8</f>
        <v>314.68000000000052</v>
      </c>
      <c r="F9" s="3474">
        <v>-2</v>
      </c>
      <c r="G9" s="3474">
        <v>-210</v>
      </c>
      <c r="H9" s="3474">
        <v>57.42</v>
      </c>
      <c r="I9" s="3474" t="s">
        <v>3415</v>
      </c>
      <c r="L9" s="3605"/>
      <c r="M9" s="3606"/>
      <c r="N9" s="3478" t="s">
        <v>3416</v>
      </c>
      <c r="O9" s="3485">
        <v>3234.28</v>
      </c>
      <c r="P9" s="3480">
        <f t="shared" si="0"/>
        <v>334.16513222298477</v>
      </c>
      <c r="Q9" s="3475" t="s">
        <v>673</v>
      </c>
      <c r="R9" s="3481">
        <f>R8</f>
        <v>6</v>
      </c>
      <c r="S9" s="3472">
        <f t="shared" si="1"/>
        <v>19405.68</v>
      </c>
      <c r="T9" s="3472">
        <f t="shared" si="2"/>
        <v>10987</v>
      </c>
      <c r="U9" s="3472">
        <f t="shared" si="3"/>
        <v>33970</v>
      </c>
      <c r="V9" s="3472">
        <f t="shared" si="4"/>
        <v>8398</v>
      </c>
      <c r="W9" s="3472">
        <f t="shared" si="5"/>
        <v>25966</v>
      </c>
      <c r="X9" s="3472">
        <f t="shared" si="6"/>
        <v>2589</v>
      </c>
      <c r="Y9" s="3472">
        <f t="shared" si="6"/>
        <v>8004</v>
      </c>
      <c r="AB9" s="3472">
        <f t="shared" si="7"/>
        <v>8399</v>
      </c>
      <c r="AC9" s="3472">
        <f t="shared" si="8"/>
        <v>25970</v>
      </c>
      <c r="AD9" s="3472">
        <f t="shared" si="9"/>
        <v>2588</v>
      </c>
      <c r="AE9" s="3472">
        <f>AE5</f>
        <v>8000</v>
      </c>
    </row>
    <row r="10" spans="2:31">
      <c r="B10" s="3602" t="s">
        <v>3417</v>
      </c>
      <c r="C10" s="3602"/>
      <c r="D10" s="3482">
        <f>D11+D12</f>
        <v>3939.920000000001</v>
      </c>
      <c r="F10" s="3474">
        <v>-2</v>
      </c>
      <c r="G10" s="3474">
        <v>-247</v>
      </c>
      <c r="H10" s="3474">
        <v>60.23</v>
      </c>
      <c r="I10" s="3474" t="s">
        <v>3418</v>
      </c>
      <c r="L10" s="3605"/>
      <c r="M10" s="3486" t="s">
        <v>3419</v>
      </c>
      <c r="N10" s="3478"/>
      <c r="O10" s="3475">
        <v>2863.19</v>
      </c>
      <c r="P10" s="3480">
        <f t="shared" si="0"/>
        <v>295.82419114285955</v>
      </c>
      <c r="Q10" s="3475" t="s">
        <v>3420</v>
      </c>
      <c r="R10" s="3481">
        <f>'[1]数据-取费表'!W26</f>
        <v>0.8</v>
      </c>
      <c r="S10" s="3472">
        <f t="shared" si="1"/>
        <v>2290.5520000000001</v>
      </c>
      <c r="T10" s="3472">
        <f t="shared" si="2"/>
        <v>1297</v>
      </c>
      <c r="U10" s="3472">
        <f t="shared" si="3"/>
        <v>4530</v>
      </c>
      <c r="V10" s="3472">
        <f t="shared" si="4"/>
        <v>856</v>
      </c>
      <c r="W10" s="3472">
        <f t="shared" si="5"/>
        <v>2990</v>
      </c>
      <c r="X10" s="3472">
        <f t="shared" si="6"/>
        <v>441</v>
      </c>
      <c r="Y10" s="3472">
        <f t="shared" si="6"/>
        <v>1540</v>
      </c>
      <c r="AB10" s="3472">
        <f t="shared" si="7"/>
        <v>856</v>
      </c>
      <c r="AC10" s="3472">
        <f>[3]基准地价修正!$C$42</f>
        <v>2990</v>
      </c>
      <c r="AD10" s="3472">
        <f t="shared" si="9"/>
        <v>441</v>
      </c>
      <c r="AE10" s="3472">
        <f t="shared" si="9"/>
        <v>1540</v>
      </c>
    </row>
    <row r="11" spans="2:31">
      <c r="B11" s="3602"/>
      <c r="C11" s="3482" t="s">
        <v>3421</v>
      </c>
      <c r="D11" s="3482">
        <f>SUM(H9:H12)+SUM(H160:H205)</f>
        <v>3110.4900000000007</v>
      </c>
      <c r="F11" s="3474">
        <v>-2</v>
      </c>
      <c r="G11" s="3474">
        <v>-249</v>
      </c>
      <c r="H11" s="3474">
        <v>60.23</v>
      </c>
      <c r="I11" s="3474" t="s">
        <v>3418</v>
      </c>
      <c r="L11" s="3605"/>
      <c r="M11" s="3486" t="s">
        <v>3422</v>
      </c>
      <c r="N11" s="3478"/>
      <c r="O11" s="3475">
        <v>5161.18</v>
      </c>
      <c r="P11" s="3480">
        <f t="shared" si="0"/>
        <v>533.2520366593568</v>
      </c>
      <c r="Q11" s="3475" t="s">
        <v>3420</v>
      </c>
      <c r="R11" s="3481">
        <f>R10</f>
        <v>0.8</v>
      </c>
      <c r="S11" s="3472">
        <f t="shared" si="1"/>
        <v>4128.9440000000004</v>
      </c>
      <c r="T11" s="3472">
        <f t="shared" si="2"/>
        <v>2338</v>
      </c>
      <c r="U11" s="3472">
        <f t="shared" si="3"/>
        <v>4530</v>
      </c>
      <c r="V11" s="3472">
        <f t="shared" si="4"/>
        <v>1543</v>
      </c>
      <c r="W11" s="3472">
        <f t="shared" si="5"/>
        <v>2990</v>
      </c>
      <c r="X11" s="3472">
        <f t="shared" si="6"/>
        <v>795</v>
      </c>
      <c r="Y11" s="3472">
        <f t="shared" si="6"/>
        <v>1540</v>
      </c>
      <c r="AB11" s="3472">
        <f t="shared" si="7"/>
        <v>1543</v>
      </c>
      <c r="AC11" s="3472">
        <f>AC10</f>
        <v>2990</v>
      </c>
      <c r="AD11" s="3472">
        <f t="shared" si="9"/>
        <v>795</v>
      </c>
      <c r="AE11" s="3472">
        <f t="shared" si="9"/>
        <v>1540</v>
      </c>
    </row>
    <row r="12" spans="2:31">
      <c r="B12" s="3602"/>
      <c r="C12" s="3482" t="s">
        <v>3423</v>
      </c>
      <c r="D12" s="3482">
        <f>SUM(H206:H224)</f>
        <v>829.43000000000006</v>
      </c>
      <c r="F12" s="3474">
        <v>-2</v>
      </c>
      <c r="G12" s="3474">
        <v>-263</v>
      </c>
      <c r="H12" s="3474">
        <v>69.42</v>
      </c>
      <c r="I12" s="3474" t="s">
        <v>3424</v>
      </c>
      <c r="L12" s="3605"/>
      <c r="M12" s="3486" t="s">
        <v>3425</v>
      </c>
      <c r="N12" s="3478"/>
      <c r="O12" s="3487">
        <v>2088.5300000000002</v>
      </c>
      <c r="P12" s="3480">
        <f t="shared" si="0"/>
        <v>215.78648218511398</v>
      </c>
      <c r="Q12" s="3475" t="s">
        <v>3420</v>
      </c>
      <c r="R12" s="3481">
        <f>R10</f>
        <v>0.8</v>
      </c>
      <c r="S12" s="3472">
        <f t="shared" si="1"/>
        <v>1670.8240000000003</v>
      </c>
      <c r="T12" s="3472">
        <f t="shared" si="2"/>
        <v>946</v>
      </c>
      <c r="U12" s="3472">
        <f t="shared" si="3"/>
        <v>4530</v>
      </c>
      <c r="V12" s="3472">
        <f t="shared" si="4"/>
        <v>624</v>
      </c>
      <c r="W12" s="3472">
        <f t="shared" si="5"/>
        <v>2988</v>
      </c>
      <c r="X12" s="3472">
        <f t="shared" si="6"/>
        <v>322</v>
      </c>
      <c r="Y12" s="3472">
        <f t="shared" si="6"/>
        <v>1542</v>
      </c>
      <c r="AB12" s="3472">
        <f t="shared" si="7"/>
        <v>624</v>
      </c>
      <c r="AC12" s="3472">
        <f>AC10</f>
        <v>2990</v>
      </c>
      <c r="AD12" s="3472">
        <f t="shared" si="9"/>
        <v>322</v>
      </c>
      <c r="AE12" s="3472">
        <f t="shared" si="9"/>
        <v>1540</v>
      </c>
    </row>
    <row r="13" spans="2:31">
      <c r="B13" s="3602" t="s">
        <v>3426</v>
      </c>
      <c r="C13" s="3602"/>
      <c r="D13" s="3482">
        <f>D14+D15</f>
        <v>6424.1600000000008</v>
      </c>
      <c r="F13" s="3488">
        <v>-4</v>
      </c>
      <c r="G13" s="3488">
        <v>215</v>
      </c>
      <c r="H13" s="3488">
        <v>68.06</v>
      </c>
      <c r="I13" s="3488" t="s">
        <v>3427</v>
      </c>
      <c r="L13" s="3475" t="s">
        <v>3428</v>
      </c>
      <c r="M13" s="3475"/>
      <c r="N13" s="3475"/>
      <c r="O13" s="3475">
        <f>SUM(O5:O12)</f>
        <v>23576.309999999998</v>
      </c>
      <c r="P13" s="3480">
        <f>SUM(P5:P12)</f>
        <v>2435.8994114548145</v>
      </c>
      <c r="Q13" s="3475"/>
    </row>
    <row r="14" spans="2:31">
      <c r="B14" s="3602"/>
      <c r="C14" s="3482" t="s">
        <v>3427</v>
      </c>
      <c r="D14" s="3482">
        <f>SUM(H56:H138,H4:H8)</f>
        <v>5486.5800000000008</v>
      </c>
      <c r="F14" s="3488">
        <v>-4</v>
      </c>
      <c r="G14" s="3488">
        <v>216</v>
      </c>
      <c r="H14" s="3488">
        <v>66</v>
      </c>
      <c r="I14" s="3488" t="s">
        <v>3427</v>
      </c>
      <c r="L14" s="3489" t="s">
        <v>3429</v>
      </c>
      <c r="M14" s="3489"/>
      <c r="N14" s="3489"/>
      <c r="O14" s="3489"/>
      <c r="P14" s="3489"/>
      <c r="Q14" s="3489"/>
    </row>
    <row r="15" spans="2:31" ht="12" customHeight="1">
      <c r="B15" s="3602"/>
      <c r="C15" s="3482" t="s">
        <v>3430</v>
      </c>
      <c r="D15" s="3482">
        <f>SUM(H139:H159)</f>
        <v>937.57999999999993</v>
      </c>
      <c r="F15" s="3488">
        <v>-4</v>
      </c>
      <c r="G15" s="3488">
        <v>217</v>
      </c>
      <c r="H15" s="3488">
        <v>68.06</v>
      </c>
      <c r="I15" s="3488" t="s">
        <v>3427</v>
      </c>
      <c r="L15" s="3489"/>
      <c r="M15" s="3490"/>
      <c r="N15" s="3490"/>
      <c r="O15" s="3490"/>
      <c r="P15" s="3490"/>
      <c r="Q15" s="3490"/>
      <c r="R15" s="3490"/>
      <c r="S15" s="3490"/>
    </row>
    <row r="16" spans="2:31">
      <c r="B16" s="3602" t="s">
        <v>3431</v>
      </c>
      <c r="C16" s="3602"/>
      <c r="D16" s="3482">
        <f>D17+D18</f>
        <v>2333.1300000000006</v>
      </c>
      <c r="F16" s="3488">
        <v>-4</v>
      </c>
      <c r="G16" s="3488">
        <v>218</v>
      </c>
      <c r="H16" s="3488">
        <v>65.81</v>
      </c>
      <c r="I16" s="3488" t="s">
        <v>3427</v>
      </c>
      <c r="AA16" s="3472" t="s">
        <v>3432</v>
      </c>
      <c r="AB16" s="3472">
        <f>SUM(AB10:AB12)</f>
        <v>3023</v>
      </c>
      <c r="AC16" s="3472">
        <f>AB16*10000/(O10+O11+O12)</f>
        <v>2989.2513522332856</v>
      </c>
      <c r="AD16" s="3472">
        <f>SUM(AD10:AD12)</f>
        <v>1558</v>
      </c>
      <c r="AE16" s="3472">
        <f>AD16*10000/(O10+O11+O12)</f>
        <v>1540.6065520276081</v>
      </c>
    </row>
    <row r="17" spans="2:31">
      <c r="B17" s="3602"/>
      <c r="C17" s="3482" t="s">
        <v>3427</v>
      </c>
      <c r="D17" s="3491">
        <f>SUM(H13:H47)</f>
        <v>2088.5300000000007</v>
      </c>
      <c r="F17" s="3488">
        <v>-4</v>
      </c>
      <c r="G17" s="3488">
        <v>219</v>
      </c>
      <c r="H17" s="3488">
        <v>63.37</v>
      </c>
      <c r="I17" s="3488" t="s">
        <v>3427</v>
      </c>
      <c r="AA17" s="3472" t="s">
        <v>3433</v>
      </c>
      <c r="AB17" s="3472">
        <f>V3-AB16</f>
        <v>34770</v>
      </c>
      <c r="AD17" s="3472">
        <f>X3-AD16</f>
        <v>10772</v>
      </c>
      <c r="AE17" s="3472">
        <f>ROUNDDOWN(AD17*10000/(面积!O5+面积!O6+面积!O7+面积!O8+面积!O9),0)</f>
        <v>8000</v>
      </c>
    </row>
    <row r="18" spans="2:31">
      <c r="B18" s="3602"/>
      <c r="C18" s="3482" t="s">
        <v>3430</v>
      </c>
      <c r="D18" s="3482">
        <f>SUM(H48:H55)</f>
        <v>244.6</v>
      </c>
      <c r="F18" s="3488">
        <v>-4</v>
      </c>
      <c r="G18" s="3488">
        <v>220</v>
      </c>
      <c r="H18" s="3488">
        <v>65.81</v>
      </c>
      <c r="I18" s="3488" t="s">
        <v>3427</v>
      </c>
      <c r="AA18" s="3472">
        <f>AA19+AA20+AA21</f>
        <v>0</v>
      </c>
    </row>
    <row r="19" spans="2:31">
      <c r="F19" s="3488">
        <v>-4</v>
      </c>
      <c r="G19" s="3488">
        <v>221</v>
      </c>
      <c r="H19" s="3488">
        <v>51.42</v>
      </c>
      <c r="I19" s="3488" t="s">
        <v>3427</v>
      </c>
    </row>
    <row r="20" spans="2:31">
      <c r="F20" s="3488">
        <v>-4</v>
      </c>
      <c r="G20" s="3488">
        <v>222</v>
      </c>
      <c r="H20" s="3488">
        <v>51.42</v>
      </c>
      <c r="I20" s="3488" t="s">
        <v>3427</v>
      </c>
      <c r="O20" s="3472" t="s">
        <v>3434</v>
      </c>
      <c r="P20" s="3472" t="s">
        <v>3435</v>
      </c>
    </row>
    <row r="21" spans="2:31">
      <c r="F21" s="3488">
        <v>-4</v>
      </c>
      <c r="G21" s="3488">
        <v>223</v>
      </c>
      <c r="H21" s="3488">
        <v>58.03</v>
      </c>
      <c r="I21" s="3488" t="s">
        <v>3427</v>
      </c>
      <c r="M21" s="3472" t="s">
        <v>3436</v>
      </c>
      <c r="N21" s="3472">
        <f>O6+O7</f>
        <v>4250.6000000000004</v>
      </c>
      <c r="O21" s="3472">
        <v>45000</v>
      </c>
      <c r="P21" s="3472">
        <f>N21*O21/10000</f>
        <v>19127.700000000004</v>
      </c>
    </row>
    <row r="22" spans="2:31">
      <c r="F22" s="3488">
        <v>-4</v>
      </c>
      <c r="G22" s="3488">
        <v>224</v>
      </c>
      <c r="H22" s="3488">
        <v>60.47</v>
      </c>
      <c r="I22" s="3488" t="s">
        <v>3427</v>
      </c>
      <c r="M22" s="3472" t="s">
        <v>3437</v>
      </c>
      <c r="N22" s="3472">
        <f>O8+O9</f>
        <v>5557.88</v>
      </c>
      <c r="O22" s="3472">
        <v>35000</v>
      </c>
      <c r="P22" s="3472">
        <f t="shared" ref="P22:P26" si="10">N22*O22/10000</f>
        <v>19452.580000000002</v>
      </c>
    </row>
    <row r="23" spans="2:31">
      <c r="F23" s="3488">
        <v>-4</v>
      </c>
      <c r="G23" s="3488">
        <v>225</v>
      </c>
      <c r="H23" s="3488">
        <v>58.03</v>
      </c>
      <c r="I23" s="3488" t="s">
        <v>3427</v>
      </c>
      <c r="M23" s="3472" t="s">
        <v>3438</v>
      </c>
      <c r="N23" s="3472">
        <f>O5</f>
        <v>3654.93</v>
      </c>
      <c r="O23" s="3472">
        <v>20000</v>
      </c>
      <c r="P23" s="3472">
        <f t="shared" si="10"/>
        <v>7309.86</v>
      </c>
    </row>
    <row r="24" spans="2:31">
      <c r="F24" s="3488">
        <v>-4</v>
      </c>
      <c r="G24" s="3488">
        <v>226</v>
      </c>
      <c r="H24" s="3488">
        <v>56.53</v>
      </c>
      <c r="I24" s="3488" t="s">
        <v>3427</v>
      </c>
      <c r="M24" s="3472" t="s">
        <v>3439</v>
      </c>
      <c r="N24" s="3472">
        <f>O10</f>
        <v>2863.19</v>
      </c>
      <c r="O24" s="3472">
        <v>5000</v>
      </c>
      <c r="P24" s="3472">
        <f t="shared" si="10"/>
        <v>1431.595</v>
      </c>
    </row>
    <row r="25" spans="2:31">
      <c r="F25" s="3488">
        <v>-4</v>
      </c>
      <c r="G25" s="3488">
        <v>227</v>
      </c>
      <c r="H25" s="3488">
        <v>58.97</v>
      </c>
      <c r="I25" s="3488" t="s">
        <v>3424</v>
      </c>
      <c r="M25" s="3472" t="s">
        <v>3440</v>
      </c>
      <c r="N25" s="3472">
        <f>O11</f>
        <v>5161.18</v>
      </c>
      <c r="O25" s="3472">
        <v>4000</v>
      </c>
      <c r="P25" s="3472">
        <f t="shared" si="10"/>
        <v>2064.4720000000002</v>
      </c>
    </row>
    <row r="26" spans="2:31">
      <c r="F26" s="3488">
        <v>-4</v>
      </c>
      <c r="G26" s="3488">
        <v>228</v>
      </c>
      <c r="H26" s="3488">
        <v>62.39</v>
      </c>
      <c r="I26" s="3488" t="s">
        <v>3441</v>
      </c>
      <c r="M26" s="3472" t="s">
        <v>3442</v>
      </c>
      <c r="N26" s="3472">
        <f>O12</f>
        <v>2088.5300000000002</v>
      </c>
      <c r="O26" s="3472">
        <v>4000</v>
      </c>
      <c r="P26" s="3472">
        <f t="shared" si="10"/>
        <v>835.41200000000015</v>
      </c>
    </row>
    <row r="27" spans="2:31">
      <c r="F27" s="3488">
        <v>-4</v>
      </c>
      <c r="G27" s="3488">
        <v>229</v>
      </c>
      <c r="H27" s="3488">
        <v>58.5</v>
      </c>
      <c r="I27" s="3488" t="s">
        <v>3424</v>
      </c>
      <c r="P27" s="3472">
        <f>SUM(P21:P26)</f>
        <v>50221.619000000006</v>
      </c>
    </row>
    <row r="28" spans="2:31">
      <c r="F28" s="3488">
        <v>-4</v>
      </c>
      <c r="G28" s="3488">
        <v>230</v>
      </c>
      <c r="H28" s="3488">
        <v>60.93</v>
      </c>
      <c r="I28" s="3488" t="s">
        <v>3424</v>
      </c>
    </row>
    <row r="29" spans="2:31">
      <c r="F29" s="3488">
        <v>-4</v>
      </c>
      <c r="G29" s="3488">
        <v>231</v>
      </c>
      <c r="H29" s="3488">
        <v>57.51</v>
      </c>
      <c r="I29" s="3488" t="s">
        <v>3424</v>
      </c>
    </row>
    <row r="30" spans="2:31">
      <c r="F30" s="3488">
        <v>-4</v>
      </c>
      <c r="G30" s="3488">
        <v>232</v>
      </c>
      <c r="H30" s="3488">
        <v>60.93</v>
      </c>
      <c r="I30" s="3488" t="s">
        <v>3424</v>
      </c>
    </row>
    <row r="31" spans="2:31">
      <c r="F31" s="3488">
        <v>-4</v>
      </c>
      <c r="G31" s="3488">
        <v>233</v>
      </c>
      <c r="H31" s="3488">
        <v>57.04</v>
      </c>
      <c r="I31" s="3488" t="s">
        <v>3424</v>
      </c>
    </row>
    <row r="32" spans="2:31">
      <c r="F32" s="3488">
        <v>-4</v>
      </c>
      <c r="G32" s="3488">
        <v>234</v>
      </c>
      <c r="H32" s="3488">
        <v>52.64</v>
      </c>
      <c r="I32" s="3488" t="s">
        <v>3424</v>
      </c>
    </row>
    <row r="33" spans="6:9">
      <c r="F33" s="3488">
        <v>-4</v>
      </c>
      <c r="G33" s="3488">
        <v>235</v>
      </c>
      <c r="H33" s="3488">
        <v>58.97</v>
      </c>
      <c r="I33" s="3488" t="s">
        <v>3424</v>
      </c>
    </row>
    <row r="34" spans="6:9">
      <c r="F34" s="3488">
        <v>-4</v>
      </c>
      <c r="G34" s="3488">
        <v>236</v>
      </c>
      <c r="H34" s="3488">
        <v>56.06</v>
      </c>
      <c r="I34" s="3488" t="s">
        <v>3424</v>
      </c>
    </row>
    <row r="35" spans="6:9">
      <c r="F35" s="3488">
        <v>-4</v>
      </c>
      <c r="G35" s="3488">
        <v>237</v>
      </c>
      <c r="H35" s="3488">
        <v>63.89</v>
      </c>
      <c r="I35" s="3488" t="s">
        <v>3424</v>
      </c>
    </row>
    <row r="36" spans="6:9">
      <c r="F36" s="3488">
        <v>-4</v>
      </c>
      <c r="G36" s="3488">
        <v>238</v>
      </c>
      <c r="H36" s="3488">
        <v>60.84</v>
      </c>
      <c r="I36" s="3488" t="s">
        <v>3424</v>
      </c>
    </row>
    <row r="37" spans="6:9">
      <c r="F37" s="3488">
        <v>-4</v>
      </c>
      <c r="G37" s="3488">
        <v>239</v>
      </c>
      <c r="H37" s="3488">
        <v>60.89</v>
      </c>
      <c r="I37" s="3488" t="s">
        <v>3424</v>
      </c>
    </row>
    <row r="38" spans="6:9">
      <c r="F38" s="3488">
        <v>-4</v>
      </c>
      <c r="G38" s="3488">
        <v>240</v>
      </c>
      <c r="H38" s="3488">
        <v>56.48</v>
      </c>
      <c r="I38" s="3488" t="s">
        <v>3424</v>
      </c>
    </row>
    <row r="39" spans="6:9">
      <c r="F39" s="3488">
        <v>-4</v>
      </c>
      <c r="G39" s="3488">
        <v>241</v>
      </c>
      <c r="H39" s="3488">
        <v>60.14</v>
      </c>
      <c r="I39" s="3488" t="s">
        <v>3424</v>
      </c>
    </row>
    <row r="40" spans="6:9">
      <c r="F40" s="3488">
        <v>-4</v>
      </c>
      <c r="G40" s="3488">
        <v>242</v>
      </c>
      <c r="H40" s="3488">
        <v>60.56</v>
      </c>
      <c r="I40" s="3488" t="s">
        <v>3424</v>
      </c>
    </row>
    <row r="41" spans="6:9">
      <c r="F41" s="3488">
        <v>-4</v>
      </c>
      <c r="G41" s="3488">
        <v>243</v>
      </c>
      <c r="H41" s="3488">
        <v>60.56</v>
      </c>
      <c r="I41" s="3488" t="s">
        <v>3424</v>
      </c>
    </row>
    <row r="42" spans="6:9">
      <c r="F42" s="3488">
        <v>-4</v>
      </c>
      <c r="G42" s="3488">
        <v>244</v>
      </c>
      <c r="H42" s="3488">
        <v>54.89</v>
      </c>
      <c r="I42" s="3488" t="s">
        <v>3424</v>
      </c>
    </row>
    <row r="43" spans="6:9">
      <c r="F43" s="3488">
        <v>-4</v>
      </c>
      <c r="G43" s="3488">
        <v>245</v>
      </c>
      <c r="H43" s="3488">
        <v>54.89</v>
      </c>
      <c r="I43" s="3488" t="s">
        <v>3424</v>
      </c>
    </row>
    <row r="44" spans="6:9">
      <c r="F44" s="3488">
        <v>-4</v>
      </c>
      <c r="G44" s="3488">
        <v>246</v>
      </c>
      <c r="H44" s="3488">
        <v>62.15</v>
      </c>
      <c r="I44" s="3488" t="s">
        <v>3424</v>
      </c>
    </row>
    <row r="45" spans="6:9">
      <c r="F45" s="3488">
        <v>-4</v>
      </c>
      <c r="G45" s="3488">
        <v>247</v>
      </c>
      <c r="H45" s="3488">
        <v>62.39</v>
      </c>
      <c r="I45" s="3488" t="s">
        <v>3424</v>
      </c>
    </row>
    <row r="46" spans="6:9">
      <c r="F46" s="3488">
        <v>-4</v>
      </c>
      <c r="G46" s="3488">
        <v>248</v>
      </c>
      <c r="H46" s="3488">
        <v>62.39</v>
      </c>
      <c r="I46" s="3488" t="s">
        <v>3424</v>
      </c>
    </row>
    <row r="47" spans="6:9">
      <c r="F47" s="3488">
        <v>-4</v>
      </c>
      <c r="G47" s="3488">
        <v>249</v>
      </c>
      <c r="H47" s="3488">
        <v>51.51</v>
      </c>
      <c r="I47" s="3488" t="s">
        <v>3424</v>
      </c>
    </row>
    <row r="48" spans="6:9">
      <c r="F48" s="3472">
        <v>-4</v>
      </c>
      <c r="G48" s="3492" t="s">
        <v>3443</v>
      </c>
      <c r="H48" s="3472">
        <v>26.71</v>
      </c>
      <c r="I48" s="3472" t="s">
        <v>3423</v>
      </c>
    </row>
    <row r="49" spans="6:9" ht="13.5">
      <c r="F49" s="3472">
        <v>-4</v>
      </c>
      <c r="G49" s="3492" t="s">
        <v>3444</v>
      </c>
      <c r="H49" s="3472">
        <v>30.22</v>
      </c>
      <c r="I49" s="3472" t="s">
        <v>3423</v>
      </c>
    </row>
    <row r="50" spans="6:9" ht="13.5">
      <c r="F50" s="3472">
        <v>-4</v>
      </c>
      <c r="G50" s="3492" t="s">
        <v>3445</v>
      </c>
      <c r="H50" s="3472">
        <v>63.79</v>
      </c>
      <c r="I50" s="3472" t="s">
        <v>3423</v>
      </c>
    </row>
    <row r="51" spans="6:9" ht="13.5">
      <c r="F51" s="3472">
        <v>-4</v>
      </c>
      <c r="G51" s="3492" t="s">
        <v>3446</v>
      </c>
      <c r="H51" s="3472">
        <v>20.81</v>
      </c>
      <c r="I51" s="3472" t="s">
        <v>3423</v>
      </c>
    </row>
    <row r="52" spans="6:9" ht="13.5">
      <c r="F52" s="3472">
        <v>-4</v>
      </c>
      <c r="G52" s="3492" t="s">
        <v>3447</v>
      </c>
      <c r="H52" s="3472">
        <v>26.79</v>
      </c>
      <c r="I52" s="3472" t="s">
        <v>3423</v>
      </c>
    </row>
    <row r="53" spans="6:9" ht="13.5">
      <c r="F53" s="3472">
        <v>-4</v>
      </c>
      <c r="G53" s="3492" t="s">
        <v>3448</v>
      </c>
      <c r="H53" s="3472">
        <v>26.79</v>
      </c>
      <c r="I53" s="3472" t="s">
        <v>3423</v>
      </c>
    </row>
    <row r="54" spans="6:9" ht="13.5">
      <c r="F54" s="3472">
        <v>-4</v>
      </c>
      <c r="G54" s="3492" t="s">
        <v>3449</v>
      </c>
      <c r="H54" s="3472">
        <v>20.81</v>
      </c>
      <c r="I54" s="3472" t="s">
        <v>3423</v>
      </c>
    </row>
    <row r="55" spans="6:9" ht="13.5">
      <c r="F55" s="3472">
        <v>-4</v>
      </c>
      <c r="G55" s="3492" t="s">
        <v>3450</v>
      </c>
      <c r="H55" s="3472">
        <v>28.68</v>
      </c>
      <c r="I55" s="3472" t="s">
        <v>3423</v>
      </c>
    </row>
    <row r="56" spans="6:9">
      <c r="F56" s="3493">
        <v>-3</v>
      </c>
      <c r="G56" s="3493">
        <v>-301</v>
      </c>
      <c r="H56" s="3493">
        <v>54.61</v>
      </c>
      <c r="I56" s="3493" t="s">
        <v>3424</v>
      </c>
    </row>
    <row r="57" spans="6:9">
      <c r="F57" s="3493">
        <v>-3</v>
      </c>
      <c r="G57" s="3493">
        <v>-302</v>
      </c>
      <c r="H57" s="3493">
        <v>64.08</v>
      </c>
      <c r="I57" s="3493" t="s">
        <v>3424</v>
      </c>
    </row>
    <row r="58" spans="6:9">
      <c r="F58" s="3493">
        <v>-3</v>
      </c>
      <c r="G58" s="3493">
        <v>-303</v>
      </c>
      <c r="H58" s="3493">
        <v>54.61</v>
      </c>
      <c r="I58" s="3493" t="s">
        <v>3424</v>
      </c>
    </row>
    <row r="59" spans="6:9">
      <c r="F59" s="3493">
        <v>-3</v>
      </c>
      <c r="G59" s="3493">
        <v>-304</v>
      </c>
      <c r="H59" s="3493">
        <v>62.11</v>
      </c>
      <c r="I59" s="3493" t="s">
        <v>3424</v>
      </c>
    </row>
    <row r="60" spans="6:9">
      <c r="F60" s="3493">
        <v>-3</v>
      </c>
      <c r="G60" s="3493">
        <v>-305</v>
      </c>
      <c r="H60" s="3493">
        <v>54.61</v>
      </c>
      <c r="I60" s="3493" t="s">
        <v>3424</v>
      </c>
    </row>
    <row r="61" spans="6:9">
      <c r="F61" s="3493">
        <v>-3</v>
      </c>
      <c r="G61" s="3493">
        <v>-306</v>
      </c>
      <c r="H61" s="3493">
        <v>62.11</v>
      </c>
      <c r="I61" s="3493" t="s">
        <v>3424</v>
      </c>
    </row>
    <row r="62" spans="6:9">
      <c r="F62" s="3493">
        <v>-3</v>
      </c>
      <c r="G62" s="3493">
        <v>-307</v>
      </c>
      <c r="H62" s="3493">
        <v>54.61</v>
      </c>
      <c r="I62" s="3493" t="s">
        <v>3424</v>
      </c>
    </row>
    <row r="63" spans="6:9">
      <c r="F63" s="3493">
        <v>-3</v>
      </c>
      <c r="G63" s="3493">
        <v>-308</v>
      </c>
      <c r="H63" s="3493">
        <v>62.11</v>
      </c>
      <c r="I63" s="3493" t="s">
        <v>3424</v>
      </c>
    </row>
    <row r="64" spans="6:9">
      <c r="F64" s="3493">
        <v>-3</v>
      </c>
      <c r="G64" s="3493">
        <v>-309</v>
      </c>
      <c r="H64" s="3493">
        <v>60.47</v>
      </c>
      <c r="I64" s="3493" t="s">
        <v>3424</v>
      </c>
    </row>
    <row r="65" spans="6:9">
      <c r="F65" s="3493">
        <v>-3</v>
      </c>
      <c r="G65" s="3493">
        <v>-310</v>
      </c>
      <c r="H65" s="3493">
        <v>60.84</v>
      </c>
      <c r="I65" s="3493" t="s">
        <v>3424</v>
      </c>
    </row>
    <row r="66" spans="6:9">
      <c r="F66" s="3493">
        <v>-3</v>
      </c>
      <c r="G66" s="3493">
        <v>-311</v>
      </c>
      <c r="H66" s="3493">
        <v>59.25</v>
      </c>
      <c r="I66" s="3493" t="s">
        <v>3424</v>
      </c>
    </row>
    <row r="67" spans="6:9">
      <c r="F67" s="3493">
        <v>-3</v>
      </c>
      <c r="G67" s="3493">
        <v>-312</v>
      </c>
      <c r="H67" s="3493">
        <v>60.84</v>
      </c>
      <c r="I67" s="3493" t="s">
        <v>3424</v>
      </c>
    </row>
    <row r="68" spans="6:9">
      <c r="F68" s="3493">
        <v>-3</v>
      </c>
      <c r="G68" s="3493">
        <v>-313</v>
      </c>
      <c r="H68" s="3493">
        <v>59.39</v>
      </c>
      <c r="I68" s="3493" t="s">
        <v>3424</v>
      </c>
    </row>
    <row r="69" spans="6:9">
      <c r="F69" s="3493">
        <v>-3</v>
      </c>
      <c r="G69" s="3493">
        <v>-314</v>
      </c>
      <c r="H69" s="3493">
        <v>57.65</v>
      </c>
      <c r="I69" s="3493" t="s">
        <v>3424</v>
      </c>
    </row>
    <row r="70" spans="6:9">
      <c r="F70" s="3493">
        <v>-3</v>
      </c>
      <c r="G70" s="3493">
        <v>-315</v>
      </c>
      <c r="H70" s="3493">
        <v>61.73</v>
      </c>
      <c r="I70" s="3493" t="s">
        <v>3424</v>
      </c>
    </row>
    <row r="71" spans="6:9">
      <c r="F71" s="3493">
        <v>-3</v>
      </c>
      <c r="G71" s="3493">
        <v>-316</v>
      </c>
      <c r="H71" s="3493">
        <v>57.65</v>
      </c>
      <c r="I71" s="3493" t="s">
        <v>3424</v>
      </c>
    </row>
    <row r="72" spans="6:9">
      <c r="F72" s="3493">
        <v>-3</v>
      </c>
      <c r="G72" s="3493">
        <v>-318</v>
      </c>
      <c r="H72" s="3493">
        <v>62.15</v>
      </c>
      <c r="I72" s="3493" t="s">
        <v>3424</v>
      </c>
    </row>
    <row r="73" spans="6:9">
      <c r="F73" s="3493">
        <v>-3</v>
      </c>
      <c r="G73" s="3493">
        <v>-319</v>
      </c>
      <c r="H73" s="3493">
        <v>58.31</v>
      </c>
      <c r="I73" s="3493" t="s">
        <v>3424</v>
      </c>
    </row>
    <row r="74" spans="6:9">
      <c r="F74" s="3493">
        <v>-3</v>
      </c>
      <c r="G74" s="3493">
        <v>-320</v>
      </c>
      <c r="H74" s="3493">
        <v>62.15</v>
      </c>
      <c r="I74" s="3493" t="s">
        <v>3424</v>
      </c>
    </row>
    <row r="75" spans="6:9">
      <c r="F75" s="3493">
        <v>-3</v>
      </c>
      <c r="G75" s="3493">
        <v>-321</v>
      </c>
      <c r="H75" s="3493">
        <v>62.15</v>
      </c>
      <c r="I75" s="3493" t="s">
        <v>3424</v>
      </c>
    </row>
    <row r="76" spans="6:9">
      <c r="F76" s="3493">
        <v>-3</v>
      </c>
      <c r="G76" s="3493">
        <v>-322</v>
      </c>
      <c r="H76" s="3493">
        <v>62.15</v>
      </c>
      <c r="I76" s="3493" t="s">
        <v>3424</v>
      </c>
    </row>
    <row r="77" spans="6:9">
      <c r="F77" s="3493">
        <v>-3</v>
      </c>
      <c r="G77" s="3493">
        <v>-323</v>
      </c>
      <c r="H77" s="3493">
        <v>63.84</v>
      </c>
      <c r="I77" s="3493" t="s">
        <v>3424</v>
      </c>
    </row>
    <row r="78" spans="6:9">
      <c r="F78" s="3493">
        <v>-3</v>
      </c>
      <c r="G78" s="3493">
        <v>-324</v>
      </c>
      <c r="H78" s="3493">
        <v>50.48</v>
      </c>
      <c r="I78" s="3493" t="s">
        <v>3424</v>
      </c>
    </row>
    <row r="79" spans="6:9">
      <c r="F79" s="3493">
        <v>-3</v>
      </c>
      <c r="G79" s="3493">
        <v>-325</v>
      </c>
      <c r="H79" s="3493">
        <v>56.86</v>
      </c>
      <c r="I79" s="3493" t="s">
        <v>3424</v>
      </c>
    </row>
    <row r="80" spans="6:9">
      <c r="F80" s="3493">
        <v>-3</v>
      </c>
      <c r="G80" s="3493">
        <v>-327</v>
      </c>
      <c r="H80" s="3493">
        <v>65.81</v>
      </c>
      <c r="I80" s="3493" t="s">
        <v>3424</v>
      </c>
    </row>
    <row r="81" spans="6:9">
      <c r="F81" s="3493">
        <v>-3</v>
      </c>
      <c r="G81" s="3493">
        <v>-328</v>
      </c>
      <c r="H81" s="3493">
        <v>67.22</v>
      </c>
      <c r="I81" s="3493" t="s">
        <v>3424</v>
      </c>
    </row>
    <row r="82" spans="6:9">
      <c r="F82" s="3493">
        <v>-3</v>
      </c>
      <c r="G82" s="3493">
        <v>-329</v>
      </c>
      <c r="H82" s="3493">
        <v>58.5</v>
      </c>
      <c r="I82" s="3493" t="s">
        <v>3424</v>
      </c>
    </row>
    <row r="83" spans="6:9">
      <c r="F83" s="3493">
        <v>-3</v>
      </c>
      <c r="G83" s="3493">
        <v>-330</v>
      </c>
      <c r="H83" s="3493">
        <v>66.23</v>
      </c>
      <c r="I83" s="3493" t="s">
        <v>3424</v>
      </c>
    </row>
    <row r="84" spans="6:9">
      <c r="F84" s="3493">
        <v>-3</v>
      </c>
      <c r="G84" s="3493">
        <v>-331</v>
      </c>
      <c r="H84" s="3493">
        <v>60.93</v>
      </c>
      <c r="I84" s="3493" t="s">
        <v>3424</v>
      </c>
    </row>
    <row r="85" spans="6:9">
      <c r="F85" s="3493">
        <v>-3</v>
      </c>
      <c r="G85" s="3493">
        <v>-332</v>
      </c>
      <c r="H85" s="3493">
        <v>66.23</v>
      </c>
      <c r="I85" s="3493" t="s">
        <v>3424</v>
      </c>
    </row>
    <row r="86" spans="6:9">
      <c r="F86" s="3493">
        <v>-3</v>
      </c>
      <c r="G86" s="3493">
        <v>-333</v>
      </c>
      <c r="H86" s="3493">
        <v>63.37</v>
      </c>
      <c r="I86" s="3493" t="s">
        <v>3424</v>
      </c>
    </row>
    <row r="87" spans="6:9">
      <c r="F87" s="3493">
        <v>-3</v>
      </c>
      <c r="G87" s="3493">
        <v>-334</v>
      </c>
      <c r="H87" s="3493">
        <v>66.23</v>
      </c>
      <c r="I87" s="3493" t="s">
        <v>3424</v>
      </c>
    </row>
    <row r="88" spans="6:9">
      <c r="F88" s="3493">
        <v>-3</v>
      </c>
      <c r="G88" s="3493">
        <v>-335</v>
      </c>
      <c r="H88" s="3493">
        <v>60.93</v>
      </c>
      <c r="I88" s="3493" t="s">
        <v>3424</v>
      </c>
    </row>
    <row r="89" spans="6:9">
      <c r="F89" s="3493">
        <v>-3</v>
      </c>
      <c r="G89" s="3493">
        <v>-336</v>
      </c>
      <c r="H89" s="3493">
        <v>66.23</v>
      </c>
      <c r="I89" s="3493" t="s">
        <v>3424</v>
      </c>
    </row>
    <row r="90" spans="6:9">
      <c r="F90" s="3493">
        <v>-3</v>
      </c>
      <c r="G90" s="3493">
        <v>-337</v>
      </c>
      <c r="H90" s="3493">
        <v>64.59</v>
      </c>
      <c r="I90" s="3493" t="s">
        <v>3424</v>
      </c>
    </row>
    <row r="91" spans="6:9">
      <c r="F91" s="3493">
        <v>-3</v>
      </c>
      <c r="G91" s="3493">
        <v>-338</v>
      </c>
      <c r="H91" s="3493">
        <v>66.23</v>
      </c>
      <c r="I91" s="3493" t="s">
        <v>3424</v>
      </c>
    </row>
    <row r="92" spans="6:9">
      <c r="F92" s="3493">
        <v>-3</v>
      </c>
      <c r="G92" s="3493">
        <v>-340</v>
      </c>
      <c r="H92" s="3493">
        <v>66.23</v>
      </c>
      <c r="I92" s="3493" t="s">
        <v>3424</v>
      </c>
    </row>
    <row r="93" spans="6:9">
      <c r="F93" s="3493">
        <v>-3</v>
      </c>
      <c r="G93" s="3493">
        <v>-341</v>
      </c>
      <c r="H93" s="3493">
        <v>66.23</v>
      </c>
      <c r="I93" s="3493" t="s">
        <v>3424</v>
      </c>
    </row>
    <row r="94" spans="6:9">
      <c r="F94" s="3493">
        <v>-3</v>
      </c>
      <c r="G94" s="3493">
        <v>-342</v>
      </c>
      <c r="H94" s="3493">
        <v>66.23</v>
      </c>
      <c r="I94" s="3493" t="s">
        <v>3424</v>
      </c>
    </row>
    <row r="95" spans="6:9">
      <c r="F95" s="3493">
        <v>-3</v>
      </c>
      <c r="G95" s="3493">
        <v>-343</v>
      </c>
      <c r="H95" s="3493">
        <v>70.08</v>
      </c>
      <c r="I95" s="3493" t="s">
        <v>3424</v>
      </c>
    </row>
    <row r="96" spans="6:9">
      <c r="F96" s="3493">
        <v>-3</v>
      </c>
      <c r="G96" s="3493">
        <v>-344</v>
      </c>
      <c r="H96" s="3493">
        <v>62.15</v>
      </c>
      <c r="I96" s="3493" t="s">
        <v>3424</v>
      </c>
    </row>
    <row r="97" spans="6:9">
      <c r="F97" s="3493">
        <v>-3</v>
      </c>
      <c r="G97" s="3493">
        <v>-345</v>
      </c>
      <c r="H97" s="3493">
        <v>62.62</v>
      </c>
      <c r="I97" s="3493" t="s">
        <v>3424</v>
      </c>
    </row>
    <row r="98" spans="6:9">
      <c r="F98" s="3493">
        <v>-3</v>
      </c>
      <c r="G98" s="3493">
        <v>-346</v>
      </c>
      <c r="H98" s="3493">
        <v>62.15</v>
      </c>
      <c r="I98" s="3493" t="s">
        <v>3424</v>
      </c>
    </row>
    <row r="99" spans="6:9">
      <c r="F99" s="3493">
        <v>-3</v>
      </c>
      <c r="G99" s="3493">
        <v>-347</v>
      </c>
      <c r="H99" s="3493">
        <v>59.06</v>
      </c>
      <c r="I99" s="3493" t="s">
        <v>3424</v>
      </c>
    </row>
    <row r="100" spans="6:9">
      <c r="F100" s="3493">
        <v>-3</v>
      </c>
      <c r="G100" s="3493">
        <v>-348</v>
      </c>
      <c r="H100" s="3493">
        <v>54.37</v>
      </c>
      <c r="I100" s="3493" t="s">
        <v>3424</v>
      </c>
    </row>
    <row r="101" spans="6:9">
      <c r="F101" s="3493">
        <v>-3</v>
      </c>
      <c r="G101" s="3493">
        <v>-349</v>
      </c>
      <c r="H101" s="3493">
        <v>54.37</v>
      </c>
      <c r="I101" s="3493" t="s">
        <v>3424</v>
      </c>
    </row>
    <row r="102" spans="6:9">
      <c r="F102" s="3493">
        <v>-3</v>
      </c>
      <c r="G102" s="3493">
        <v>-350</v>
      </c>
      <c r="H102" s="3493">
        <v>52.97</v>
      </c>
      <c r="I102" s="3493" t="s">
        <v>3424</v>
      </c>
    </row>
    <row r="103" spans="6:9">
      <c r="F103" s="3493">
        <v>-3</v>
      </c>
      <c r="G103" s="3493">
        <v>-351</v>
      </c>
      <c r="H103" s="3493">
        <v>52.97</v>
      </c>
      <c r="I103" s="3493" t="s">
        <v>3424</v>
      </c>
    </row>
    <row r="104" spans="6:9">
      <c r="F104" s="3493">
        <v>-3</v>
      </c>
      <c r="G104" s="3493">
        <v>-352</v>
      </c>
      <c r="H104" s="3493">
        <v>62.34</v>
      </c>
      <c r="I104" s="3493" t="s">
        <v>3424</v>
      </c>
    </row>
    <row r="105" spans="6:9">
      <c r="F105" s="3493">
        <v>-3</v>
      </c>
      <c r="G105" s="3493">
        <v>-353</v>
      </c>
      <c r="H105" s="3493">
        <v>59.62</v>
      </c>
      <c r="I105" s="3493" t="s">
        <v>3424</v>
      </c>
    </row>
    <row r="106" spans="6:9">
      <c r="F106" s="3493">
        <v>-3</v>
      </c>
      <c r="G106" s="3493">
        <v>-354</v>
      </c>
      <c r="H106" s="3493">
        <v>58.59</v>
      </c>
      <c r="I106" s="3493" t="s">
        <v>3424</v>
      </c>
    </row>
    <row r="107" spans="6:9">
      <c r="F107" s="3493">
        <v>-3</v>
      </c>
      <c r="G107" s="3493">
        <v>-355</v>
      </c>
      <c r="H107" s="3493">
        <v>57.14</v>
      </c>
      <c r="I107" s="3493" t="s">
        <v>3424</v>
      </c>
    </row>
    <row r="108" spans="6:9">
      <c r="F108" s="3493">
        <v>-3</v>
      </c>
      <c r="G108" s="3493">
        <v>-356</v>
      </c>
      <c r="H108" s="3493">
        <v>62.34</v>
      </c>
      <c r="I108" s="3493" t="s">
        <v>3424</v>
      </c>
    </row>
    <row r="109" spans="6:9">
      <c r="F109" s="3493">
        <v>-3</v>
      </c>
      <c r="G109" s="3493">
        <v>-357</v>
      </c>
      <c r="H109" s="3493">
        <v>59.62</v>
      </c>
      <c r="I109" s="3493" t="s">
        <v>3424</v>
      </c>
    </row>
    <row r="110" spans="6:9">
      <c r="F110" s="3493">
        <v>-3</v>
      </c>
      <c r="G110" s="3493">
        <v>-358</v>
      </c>
      <c r="H110" s="3493">
        <v>62.34</v>
      </c>
      <c r="I110" s="3493" t="s">
        <v>3424</v>
      </c>
    </row>
    <row r="111" spans="6:9">
      <c r="F111" s="3493">
        <v>-3</v>
      </c>
      <c r="G111" s="3493">
        <v>-359</v>
      </c>
      <c r="H111" s="3493">
        <v>67.400000000000006</v>
      </c>
      <c r="I111" s="3493" t="s">
        <v>3424</v>
      </c>
    </row>
    <row r="112" spans="6:9">
      <c r="F112" s="3493">
        <v>-3</v>
      </c>
      <c r="G112" s="3493">
        <v>-360</v>
      </c>
      <c r="H112" s="3493">
        <v>59.53</v>
      </c>
      <c r="I112" s="3493" t="s">
        <v>3424</v>
      </c>
    </row>
    <row r="113" spans="6:9">
      <c r="F113" s="3493">
        <v>-3</v>
      </c>
      <c r="G113" s="3493">
        <v>-361</v>
      </c>
      <c r="H113" s="3493">
        <v>64.45</v>
      </c>
      <c r="I113" s="3493" t="s">
        <v>3424</v>
      </c>
    </row>
    <row r="114" spans="6:9">
      <c r="F114" s="3493">
        <v>-3</v>
      </c>
      <c r="G114" s="3493">
        <v>-362</v>
      </c>
      <c r="H114" s="3493">
        <v>59.53</v>
      </c>
      <c r="I114" s="3493" t="s">
        <v>3424</v>
      </c>
    </row>
    <row r="115" spans="6:9">
      <c r="F115" s="3493">
        <v>-3</v>
      </c>
      <c r="G115" s="3493">
        <v>-363</v>
      </c>
      <c r="H115" s="3493">
        <v>64.45</v>
      </c>
      <c r="I115" s="3493" t="s">
        <v>3424</v>
      </c>
    </row>
    <row r="116" spans="6:9">
      <c r="F116" s="3493">
        <v>-3</v>
      </c>
      <c r="G116" s="3493">
        <v>-364</v>
      </c>
      <c r="H116" s="3493">
        <v>53.48</v>
      </c>
      <c r="I116" s="3493" t="s">
        <v>3424</v>
      </c>
    </row>
    <row r="117" spans="6:9">
      <c r="F117" s="3493">
        <v>-3</v>
      </c>
      <c r="G117" s="3493">
        <v>-365</v>
      </c>
      <c r="H117" s="3493">
        <v>68.53</v>
      </c>
      <c r="I117" s="3493" t="s">
        <v>3424</v>
      </c>
    </row>
    <row r="118" spans="6:9">
      <c r="F118" s="3493">
        <v>-3</v>
      </c>
      <c r="G118" s="3493">
        <v>-366</v>
      </c>
      <c r="H118" s="3493">
        <v>60.47</v>
      </c>
      <c r="I118" s="3493" t="s">
        <v>3424</v>
      </c>
    </row>
    <row r="119" spans="6:9">
      <c r="F119" s="3493">
        <v>-3</v>
      </c>
      <c r="G119" s="3493">
        <v>-367</v>
      </c>
      <c r="H119" s="3493">
        <v>68.53</v>
      </c>
      <c r="I119" s="3493" t="s">
        <v>3424</v>
      </c>
    </row>
    <row r="120" spans="6:9">
      <c r="F120" s="3493">
        <v>-3</v>
      </c>
      <c r="G120" s="3493">
        <v>-368</v>
      </c>
      <c r="H120" s="3493">
        <v>65.48</v>
      </c>
      <c r="I120" s="3493" t="s">
        <v>3424</v>
      </c>
    </row>
    <row r="121" spans="6:9">
      <c r="F121" s="3493">
        <v>-3</v>
      </c>
      <c r="G121" s="3493">
        <v>-370</v>
      </c>
      <c r="H121" s="3493">
        <v>63</v>
      </c>
      <c r="I121" s="3493" t="s">
        <v>3424</v>
      </c>
    </row>
    <row r="122" spans="6:9">
      <c r="F122" s="3493">
        <v>-3</v>
      </c>
      <c r="G122" s="3493">
        <v>-371</v>
      </c>
      <c r="H122" s="3493">
        <v>38.39</v>
      </c>
      <c r="I122" s="3493" t="s">
        <v>3424</v>
      </c>
    </row>
    <row r="123" spans="6:9">
      <c r="F123" s="3493">
        <v>-3</v>
      </c>
      <c r="G123" s="3493">
        <v>-372</v>
      </c>
      <c r="H123" s="3493">
        <v>78.510000000000005</v>
      </c>
      <c r="I123" s="3493" t="s">
        <v>3424</v>
      </c>
    </row>
    <row r="124" spans="6:9">
      <c r="F124" s="3493">
        <v>-3</v>
      </c>
      <c r="G124" s="3493">
        <v>-373</v>
      </c>
      <c r="H124" s="3493">
        <v>78.510000000000005</v>
      </c>
      <c r="I124" s="3493" t="s">
        <v>3424</v>
      </c>
    </row>
    <row r="125" spans="6:9">
      <c r="F125" s="3493">
        <v>-3</v>
      </c>
      <c r="G125" s="3493">
        <v>-374</v>
      </c>
      <c r="H125" s="3493">
        <v>69.47</v>
      </c>
      <c r="I125" s="3493" t="s">
        <v>3424</v>
      </c>
    </row>
    <row r="126" spans="6:9">
      <c r="F126" s="3493">
        <v>-3</v>
      </c>
      <c r="G126" s="3493">
        <v>-376</v>
      </c>
      <c r="H126" s="3493">
        <v>67.03</v>
      </c>
      <c r="I126" s="3493" t="s">
        <v>3424</v>
      </c>
    </row>
    <row r="127" spans="6:9">
      <c r="F127" s="3493">
        <v>-3</v>
      </c>
      <c r="G127" s="3493">
        <v>-379</v>
      </c>
      <c r="H127" s="3493">
        <v>69.56</v>
      </c>
      <c r="I127" s="3493" t="s">
        <v>3424</v>
      </c>
    </row>
    <row r="128" spans="6:9">
      <c r="F128" s="3493">
        <v>-3</v>
      </c>
      <c r="G128" s="3493">
        <v>-380</v>
      </c>
      <c r="H128" s="3493">
        <v>65.39</v>
      </c>
      <c r="I128" s="3493" t="s">
        <v>3424</v>
      </c>
    </row>
    <row r="129" spans="6:9">
      <c r="F129" s="3493">
        <v>-3</v>
      </c>
      <c r="G129" s="3493">
        <v>-381</v>
      </c>
      <c r="H129" s="3493">
        <v>67.400000000000006</v>
      </c>
      <c r="I129" s="3493" t="s">
        <v>3424</v>
      </c>
    </row>
    <row r="130" spans="6:9">
      <c r="F130" s="3493">
        <v>-3</v>
      </c>
      <c r="G130" s="3493">
        <v>-382</v>
      </c>
      <c r="H130" s="3493">
        <v>65.2</v>
      </c>
      <c r="I130" s="3493" t="s">
        <v>3424</v>
      </c>
    </row>
    <row r="131" spans="6:9">
      <c r="F131" s="3493">
        <v>-3</v>
      </c>
      <c r="G131" s="3493">
        <v>-384</v>
      </c>
      <c r="H131" s="3493">
        <v>63.28</v>
      </c>
      <c r="I131" s="3493" t="s">
        <v>3424</v>
      </c>
    </row>
    <row r="132" spans="6:9">
      <c r="F132" s="3493">
        <v>-3</v>
      </c>
      <c r="G132" s="3493">
        <v>-386</v>
      </c>
      <c r="H132" s="3493">
        <v>62.53</v>
      </c>
      <c r="I132" s="3493" t="s">
        <v>3424</v>
      </c>
    </row>
    <row r="133" spans="6:9">
      <c r="F133" s="3493">
        <v>-3</v>
      </c>
      <c r="G133" s="3493">
        <v>-387</v>
      </c>
      <c r="H133" s="3493">
        <v>67.5</v>
      </c>
      <c r="I133" s="3493" t="s">
        <v>3424</v>
      </c>
    </row>
    <row r="134" spans="6:9">
      <c r="F134" s="3493">
        <v>-3</v>
      </c>
      <c r="G134" s="3493">
        <v>-388</v>
      </c>
      <c r="H134" s="3493">
        <v>62.11</v>
      </c>
      <c r="I134" s="3493" t="s">
        <v>3424</v>
      </c>
    </row>
    <row r="135" spans="6:9">
      <c r="F135" s="3493">
        <v>-3</v>
      </c>
      <c r="G135" s="3493">
        <v>-389</v>
      </c>
      <c r="H135" s="3493">
        <v>67.5</v>
      </c>
      <c r="I135" s="3493" t="s">
        <v>3424</v>
      </c>
    </row>
    <row r="136" spans="6:9">
      <c r="F136" s="3493">
        <v>-3</v>
      </c>
      <c r="G136" s="3493">
        <v>-390</v>
      </c>
      <c r="H136" s="3493">
        <v>60.93</v>
      </c>
      <c r="I136" s="3493" t="s">
        <v>3424</v>
      </c>
    </row>
    <row r="137" spans="6:9">
      <c r="F137" s="3493">
        <v>-3</v>
      </c>
      <c r="G137" s="3493">
        <v>-391</v>
      </c>
      <c r="H137" s="3493">
        <v>68.72</v>
      </c>
      <c r="I137" s="3493" t="s">
        <v>3424</v>
      </c>
    </row>
    <row r="138" spans="6:9">
      <c r="F138" s="3493">
        <v>-3</v>
      </c>
      <c r="G138" s="3493">
        <v>-392</v>
      </c>
      <c r="H138" s="3493">
        <v>65.62</v>
      </c>
      <c r="I138" s="3493" t="s">
        <v>3424</v>
      </c>
    </row>
    <row r="139" spans="6:9">
      <c r="F139" s="3472">
        <v>-3</v>
      </c>
      <c r="G139" s="3492" t="s">
        <v>3451</v>
      </c>
      <c r="H139" s="3472">
        <v>20.29</v>
      </c>
      <c r="I139" s="3472" t="s">
        <v>3423</v>
      </c>
    </row>
    <row r="140" spans="6:9" ht="13.5">
      <c r="F140" s="3472">
        <v>-3</v>
      </c>
      <c r="G140" s="3492" t="s">
        <v>3452</v>
      </c>
      <c r="H140" s="3472">
        <v>31.77</v>
      </c>
      <c r="I140" s="3472" t="s">
        <v>3423</v>
      </c>
    </row>
    <row r="141" spans="6:9" ht="13.5">
      <c r="F141" s="3472">
        <v>-3</v>
      </c>
      <c r="G141" s="3492" t="s">
        <v>3453</v>
      </c>
      <c r="H141" s="3472">
        <v>30.22</v>
      </c>
      <c r="I141" s="3472" t="s">
        <v>3423</v>
      </c>
    </row>
    <row r="142" spans="6:9" ht="13.5">
      <c r="F142" s="3472">
        <v>-3</v>
      </c>
      <c r="G142" s="3492" t="s">
        <v>3454</v>
      </c>
      <c r="H142" s="3472">
        <v>48.51</v>
      </c>
      <c r="I142" s="3472" t="s">
        <v>3423</v>
      </c>
    </row>
    <row r="143" spans="6:9" ht="13.5">
      <c r="F143" s="3472">
        <v>-3</v>
      </c>
      <c r="G143" s="3492" t="s">
        <v>3455</v>
      </c>
      <c r="H143" s="3472">
        <v>20.81</v>
      </c>
      <c r="I143" s="3472" t="s">
        <v>3423</v>
      </c>
    </row>
    <row r="144" spans="6:9" ht="13.5">
      <c r="F144" s="3472">
        <v>-3</v>
      </c>
      <c r="G144" s="3492" t="s">
        <v>3456</v>
      </c>
      <c r="H144" s="3472">
        <v>26.79</v>
      </c>
      <c r="I144" s="3472" t="s">
        <v>3423</v>
      </c>
    </row>
    <row r="145" spans="6:9" ht="13.5">
      <c r="F145" s="3472">
        <v>-3</v>
      </c>
      <c r="G145" s="3492" t="s">
        <v>3457</v>
      </c>
      <c r="H145" s="3472">
        <v>26.79</v>
      </c>
      <c r="I145" s="3472" t="s">
        <v>3423</v>
      </c>
    </row>
    <row r="146" spans="6:9" ht="13.5">
      <c r="F146" s="3472">
        <v>-3</v>
      </c>
      <c r="G146" s="3492" t="s">
        <v>3458</v>
      </c>
      <c r="H146" s="3472">
        <v>20.81</v>
      </c>
      <c r="I146" s="3472" t="s">
        <v>3423</v>
      </c>
    </row>
    <row r="147" spans="6:9" ht="13.5">
      <c r="F147" s="3472">
        <v>-3</v>
      </c>
      <c r="G147" s="3492" t="s">
        <v>3459</v>
      </c>
      <c r="H147" s="3472">
        <v>65.33</v>
      </c>
      <c r="I147" s="3472" t="s">
        <v>3423</v>
      </c>
    </row>
    <row r="148" spans="6:9" ht="13.5">
      <c r="F148" s="3472">
        <v>-3</v>
      </c>
      <c r="G148" s="3492" t="s">
        <v>3460</v>
      </c>
      <c r="H148" s="3472">
        <v>65.33</v>
      </c>
      <c r="I148" s="3472" t="s">
        <v>3461</v>
      </c>
    </row>
    <row r="149" spans="6:9" ht="13.5">
      <c r="F149" s="3472">
        <v>-3</v>
      </c>
      <c r="G149" s="3492" t="s">
        <v>3462</v>
      </c>
      <c r="H149" s="3472">
        <v>28.68</v>
      </c>
      <c r="I149" s="3472" t="s">
        <v>3461</v>
      </c>
    </row>
    <row r="150" spans="6:9" ht="13.5">
      <c r="F150" s="3472">
        <v>-3</v>
      </c>
      <c r="G150" s="3492" t="s">
        <v>3463</v>
      </c>
      <c r="H150" s="3472">
        <v>29.81</v>
      </c>
      <c r="I150" s="3472" t="s">
        <v>3461</v>
      </c>
    </row>
    <row r="151" spans="6:9" ht="13.5">
      <c r="F151" s="3472">
        <v>-3</v>
      </c>
      <c r="G151" s="3492" t="s">
        <v>3464</v>
      </c>
      <c r="H151" s="3472">
        <v>26.87</v>
      </c>
      <c r="I151" s="3472" t="s">
        <v>3461</v>
      </c>
    </row>
    <row r="152" spans="6:9" ht="13.5">
      <c r="F152" s="3472">
        <v>-3</v>
      </c>
      <c r="G152" s="3492" t="s">
        <v>3465</v>
      </c>
      <c r="H152" s="3472">
        <v>27.79</v>
      </c>
      <c r="I152" s="3472" t="s">
        <v>3461</v>
      </c>
    </row>
    <row r="153" spans="6:9" ht="13.5">
      <c r="F153" s="3472">
        <v>-3</v>
      </c>
      <c r="G153" s="3492" t="s">
        <v>3466</v>
      </c>
      <c r="H153" s="3472">
        <v>49.91</v>
      </c>
      <c r="I153" s="3472" t="s">
        <v>3461</v>
      </c>
    </row>
    <row r="154" spans="6:9" ht="13.5">
      <c r="F154" s="3472">
        <v>-3</v>
      </c>
      <c r="G154" s="3492" t="s">
        <v>3467</v>
      </c>
      <c r="H154" s="3472">
        <v>107.81</v>
      </c>
      <c r="I154" s="3472" t="s">
        <v>3461</v>
      </c>
    </row>
    <row r="155" spans="6:9" ht="13.5">
      <c r="F155" s="3472">
        <v>-3</v>
      </c>
      <c r="G155" s="3492" t="s">
        <v>3468</v>
      </c>
      <c r="H155" s="3472">
        <v>52.33</v>
      </c>
      <c r="I155" s="3472" t="s">
        <v>3461</v>
      </c>
    </row>
    <row r="156" spans="6:9" ht="13.5">
      <c r="F156" s="3472">
        <v>-3</v>
      </c>
      <c r="G156" s="3492" t="s">
        <v>3469</v>
      </c>
      <c r="H156" s="3472">
        <v>25.4</v>
      </c>
      <c r="I156" s="3472" t="s">
        <v>3461</v>
      </c>
    </row>
    <row r="157" spans="6:9" ht="13.5">
      <c r="F157" s="3472">
        <v>-3</v>
      </c>
      <c r="G157" s="3492" t="s">
        <v>3470</v>
      </c>
      <c r="H157" s="3472">
        <v>28.03</v>
      </c>
      <c r="I157" s="3472" t="s">
        <v>3461</v>
      </c>
    </row>
    <row r="158" spans="6:9" ht="13.5">
      <c r="F158" s="3472">
        <v>-3</v>
      </c>
      <c r="G158" s="3492" t="s">
        <v>3471</v>
      </c>
      <c r="H158" s="3472">
        <v>73.650000000000006</v>
      </c>
      <c r="I158" s="3472" t="s">
        <v>3461</v>
      </c>
    </row>
    <row r="159" spans="6:9" ht="13.5">
      <c r="F159" s="3472">
        <v>-3</v>
      </c>
      <c r="G159" s="3492" t="s">
        <v>3472</v>
      </c>
      <c r="H159" s="3472">
        <v>130.65</v>
      </c>
      <c r="I159" s="3472" t="s">
        <v>3461</v>
      </c>
    </row>
    <row r="160" spans="6:9">
      <c r="F160" s="3494">
        <v>-2</v>
      </c>
      <c r="G160" s="3494">
        <v>-202</v>
      </c>
      <c r="H160" s="3494">
        <v>55.78</v>
      </c>
      <c r="I160" s="3494" t="s">
        <v>3424</v>
      </c>
    </row>
    <row r="161" spans="6:9">
      <c r="F161" s="3494">
        <v>-2</v>
      </c>
      <c r="G161" s="3494">
        <v>-205</v>
      </c>
      <c r="H161" s="3494">
        <v>53.48</v>
      </c>
      <c r="I161" s="3494" t="s">
        <v>3424</v>
      </c>
    </row>
    <row r="162" spans="6:9">
      <c r="F162" s="3494">
        <v>-2</v>
      </c>
      <c r="G162" s="3494">
        <v>-206</v>
      </c>
      <c r="H162" s="3494">
        <v>58.59</v>
      </c>
      <c r="I162" s="3494" t="s">
        <v>3424</v>
      </c>
    </row>
    <row r="163" spans="6:9">
      <c r="F163" s="3494">
        <v>-2</v>
      </c>
      <c r="G163" s="3494">
        <v>-207</v>
      </c>
      <c r="H163" s="3494">
        <v>53.48</v>
      </c>
      <c r="I163" s="3494" t="s">
        <v>3424</v>
      </c>
    </row>
    <row r="164" spans="6:9">
      <c r="F164" s="3494">
        <v>-2</v>
      </c>
      <c r="G164" s="3494">
        <v>-212</v>
      </c>
      <c r="H164" s="3494">
        <v>57.42</v>
      </c>
      <c r="I164" s="3494" t="s">
        <v>3424</v>
      </c>
    </row>
    <row r="165" spans="6:9">
      <c r="F165" s="3494">
        <v>-2</v>
      </c>
      <c r="G165" s="3494">
        <v>-214</v>
      </c>
      <c r="H165" s="3494">
        <v>54.37</v>
      </c>
      <c r="I165" s="3494" t="s">
        <v>3424</v>
      </c>
    </row>
    <row r="166" spans="6:9">
      <c r="F166" s="3494">
        <v>-2</v>
      </c>
      <c r="G166" s="3494">
        <v>-215</v>
      </c>
      <c r="H166" s="3494">
        <v>63.23</v>
      </c>
      <c r="I166" s="3494" t="s">
        <v>3424</v>
      </c>
    </row>
    <row r="167" spans="6:9">
      <c r="F167" s="3494">
        <v>-2</v>
      </c>
      <c r="G167" s="3494">
        <v>-216</v>
      </c>
      <c r="H167" s="3494">
        <v>54.37</v>
      </c>
      <c r="I167" s="3494" t="s">
        <v>3424</v>
      </c>
    </row>
    <row r="168" spans="6:9">
      <c r="F168" s="3494">
        <v>-2</v>
      </c>
      <c r="G168" s="3494">
        <v>-217</v>
      </c>
      <c r="H168" s="3494">
        <v>66.33</v>
      </c>
      <c r="I168" s="3494" t="s">
        <v>3424</v>
      </c>
    </row>
    <row r="169" spans="6:9">
      <c r="F169" s="3494">
        <v>-2</v>
      </c>
      <c r="G169" s="3494">
        <v>-218</v>
      </c>
      <c r="H169" s="3494">
        <v>58.59</v>
      </c>
      <c r="I169" s="3494" t="s">
        <v>3424</v>
      </c>
    </row>
    <row r="170" spans="6:9">
      <c r="F170" s="3494">
        <v>-2</v>
      </c>
      <c r="G170" s="3494">
        <v>-219</v>
      </c>
      <c r="H170" s="3494">
        <v>58.59</v>
      </c>
      <c r="I170" s="3494" t="s">
        <v>3424</v>
      </c>
    </row>
    <row r="171" spans="6:9">
      <c r="F171" s="3494">
        <v>-2</v>
      </c>
      <c r="G171" s="3494">
        <v>-221</v>
      </c>
      <c r="H171" s="3494">
        <v>62.81</v>
      </c>
      <c r="I171" s="3494" t="s">
        <v>3424</v>
      </c>
    </row>
    <row r="172" spans="6:9">
      <c r="F172" s="3494">
        <v>-2</v>
      </c>
      <c r="G172" s="3494">
        <v>-223</v>
      </c>
      <c r="H172" s="3494">
        <v>61.4</v>
      </c>
      <c r="I172" s="3494" t="s">
        <v>3424</v>
      </c>
    </row>
    <row r="173" spans="6:9">
      <c r="F173" s="3494">
        <v>-2</v>
      </c>
      <c r="G173" s="3494">
        <v>-229</v>
      </c>
      <c r="H173" s="3494">
        <v>61.54</v>
      </c>
      <c r="I173" s="3494" t="s">
        <v>3424</v>
      </c>
    </row>
    <row r="174" spans="6:9">
      <c r="F174" s="3494">
        <v>-2</v>
      </c>
      <c r="G174" s="3494">
        <v>-232</v>
      </c>
      <c r="H174" s="3494">
        <v>66.47</v>
      </c>
      <c r="I174" s="3494" t="s">
        <v>3424</v>
      </c>
    </row>
    <row r="175" spans="6:9">
      <c r="F175" s="3494">
        <v>-2</v>
      </c>
      <c r="G175" s="3494">
        <v>-234</v>
      </c>
      <c r="H175" s="3494">
        <v>66.47</v>
      </c>
      <c r="I175" s="3494" t="s">
        <v>3424</v>
      </c>
    </row>
    <row r="176" spans="6:9">
      <c r="F176" s="3494">
        <v>-2</v>
      </c>
      <c r="G176" s="3494">
        <v>-237</v>
      </c>
      <c r="H176" s="3494">
        <v>65.25</v>
      </c>
      <c r="I176" s="3494" t="s">
        <v>3424</v>
      </c>
    </row>
    <row r="177" spans="6:9">
      <c r="F177" s="3494">
        <v>-2</v>
      </c>
      <c r="G177" s="3494">
        <v>-238</v>
      </c>
      <c r="H177" s="3494">
        <v>66.47</v>
      </c>
      <c r="I177" s="3494" t="s">
        <v>3424</v>
      </c>
    </row>
    <row r="178" spans="6:9">
      <c r="F178" s="3494">
        <v>-2</v>
      </c>
      <c r="G178" s="3494">
        <v>-239</v>
      </c>
      <c r="H178" s="3494">
        <v>64.31</v>
      </c>
      <c r="I178" s="3494" t="s">
        <v>3424</v>
      </c>
    </row>
    <row r="179" spans="6:9">
      <c r="F179" s="3494">
        <v>-2</v>
      </c>
      <c r="G179" s="3494">
        <v>-240</v>
      </c>
      <c r="H179" s="3494">
        <v>66.47</v>
      </c>
      <c r="I179" s="3494" t="s">
        <v>3424</v>
      </c>
    </row>
    <row r="180" spans="6:9">
      <c r="F180" s="3494">
        <v>-2</v>
      </c>
      <c r="G180" s="3494">
        <v>-241</v>
      </c>
      <c r="H180" s="3494">
        <v>62.72</v>
      </c>
      <c r="I180" s="3494" t="s">
        <v>3424</v>
      </c>
    </row>
    <row r="181" spans="6:9">
      <c r="F181" s="3494">
        <v>-2</v>
      </c>
      <c r="G181" s="3494">
        <v>-242</v>
      </c>
      <c r="H181" s="3494">
        <v>65.290000000000006</v>
      </c>
      <c r="I181" s="3494" t="s">
        <v>3424</v>
      </c>
    </row>
    <row r="182" spans="6:9">
      <c r="F182" s="3494">
        <v>-2</v>
      </c>
      <c r="G182" s="3494">
        <v>-243</v>
      </c>
      <c r="H182" s="3494">
        <v>62.72</v>
      </c>
      <c r="I182" s="3494" t="s">
        <v>3424</v>
      </c>
    </row>
    <row r="183" spans="6:9">
      <c r="F183" s="3494">
        <v>-2</v>
      </c>
      <c r="G183" s="3494">
        <v>-244</v>
      </c>
      <c r="H183" s="3494">
        <v>65.290000000000006</v>
      </c>
      <c r="I183" s="3494" t="s">
        <v>3424</v>
      </c>
    </row>
    <row r="184" spans="6:9">
      <c r="F184" s="3494">
        <v>-2</v>
      </c>
      <c r="G184" s="3494">
        <v>-245</v>
      </c>
      <c r="H184" s="3494">
        <v>65.290000000000006</v>
      </c>
      <c r="I184" s="3494" t="s">
        <v>3424</v>
      </c>
    </row>
    <row r="185" spans="6:9">
      <c r="F185" s="3494">
        <v>-2</v>
      </c>
      <c r="G185" s="3494">
        <v>-246</v>
      </c>
      <c r="H185" s="3494">
        <v>63.61</v>
      </c>
      <c r="I185" s="3494" t="s">
        <v>3424</v>
      </c>
    </row>
    <row r="186" spans="6:9">
      <c r="F186" s="3494">
        <v>-2</v>
      </c>
      <c r="G186" s="3494">
        <v>-250</v>
      </c>
      <c r="H186" s="3494">
        <v>63.61</v>
      </c>
      <c r="I186" s="3494" t="s">
        <v>3424</v>
      </c>
    </row>
    <row r="187" spans="6:9">
      <c r="F187" s="3494">
        <v>-2</v>
      </c>
      <c r="G187" s="3494">
        <v>-251</v>
      </c>
      <c r="H187" s="3494">
        <v>62.01</v>
      </c>
      <c r="I187" s="3494" t="s">
        <v>3424</v>
      </c>
    </row>
    <row r="188" spans="6:9">
      <c r="F188" s="3494">
        <v>-2</v>
      </c>
      <c r="G188" s="3494">
        <v>-255</v>
      </c>
      <c r="H188" s="3494">
        <v>68.2</v>
      </c>
      <c r="I188" s="3494" t="s">
        <v>3424</v>
      </c>
    </row>
    <row r="189" spans="6:9">
      <c r="F189" s="3494">
        <v>-2</v>
      </c>
      <c r="G189" s="3494">
        <v>-259</v>
      </c>
      <c r="H189" s="3494">
        <v>67.680000000000007</v>
      </c>
      <c r="I189" s="3494" t="s">
        <v>3424</v>
      </c>
    </row>
    <row r="190" spans="6:9">
      <c r="F190" s="3494">
        <v>-2</v>
      </c>
      <c r="G190" s="3494">
        <v>-260</v>
      </c>
      <c r="H190" s="3494">
        <v>64.73</v>
      </c>
      <c r="I190" s="3494" t="s">
        <v>3424</v>
      </c>
    </row>
    <row r="191" spans="6:9">
      <c r="F191" s="3494">
        <v>-2</v>
      </c>
      <c r="G191" s="3494">
        <v>-268</v>
      </c>
      <c r="H191" s="3494">
        <v>67.260000000000005</v>
      </c>
      <c r="I191" s="3494" t="s">
        <v>3424</v>
      </c>
    </row>
    <row r="192" spans="6:9">
      <c r="F192" s="3494">
        <v>-2</v>
      </c>
      <c r="G192" s="3494">
        <v>-269</v>
      </c>
      <c r="H192" s="3494">
        <v>62.76</v>
      </c>
      <c r="I192" s="3494" t="s">
        <v>3424</v>
      </c>
    </row>
    <row r="193" spans="6:9">
      <c r="F193" s="3494">
        <v>-2</v>
      </c>
      <c r="G193" s="3494">
        <v>-274</v>
      </c>
      <c r="H193" s="3494">
        <v>55.17</v>
      </c>
      <c r="I193" s="3494" t="s">
        <v>3424</v>
      </c>
    </row>
    <row r="194" spans="6:9">
      <c r="F194" s="3494">
        <v>-2</v>
      </c>
      <c r="G194" s="3494">
        <v>-275</v>
      </c>
      <c r="H194" s="3494">
        <v>66.61</v>
      </c>
      <c r="I194" s="3494" t="s">
        <v>3424</v>
      </c>
    </row>
    <row r="195" spans="6:9">
      <c r="F195" s="3494">
        <v>-2</v>
      </c>
      <c r="G195" s="3494">
        <v>-281</v>
      </c>
      <c r="H195" s="3494">
        <v>59.9</v>
      </c>
      <c r="I195" s="3494" t="s">
        <v>3424</v>
      </c>
    </row>
    <row r="196" spans="6:9">
      <c r="F196" s="3494">
        <v>-2</v>
      </c>
      <c r="G196" s="3494">
        <v>-282</v>
      </c>
      <c r="H196" s="3494">
        <v>89.95</v>
      </c>
      <c r="I196" s="3494" t="s">
        <v>3424</v>
      </c>
    </row>
    <row r="197" spans="6:9">
      <c r="F197" s="3494">
        <v>-2</v>
      </c>
      <c r="G197" s="3494">
        <v>-283</v>
      </c>
      <c r="H197" s="3494">
        <v>55.08</v>
      </c>
      <c r="I197" s="3494" t="s">
        <v>3424</v>
      </c>
    </row>
    <row r="198" spans="6:9">
      <c r="F198" s="3494">
        <v>-2</v>
      </c>
      <c r="G198" s="3494">
        <v>-285</v>
      </c>
      <c r="H198" s="3494">
        <v>56.25</v>
      </c>
      <c r="I198" s="3494" t="s">
        <v>3424</v>
      </c>
    </row>
    <row r="199" spans="6:9">
      <c r="F199" s="3494">
        <v>-2</v>
      </c>
      <c r="G199" s="3494">
        <v>-286</v>
      </c>
      <c r="H199" s="3494">
        <v>58.59</v>
      </c>
      <c r="I199" s="3494" t="s">
        <v>3424</v>
      </c>
    </row>
    <row r="200" spans="6:9">
      <c r="F200" s="3494">
        <v>-2</v>
      </c>
      <c r="G200" s="3494">
        <v>-287</v>
      </c>
      <c r="H200" s="3494">
        <v>61.97</v>
      </c>
      <c r="I200" s="3494" t="s">
        <v>3424</v>
      </c>
    </row>
    <row r="201" spans="6:9">
      <c r="F201" s="3494">
        <v>-2</v>
      </c>
      <c r="G201" s="3494">
        <v>-288</v>
      </c>
      <c r="H201" s="3494">
        <v>58.59</v>
      </c>
      <c r="I201" s="3494" t="s">
        <v>3424</v>
      </c>
    </row>
    <row r="202" spans="6:9">
      <c r="F202" s="3494">
        <v>-2</v>
      </c>
      <c r="G202" s="3494">
        <v>-289</v>
      </c>
      <c r="H202" s="3494">
        <v>60.14</v>
      </c>
      <c r="I202" s="3494" t="s">
        <v>3424</v>
      </c>
    </row>
    <row r="203" spans="6:9">
      <c r="F203" s="3494">
        <v>-2</v>
      </c>
      <c r="G203" s="3494">
        <v>-290</v>
      </c>
      <c r="H203" s="3494">
        <v>56.25</v>
      </c>
      <c r="I203" s="3494" t="s">
        <v>3424</v>
      </c>
    </row>
    <row r="204" spans="6:9">
      <c r="F204" s="3494">
        <v>-2</v>
      </c>
      <c r="G204" s="3494">
        <v>-291</v>
      </c>
      <c r="H204" s="3494">
        <v>58.59</v>
      </c>
      <c r="I204" s="3494" t="s">
        <v>3424</v>
      </c>
    </row>
    <row r="205" spans="6:9">
      <c r="F205" s="3494">
        <v>-2</v>
      </c>
      <c r="G205" s="3494">
        <v>-293</v>
      </c>
      <c r="H205" s="3494">
        <v>69.510000000000005</v>
      </c>
      <c r="I205" s="3494" t="s">
        <v>3424</v>
      </c>
    </row>
    <row r="206" spans="6:9">
      <c r="F206" s="3472">
        <v>-2</v>
      </c>
      <c r="G206" s="3492" t="s">
        <v>3473</v>
      </c>
      <c r="H206" s="3472">
        <v>20.29</v>
      </c>
      <c r="I206" s="3472" t="s">
        <v>3423</v>
      </c>
    </row>
    <row r="207" spans="6:9" ht="13.5">
      <c r="F207" s="3472">
        <v>-2</v>
      </c>
      <c r="G207" s="3492" t="s">
        <v>3474</v>
      </c>
      <c r="H207" s="3472">
        <v>31.77</v>
      </c>
      <c r="I207" s="3472" t="s">
        <v>3423</v>
      </c>
    </row>
    <row r="208" spans="6:9" ht="13.5">
      <c r="F208" s="3472">
        <v>-2</v>
      </c>
      <c r="G208" s="3492" t="s">
        <v>3475</v>
      </c>
      <c r="H208" s="3472">
        <v>30.22</v>
      </c>
      <c r="I208" s="3472" t="s">
        <v>3423</v>
      </c>
    </row>
    <row r="209" spans="6:9" ht="13.5">
      <c r="F209" s="3472">
        <v>-2</v>
      </c>
      <c r="G209" s="3492" t="s">
        <v>3476</v>
      </c>
      <c r="H209" s="3472">
        <v>48.51</v>
      </c>
      <c r="I209" s="3472" t="s">
        <v>3423</v>
      </c>
    </row>
    <row r="210" spans="6:9" ht="13.5">
      <c r="F210" s="3472">
        <v>-2</v>
      </c>
      <c r="G210" s="3492" t="s">
        <v>3477</v>
      </c>
      <c r="H210" s="3472">
        <v>30.61</v>
      </c>
      <c r="I210" s="3472" t="s">
        <v>3423</v>
      </c>
    </row>
    <row r="211" spans="6:9" ht="13.5">
      <c r="F211" s="3472">
        <v>-2</v>
      </c>
      <c r="G211" s="3492" t="s">
        <v>3478</v>
      </c>
      <c r="H211" s="3472">
        <v>26.79</v>
      </c>
      <c r="I211" s="3472" t="s">
        <v>3423</v>
      </c>
    </row>
    <row r="212" spans="6:9" ht="13.5">
      <c r="F212" s="3472">
        <v>-2</v>
      </c>
      <c r="G212" s="3492" t="s">
        <v>3479</v>
      </c>
      <c r="H212" s="3472">
        <v>26.79</v>
      </c>
      <c r="I212" s="3472" t="s">
        <v>3423</v>
      </c>
    </row>
    <row r="213" spans="6:9" ht="13.5">
      <c r="F213" s="3472">
        <v>-2</v>
      </c>
      <c r="G213" s="3492" t="s">
        <v>3480</v>
      </c>
      <c r="H213" s="3472">
        <v>30.61</v>
      </c>
      <c r="I213" s="3472" t="s">
        <v>3423</v>
      </c>
    </row>
    <row r="214" spans="6:9" ht="13.5">
      <c r="F214" s="3472">
        <v>-2</v>
      </c>
      <c r="G214" s="3492" t="s">
        <v>3481</v>
      </c>
      <c r="H214" s="3472">
        <v>28.68</v>
      </c>
      <c r="I214" s="3472" t="s">
        <v>3423</v>
      </c>
    </row>
    <row r="215" spans="6:9" ht="13.5">
      <c r="F215" s="3472">
        <v>-2</v>
      </c>
      <c r="G215" s="3492" t="s">
        <v>3482</v>
      </c>
      <c r="H215" s="3472">
        <v>29.81</v>
      </c>
      <c r="I215" s="3472" t="s">
        <v>3423</v>
      </c>
    </row>
    <row r="216" spans="6:9" ht="13.5">
      <c r="F216" s="3472">
        <v>-2</v>
      </c>
      <c r="G216" s="3492" t="s">
        <v>3483</v>
      </c>
      <c r="H216" s="3472">
        <v>26.87</v>
      </c>
      <c r="I216" s="3472" t="s">
        <v>3423</v>
      </c>
    </row>
    <row r="217" spans="6:9" ht="13.5">
      <c r="F217" s="3472">
        <v>-2</v>
      </c>
      <c r="G217" s="3492" t="s">
        <v>3484</v>
      </c>
      <c r="H217" s="3472">
        <v>35.450000000000003</v>
      </c>
      <c r="I217" s="3472" t="s">
        <v>3423</v>
      </c>
    </row>
    <row r="218" spans="6:9" ht="13.5">
      <c r="F218" s="3472">
        <v>-2</v>
      </c>
      <c r="G218" s="3492" t="s">
        <v>3485</v>
      </c>
      <c r="H218" s="3472">
        <v>72.36</v>
      </c>
      <c r="I218" s="3472" t="s">
        <v>3423</v>
      </c>
    </row>
    <row r="219" spans="6:9" ht="13.5">
      <c r="F219" s="3472">
        <v>-2</v>
      </c>
      <c r="G219" s="3492" t="s">
        <v>3486</v>
      </c>
      <c r="H219" s="3472">
        <v>52.33</v>
      </c>
      <c r="I219" s="3472" t="s">
        <v>3423</v>
      </c>
    </row>
    <row r="220" spans="6:9" ht="13.5">
      <c r="F220" s="3472">
        <v>-2</v>
      </c>
      <c r="G220" s="3492" t="s">
        <v>3487</v>
      </c>
      <c r="H220" s="3472">
        <v>25.4</v>
      </c>
      <c r="I220" s="3472" t="s">
        <v>3423</v>
      </c>
    </row>
    <row r="221" spans="6:9" ht="13.5">
      <c r="F221" s="3472">
        <v>-2</v>
      </c>
      <c r="G221" s="3492" t="s">
        <v>3488</v>
      </c>
      <c r="H221" s="3472">
        <v>28.12</v>
      </c>
      <c r="I221" s="3472" t="s">
        <v>3423</v>
      </c>
    </row>
    <row r="222" spans="6:9" ht="13.5">
      <c r="F222" s="3472">
        <v>-2</v>
      </c>
      <c r="G222" s="3492" t="s">
        <v>3489</v>
      </c>
      <c r="H222" s="3472">
        <v>154.16</v>
      </c>
      <c r="I222" s="3472" t="s">
        <v>3423</v>
      </c>
    </row>
    <row r="223" spans="6:9" ht="13.5">
      <c r="F223" s="3472">
        <v>-2</v>
      </c>
      <c r="G223" s="3492" t="s">
        <v>3490</v>
      </c>
      <c r="H223" s="3472">
        <v>65.33</v>
      </c>
      <c r="I223" s="3472" t="s">
        <v>3423</v>
      </c>
    </row>
    <row r="224" spans="6:9" ht="13.5">
      <c r="F224" s="3472">
        <v>-2</v>
      </c>
      <c r="G224" s="3492" t="s">
        <v>3491</v>
      </c>
      <c r="H224" s="3472">
        <v>65.33</v>
      </c>
      <c r="I224" s="3472" t="s">
        <v>3423</v>
      </c>
    </row>
    <row r="226" spans="6:6">
      <c r="F226" s="3472">
        <v>221</v>
      </c>
    </row>
    <row r="227" spans="6:6">
      <c r="F227" s="3472">
        <v>19</v>
      </c>
    </row>
    <row r="228" spans="6:6">
      <c r="F228" s="3472">
        <v>21</v>
      </c>
    </row>
    <row r="229" spans="6:6">
      <c r="F229" s="3472">
        <v>8</v>
      </c>
    </row>
    <row r="230" spans="6:6">
      <c r="F230" s="3472">
        <f>F226-F227-F228-F229</f>
        <v>173</v>
      </c>
    </row>
  </sheetData>
  <mergeCells count="14">
    <mergeCell ref="B13:C13"/>
    <mergeCell ref="B14:B15"/>
    <mergeCell ref="B16:C16"/>
    <mergeCell ref="B17:B18"/>
    <mergeCell ref="L3:Q3"/>
    <mergeCell ref="B4:C4"/>
    <mergeCell ref="B5:C5"/>
    <mergeCell ref="L5:L12"/>
    <mergeCell ref="B6:C6"/>
    <mergeCell ref="M6:M7"/>
    <mergeCell ref="B7:B9"/>
    <mergeCell ref="M8:M9"/>
    <mergeCell ref="B10:C10"/>
    <mergeCell ref="B11:B12"/>
  </mergeCells>
  <phoneticPr fontId="135"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2" sqref="I22"/>
    </sheetView>
  </sheetViews>
  <sheetFormatPr defaultRowHeight="13.5"/>
  <sheetData/>
  <phoneticPr fontId="135"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07" t="s">
        <v>2286</v>
      </c>
      <c r="B1" s="3608"/>
      <c r="C1" s="3608"/>
      <c r="D1" s="3608"/>
      <c r="E1" s="3608"/>
      <c r="F1" s="3608"/>
      <c r="G1" s="360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23576.310000000005</v>
      </c>
      <c r="C1" s="2686"/>
      <c r="D1" s="2686"/>
      <c r="E1" s="2686"/>
      <c r="F1" s="2686"/>
      <c r="G1" s="2687"/>
      <c r="H1" s="2688"/>
      <c r="I1" s="2688"/>
      <c r="J1" s="2688"/>
      <c r="K1" s="2688"/>
    </row>
    <row r="2" spans="1:11" ht="16.5">
      <c r="A2" s="2512" t="s">
        <v>653</v>
      </c>
      <c r="B2" s="2512">
        <f>SUM(C14:C23)</f>
        <v>2435.8999999999996</v>
      </c>
      <c r="C2" s="2686"/>
      <c r="D2" s="2686"/>
      <c r="E2" s="2686"/>
      <c r="F2" s="2686"/>
      <c r="G2" s="2687"/>
      <c r="H2" s="2688"/>
      <c r="I2" s="2688"/>
      <c r="J2" s="2688"/>
      <c r="K2" s="2688"/>
    </row>
    <row r="3" spans="1:11" ht="16.5">
      <c r="A3" s="2512" t="s">
        <v>662</v>
      </c>
      <c r="B3" s="2514">
        <f>项目基本情况!D3</f>
        <v>45183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48085</v>
      </c>
      <c r="C5" s="2512">
        <f ca="1">IF(B5=D14,结果表!H102,ROUND(B5*10000/$B$1,0))</f>
        <v>20395</v>
      </c>
      <c r="D5" s="2512">
        <f ca="1">ROUND(B5*10000/$B$2,0)</f>
        <v>197401</v>
      </c>
      <c r="E5" s="2686"/>
      <c r="F5" s="2687"/>
      <c r="G5" s="2687"/>
      <c r="H5" s="2688"/>
      <c r="I5" s="2688"/>
      <c r="J5" s="2688"/>
      <c r="K5" s="2688"/>
    </row>
    <row r="6" spans="1:11" ht="16.5">
      <c r="A6" s="2512" t="s">
        <v>656</v>
      </c>
      <c r="B6" s="2512">
        <f ca="1">SUM(G14:G23)</f>
        <v>48085</v>
      </c>
      <c r="C6" s="2512">
        <f ca="1">IF(B6=G14,结果表!H108,ROUND(B6*10000/$B$1,0))</f>
        <v>20395</v>
      </c>
      <c r="D6" s="2512">
        <f ca="1">ROUND(B6*10000/$B$2,0)</f>
        <v>197401</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41287</v>
      </c>
      <c r="C8" s="2512">
        <f ca="1">IF(B8=I14,结果表!H112,ROUND(B8*10000/$B$1,0))</f>
        <v>17512</v>
      </c>
      <c r="D8" s="2512">
        <f ca="1">ROUND(B8*10000/$B$2,0)</f>
        <v>169494</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'数据-汇总表'!E31</f>
        <v>23576.310000000005</v>
      </c>
      <c r="C14" s="2518">
        <f>'数据-汇总表'!D31</f>
        <v>2435.8999999999996</v>
      </c>
      <c r="D14" s="2518">
        <f ca="1">结果表!G19</f>
        <v>48085</v>
      </c>
      <c r="E14" s="2518">
        <f ca="1">ROUND(D14*10000/B14,0)</f>
        <v>20395</v>
      </c>
      <c r="F14" s="2518">
        <f ca="1">ROUND(D14*10000/C14,0)</f>
        <v>197401</v>
      </c>
      <c r="G14" s="2518">
        <f ca="1">D14</f>
        <v>48085</v>
      </c>
      <c r="H14" s="2518"/>
      <c r="I14" s="2518">
        <f ca="1">结果表!N59</f>
        <v>41287</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15" t="str">
        <f>项目基本情况!B1</f>
        <v>北京市房地产抵押价值预评估</v>
      </c>
      <c r="C37" s="3515"/>
      <c r="D37" s="3515"/>
      <c r="E37" s="3515"/>
      <c r="F37" s="3515"/>
      <c r="G37" s="3515"/>
      <c r="H37" s="3515"/>
      <c r="I37" s="351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22" sqref="G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76" t="str">
        <f>项目基本情况!S2</f>
        <v>北京市房地产</v>
      </c>
      <c r="B2" s="3677"/>
      <c r="C2" s="3677"/>
      <c r="D2" s="3677"/>
      <c r="E2" s="3677"/>
      <c r="F2" s="3677"/>
      <c r="G2" s="3677"/>
      <c r="H2" s="3677"/>
      <c r="I2" s="3678"/>
    </row>
    <row r="3" spans="1:12" ht="12.75">
      <c r="A3" s="3680" t="s">
        <v>1264</v>
      </c>
      <c r="B3" s="3681"/>
      <c r="C3" s="3681"/>
      <c r="D3" s="3681"/>
      <c r="E3" s="3681"/>
      <c r="F3" s="3681"/>
      <c r="G3" s="3681"/>
      <c r="H3" s="3681"/>
      <c r="I3" s="3681"/>
    </row>
    <row r="4" spans="1:12" ht="14.25">
      <c r="A4" s="1754" t="s">
        <v>1265</v>
      </c>
      <c r="B4" s="1755" t="s">
        <v>1266</v>
      </c>
      <c r="C4" s="1756" t="s">
        <v>3509</v>
      </c>
      <c r="D4" s="1756" t="s">
        <v>3640</v>
      </c>
      <c r="E4" s="3685" t="s">
        <v>1267</v>
      </c>
      <c r="F4" s="3686"/>
      <c r="G4" s="3686"/>
      <c r="H4" s="3686"/>
      <c r="I4" s="368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4" t="s">
        <v>1268</v>
      </c>
      <c r="B5" s="3679">
        <v>25</v>
      </c>
      <c r="C5" s="3682"/>
      <c r="D5" s="3670"/>
      <c r="E5" s="131" t="s">
        <v>1269</v>
      </c>
      <c r="F5" s="1757"/>
      <c r="G5" s="1757"/>
      <c r="H5" s="1757"/>
      <c r="I5" s="1373"/>
    </row>
    <row r="6" spans="1:12" ht="12.75">
      <c r="A6" s="3624"/>
      <c r="B6" s="3679"/>
      <c r="C6" s="3684"/>
      <c r="D6" s="3670"/>
      <c r="E6" s="131" t="s">
        <v>1270</v>
      </c>
      <c r="F6" s="1757"/>
      <c r="G6" s="1757"/>
      <c r="H6" s="1757"/>
      <c r="I6" s="1373"/>
    </row>
    <row r="7" spans="1:12" ht="12.75">
      <c r="A7" s="3624"/>
      <c r="B7" s="3679"/>
      <c r="C7" s="3683"/>
      <c r="D7" s="3670"/>
      <c r="E7" s="131" t="s">
        <v>1271</v>
      </c>
      <c r="F7" s="1757"/>
      <c r="G7" s="1757"/>
      <c r="H7" s="1757"/>
      <c r="I7" s="1373"/>
    </row>
    <row r="8" spans="1:12" ht="12.75">
      <c r="A8" s="3624" t="s">
        <v>1272</v>
      </c>
      <c r="B8" s="3679">
        <v>15</v>
      </c>
      <c r="C8" s="3682"/>
      <c r="D8" s="3670"/>
      <c r="E8" s="131" t="s">
        <v>1273</v>
      </c>
      <c r="F8" s="1757"/>
      <c r="G8" s="1757"/>
      <c r="H8" s="1757"/>
      <c r="I8" s="1373"/>
    </row>
    <row r="9" spans="1:12" ht="12.75">
      <c r="A9" s="3624"/>
      <c r="B9" s="3679"/>
      <c r="C9" s="3683"/>
      <c r="D9" s="3670"/>
      <c r="E9" s="131" t="s">
        <v>1274</v>
      </c>
      <c r="F9" s="1757"/>
      <c r="G9" s="1757"/>
      <c r="H9" s="1757"/>
      <c r="I9" s="1373"/>
    </row>
    <row r="10" spans="1:12" ht="12.75">
      <c r="A10" s="3624" t="s">
        <v>1275</v>
      </c>
      <c r="B10" s="3679">
        <v>15</v>
      </c>
      <c r="C10" s="3682"/>
      <c r="D10" s="3670"/>
      <c r="E10" s="131" t="s">
        <v>1276</v>
      </c>
      <c r="F10" s="1757"/>
      <c r="G10" s="1757"/>
      <c r="H10" s="1757"/>
      <c r="I10" s="1373"/>
    </row>
    <row r="11" spans="1:12" ht="12.75">
      <c r="A11" s="3624"/>
      <c r="B11" s="3679"/>
      <c r="C11" s="3683"/>
      <c r="D11" s="3670"/>
      <c r="E11" s="131" t="s">
        <v>1277</v>
      </c>
      <c r="F11" s="1757"/>
      <c r="G11" s="1757"/>
      <c r="H11" s="1757"/>
      <c r="I11" s="1373"/>
    </row>
    <row r="12" spans="1:12" ht="12.75">
      <c r="A12" s="3624" t="s">
        <v>1278</v>
      </c>
      <c r="B12" s="3679">
        <v>15</v>
      </c>
      <c r="C12" s="3682"/>
      <c r="D12" s="3670"/>
      <c r="E12" s="131" t="s">
        <v>1279</v>
      </c>
      <c r="F12" s="1757"/>
      <c r="G12" s="1757"/>
      <c r="H12" s="1757"/>
      <c r="I12" s="1373"/>
    </row>
    <row r="13" spans="1:12" ht="12.75">
      <c r="A13" s="3624"/>
      <c r="B13" s="3679"/>
      <c r="C13" s="3683"/>
      <c r="D13" s="3670"/>
      <c r="E13" s="131" t="s">
        <v>1280</v>
      </c>
      <c r="F13" s="1757"/>
      <c r="G13" s="1757"/>
      <c r="H13" s="1757"/>
      <c r="I13" s="1373"/>
    </row>
    <row r="14" spans="1:12" ht="12.75">
      <c r="A14" s="3624" t="s">
        <v>1281</v>
      </c>
      <c r="B14" s="3679">
        <v>30</v>
      </c>
      <c r="C14" s="3682">
        <v>7</v>
      </c>
      <c r="D14" s="3670">
        <v>3</v>
      </c>
      <c r="E14" s="131" t="s">
        <v>1282</v>
      </c>
      <c r="F14" s="1757"/>
      <c r="G14" s="1757"/>
      <c r="H14" s="1757"/>
      <c r="I14" s="1373"/>
    </row>
    <row r="15" spans="1:12" ht="12.75">
      <c r="A15" s="3624"/>
      <c r="B15" s="3679"/>
      <c r="C15" s="3684"/>
      <c r="D15" s="3670"/>
      <c r="E15" s="131" t="s">
        <v>1283</v>
      </c>
      <c r="F15" s="1757"/>
      <c r="G15" s="1757"/>
      <c r="H15" s="1757"/>
      <c r="I15" s="1373"/>
    </row>
    <row r="16" spans="1:12" ht="12.75">
      <c r="A16" s="3624"/>
      <c r="B16" s="3679"/>
      <c r="C16" s="3683"/>
      <c r="D16" s="3670"/>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701" t="s">
        <v>2131</v>
      </c>
      <c r="F18" s="3702"/>
      <c r="G18" s="3702"/>
      <c r="H18" s="3702"/>
      <c r="I18" s="3702"/>
      <c r="K18" s="302" t="s">
        <v>1289</v>
      </c>
      <c r="L18" s="302">
        <f>IF(C1="",'数据-汇总表'!E3,SUMIF(项目类型,C1,'数据-汇总表'!E17:E26)+SUMIF(项目类型,C1,'数据-汇总表'!I17:I26))</f>
        <v>23576.310000000005</v>
      </c>
      <c r="M18" s="302">
        <f>IF(C1="",'数据-汇总表'!E3,SUMIF(项目类型,C1,'数据-汇总表'!E17:E26))</f>
        <v>23576.310000000005</v>
      </c>
    </row>
    <row r="19" spans="1:36" ht="15">
      <c r="A19" s="1761" t="s">
        <v>1290</v>
      </c>
      <c r="B19" s="1762" t="s">
        <v>1291</v>
      </c>
      <c r="C19" s="134">
        <f ca="1">SUMIF(INDIRECT("'"&amp;C4&amp;"'"&amp;"!A:A"),结果表!B19,INDIRECT("'"&amp;C4&amp;"'"&amp;"!B:B"))</f>
        <v>52346</v>
      </c>
      <c r="D19" s="135">
        <f ca="1">SUMIF(INDIRECT("'"&amp;D4&amp;"'"&amp;"!A:A"),结果表!B19,INDIRECT("'"&amp;D4&amp;"'"&amp;"!B:B"))</f>
        <v>38141</v>
      </c>
      <c r="E19" s="1761" t="s">
        <v>1292</v>
      </c>
      <c r="F19" s="1762" t="s">
        <v>1291</v>
      </c>
      <c r="G19" s="136">
        <f ca="1">ROUND(C19*$C$18+D19*$D$18,0)</f>
        <v>48085</v>
      </c>
      <c r="H19" s="1763" t="s">
        <v>1293</v>
      </c>
      <c r="I19" s="129"/>
      <c r="K19" s="302" t="s">
        <v>1294</v>
      </c>
      <c r="L19" s="302">
        <f>IF(C1="",'数据-汇总表'!D3,SUMIF(项目类型,C1,'数据-汇总表'!D17:D26)+SUMIF(项目类型,C1,'数据-汇总表'!H17:H27))</f>
        <v>2435.9</v>
      </c>
      <c r="M19" s="302">
        <f>IF(C1="",'数据-汇总表'!D3,SUMIF(项目类型,C1,'数据-汇总表'!D17:D26))</f>
        <v>2435.9</v>
      </c>
    </row>
    <row r="20" spans="1:36" ht="15">
      <c r="A20" s="1764"/>
      <c r="B20" s="1026" t="s">
        <v>1295</v>
      </c>
      <c r="C20" s="137">
        <f ca="1">SUMIF(INDIRECT("'"&amp;C4&amp;"'"&amp;"!A:A"),结果表!B20,INDIRECT("'"&amp;C4&amp;"'"&amp;"!B:B"))</f>
        <v>22203</v>
      </c>
      <c r="D20" s="138">
        <f ca="1">SUMIF(INDIRECT("'"&amp;D4&amp;"'"&amp;"!A:A"),结果表!B20,INDIRECT("'"&amp;D4&amp;"'"&amp;"!B:B"))</f>
        <v>16178</v>
      </c>
      <c r="E20" s="1764"/>
      <c r="F20" s="1026" t="s">
        <v>1295</v>
      </c>
      <c r="G20" s="139">
        <f ca="1">ROUND(C20*$C$18+D20*$D$18,0)</f>
        <v>20396</v>
      </c>
      <c r="H20" s="808" t="s">
        <v>1296</v>
      </c>
      <c r="I20" s="129"/>
    </row>
    <row r="21" spans="1:36" ht="15" customHeight="1" thickBot="1">
      <c r="A21" s="828"/>
      <c r="B21" s="1765" t="s">
        <v>1297</v>
      </c>
      <c r="C21" s="719">
        <f ca="1">ROUND(C19*10000/L19,0)</f>
        <v>214894</v>
      </c>
      <c r="D21" s="720">
        <f ca="1">ROUND(D19*10000/L19,0)</f>
        <v>156579</v>
      </c>
      <c r="E21" s="828"/>
      <c r="F21" s="1765" t="s">
        <v>1297</v>
      </c>
      <c r="G21" s="140">
        <f ca="1">ROUND(G19*10000/L19,0)</f>
        <v>197401</v>
      </c>
      <c r="H21" s="1766" t="s">
        <v>1296</v>
      </c>
      <c r="I21" s="129"/>
    </row>
    <row r="22" spans="1:36" ht="15" thickBot="1">
      <c r="A22" s="1688" t="s">
        <v>1298</v>
      </c>
      <c r="B22" s="1767"/>
      <c r="C22" s="1768"/>
      <c r="D22" s="721">
        <f ca="1">IF(C19&lt;D19,D19/C19-1,C19/D19-1)</f>
        <v>0.3724338638210849</v>
      </c>
      <c r="E22" s="129"/>
      <c r="F22" s="129"/>
      <c r="G22" s="129"/>
      <c r="H22" s="129"/>
      <c r="I22" s="129"/>
    </row>
    <row r="23" spans="1:36" ht="13.5" thickBot="1">
      <c r="A23" s="1747"/>
      <c r="B23" s="1747"/>
      <c r="C23" s="1747"/>
      <c r="D23" s="1747"/>
      <c r="E23" s="129"/>
      <c r="F23" s="129"/>
      <c r="G23" s="129"/>
      <c r="H23" s="129"/>
      <c r="I23" s="129"/>
    </row>
    <row r="24" spans="1:36" ht="14.25">
      <c r="A24" s="3694" t="s">
        <v>1299</v>
      </c>
      <c r="B24" s="1762" t="s">
        <v>1291</v>
      </c>
      <c r="C24" s="136">
        <f>IF(B30=0,0,D30)</f>
        <v>0</v>
      </c>
      <c r="D24" s="1769"/>
      <c r="E24" s="129"/>
      <c r="F24" s="129"/>
      <c r="G24" s="129"/>
      <c r="H24" s="129"/>
      <c r="I24" s="129"/>
    </row>
    <row r="25" spans="1:36" ht="14.25">
      <c r="A25" s="369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f ca="1">G19*10000/'数据-汇总表'!F19</f>
        <v>49023.905844738423</v>
      </c>
      <c r="D27" s="143">
        <f ca="1">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48085</v>
      </c>
      <c r="D32" s="1775" t="s">
        <v>3628</v>
      </c>
      <c r="E32" s="129"/>
      <c r="F32" s="129"/>
      <c r="G32" s="129"/>
      <c r="H32" s="129"/>
      <c r="I32" s="129"/>
    </row>
    <row r="33" spans="1:15" ht="15">
      <c r="A33" s="786" t="s">
        <v>1306</v>
      </c>
      <c r="B33" s="1776"/>
      <c r="C33" s="1777" t="s">
        <v>3629</v>
      </c>
      <c r="D33" s="1778" t="s">
        <v>3509</v>
      </c>
      <c r="E33" s="1779" t="s">
        <v>1307</v>
      </c>
      <c r="F33" s="1780" t="str">
        <f>IF(D32="楼面单价","取值（单价）","取值（总价）")</f>
        <v>取值（总价）</v>
      </c>
      <c r="G33" s="129"/>
      <c r="H33" s="129"/>
      <c r="I33" s="129"/>
    </row>
    <row r="34" spans="1:15" ht="15">
      <c r="A34" s="1781"/>
      <c r="B34" s="1782" t="s">
        <v>1308</v>
      </c>
      <c r="C34" s="148">
        <f ca="1">IF(C33="自定义",F34,C32-C35)</f>
        <v>35871</v>
      </c>
      <c r="D34" s="861">
        <f ca="1">IF(C33="自定义",ROUND(C34/C32,3),IF(C33="收益比率",SUMIF(INDIRECT("'"&amp;D33&amp;"'"&amp;"!b:b"),"土地收益比率",INDIRECT("'"&amp;D33&amp;"'"&amp;"!c:c")),SUMIF(INDIRECT("'"&amp;D33&amp;"'"&amp;"!b:b"),"土地成本比率",INDIRECT("'"&amp;D33&amp;"'"&amp;"!c:c"))))</f>
        <v>0.746</v>
      </c>
      <c r="E34" s="1783" t="s">
        <v>1309</v>
      </c>
      <c r="F34" s="1330"/>
      <c r="G34" s="129"/>
      <c r="H34" s="129"/>
      <c r="I34" s="129"/>
    </row>
    <row r="35" spans="1:15" ht="15.75" thickBot="1">
      <c r="A35" s="1784"/>
      <c r="B35" s="1785" t="s">
        <v>1310</v>
      </c>
      <c r="C35" s="1170">
        <f ca="1">IF(C33="自定义",F35,ROUND(C32*D35,0))</f>
        <v>12214</v>
      </c>
      <c r="D35" s="1171">
        <f ca="1">IF(C33="自定义",ROUND(C35/C32,3),IF(C33="收益比率",SUMIF(INDIRECT("'"&amp;D33&amp;"'"&amp;"!b:b"),"建筑物收益比率",INDIRECT("'"&amp;D33&amp;"'"&amp;"!c:c")),SUMIF(INDIRECT("'"&amp;D33&amp;"'"&amp;"!b:b"),"建筑物成本比率",INDIRECT("'"&amp;D33&amp;"'"&amp;"!c:c"))))</f>
        <v>0.254</v>
      </c>
      <c r="E35" s="1786" t="s">
        <v>1311</v>
      </c>
      <c r="F35" s="154"/>
      <c r="G35" s="129"/>
      <c r="H35" s="129"/>
      <c r="I35" s="129"/>
    </row>
    <row r="36" spans="1:15" ht="15.75" thickBot="1">
      <c r="A36" s="3671" t="s">
        <v>1312</v>
      </c>
      <c r="B36" s="1787" t="s">
        <v>1313</v>
      </c>
      <c r="C36" s="145"/>
      <c r="D36" s="1788"/>
      <c r="E36" s="1789"/>
      <c r="F36" s="1790"/>
      <c r="G36" s="129"/>
      <c r="H36" s="129"/>
      <c r="I36" s="129"/>
    </row>
    <row r="37" spans="1:15" ht="15.75" thickBot="1">
      <c r="A37" s="3672"/>
      <c r="B37" s="1674" t="s">
        <v>1314</v>
      </c>
      <c r="C37" s="147"/>
      <c r="D37" s="1139"/>
      <c r="E37" s="1139"/>
      <c r="F37" s="1790"/>
      <c r="G37" s="129"/>
      <c r="H37" s="129"/>
      <c r="I37" s="129"/>
    </row>
    <row r="38" spans="1:15" ht="15.75" thickBot="1">
      <c r="A38" s="367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91" t="s">
        <v>1326</v>
      </c>
      <c r="B45" s="3692"/>
      <c r="C45" s="3693"/>
      <c r="D45" s="155">
        <f ca="1">ROUND(H101*F45,0)</f>
        <v>48085</v>
      </c>
      <c r="E45" s="156" t="s">
        <v>1327</v>
      </c>
      <c r="F45" s="157">
        <v>1</v>
      </c>
      <c r="G45" s="158" t="s">
        <v>1328</v>
      </c>
      <c r="H45" s="129"/>
      <c r="I45" s="129"/>
      <c r="J45" s="3611" t="s">
        <v>1329</v>
      </c>
      <c r="K45" s="3611"/>
      <c r="L45" s="3611"/>
      <c r="M45" s="3611"/>
      <c r="N45" s="3611"/>
      <c r="O45" s="3611"/>
    </row>
    <row r="46" spans="1:15" ht="14.25" customHeight="1">
      <c r="A46" s="3688" t="s">
        <v>1330</v>
      </c>
      <c r="B46" s="3689"/>
      <c r="C46" s="3689"/>
      <c r="D46" s="3689"/>
      <c r="E46" s="3689"/>
      <c r="F46" s="3689"/>
      <c r="G46" s="3690"/>
      <c r="H46" s="1806"/>
      <c r="I46" s="159"/>
      <c r="J46" s="2523">
        <v>1</v>
      </c>
      <c r="K46" s="3612" t="s">
        <v>1331</v>
      </c>
      <c r="L46" s="3612"/>
      <c r="M46" s="3613"/>
      <c r="N46" s="3613"/>
      <c r="O46" s="3613"/>
    </row>
    <row r="47" spans="1:15" ht="12" customHeight="1">
      <c r="A47" s="160" t="s">
        <v>1332</v>
      </c>
      <c r="B47" s="161"/>
      <c r="C47" s="162"/>
      <c r="D47" s="1087" t="s">
        <v>1333</v>
      </c>
      <c r="E47" s="302" t="s">
        <v>1334</v>
      </c>
      <c r="F47" s="163" t="s">
        <v>1335</v>
      </c>
      <c r="G47" s="2546" t="s">
        <v>1336</v>
      </c>
      <c r="H47" s="2547"/>
      <c r="I47" s="159"/>
      <c r="J47" s="2523">
        <v>2</v>
      </c>
      <c r="K47" s="3612" t="s">
        <v>1337</v>
      </c>
      <c r="L47" s="3612"/>
      <c r="M47" s="3614">
        <f>'数据-取费表'!B2</f>
        <v>45183</v>
      </c>
      <c r="N47" s="3614"/>
      <c r="O47" s="3614"/>
    </row>
    <row r="48" spans="1:15" ht="25.5">
      <c r="A48" s="3674" t="s">
        <v>1338</v>
      </c>
      <c r="B48" s="3675"/>
      <c r="C48" s="3675"/>
      <c r="D48" s="2324">
        <f ca="1">IF(H48="情况1",0,IF(H48="情况2",D52,IF(H48="情况3",D53,IF(H48="情况4",D54))))</f>
        <v>2565</v>
      </c>
      <c r="E48" s="2334" t="str">
        <f>IF(H48="情况4","(销售额-原购置价)×税（费）率","销售额×税（费）率")</f>
        <v>销售额×税（费）率</v>
      </c>
      <c r="F48" s="2548">
        <f>IF(H48="情况1","免征",'数据-取费表'!B41)</f>
        <v>5.6000000000000001E-2</v>
      </c>
      <c r="G48" s="2549" t="s">
        <v>1339</v>
      </c>
      <c r="H48" s="2550" t="s">
        <v>3630</v>
      </c>
      <c r="I48" s="1806"/>
      <c r="J48" s="2523">
        <v>3</v>
      </c>
      <c r="K48" s="3612" t="s">
        <v>1340</v>
      </c>
      <c r="L48" s="3612"/>
      <c r="M48" s="3615">
        <f ca="1">H101</f>
        <v>48085</v>
      </c>
      <c r="N48" s="3615"/>
      <c r="O48" s="3615"/>
    </row>
    <row r="49" spans="1:35" ht="25.5" customHeight="1">
      <c r="A49" s="2333" t="s">
        <v>1341</v>
      </c>
      <c r="B49" s="3660" t="s">
        <v>1342</v>
      </c>
      <c r="C49" s="3660"/>
      <c r="D49" s="1590">
        <v>0</v>
      </c>
      <c r="E49" s="324" t="s">
        <v>1343</v>
      </c>
      <c r="F49" s="2424" t="s">
        <v>28</v>
      </c>
      <c r="G49" s="3643"/>
      <c r="H49" s="2310" t="s">
        <v>2134</v>
      </c>
      <c r="I49" s="2311"/>
      <c r="J49" s="2523">
        <v>4</v>
      </c>
      <c r="K49" s="3612" t="str">
        <f>IF(项目基本情况!E8="房地产抵押价值","房地产抵押价值","抵押担保权已注销时的房地产抵押价值")</f>
        <v>房地产抵押价值</v>
      </c>
      <c r="L49" s="3612"/>
      <c r="M49" s="3615">
        <f ca="1">IF(项目基本情况!E8="房地产抵押价值",H107,H109)</f>
        <v>48085</v>
      </c>
      <c r="N49" s="3615"/>
      <c r="O49" s="3615"/>
    </row>
    <row r="50" spans="1:35" ht="25.5" customHeight="1">
      <c r="A50" s="2551"/>
      <c r="B50" s="3660" t="s">
        <v>1344</v>
      </c>
      <c r="C50" s="3660"/>
      <c r="D50" s="2552"/>
      <c r="E50" s="332"/>
      <c r="F50" s="2424"/>
      <c r="G50" s="3644"/>
      <c r="H50" s="2312" t="s">
        <v>2135</v>
      </c>
      <c r="I50" s="2311"/>
      <c r="J50" s="3611" t="s">
        <v>1345</v>
      </c>
      <c r="K50" s="3611"/>
      <c r="L50" s="3611"/>
      <c r="M50" s="3611"/>
      <c r="N50" s="3611"/>
      <c r="O50" s="3611"/>
    </row>
    <row r="51" spans="1:35" ht="20.45" customHeight="1">
      <c r="A51" s="2553"/>
      <c r="B51" s="3660" t="s">
        <v>1346</v>
      </c>
      <c r="C51" s="3660"/>
      <c r="D51" s="1087"/>
      <c r="E51" s="327"/>
      <c r="F51" s="2424"/>
      <c r="G51" s="3645"/>
      <c r="H51" s="2312" t="s">
        <v>2136</v>
      </c>
      <c r="I51" s="2311"/>
      <c r="J51" s="2524" t="s">
        <v>1347</v>
      </c>
      <c r="K51" s="3612" t="s">
        <v>1348</v>
      </c>
      <c r="L51" s="3612"/>
      <c r="M51" s="2524" t="s">
        <v>1349</v>
      </c>
      <c r="N51" s="2524" t="s">
        <v>1350</v>
      </c>
      <c r="O51" s="2524" t="s">
        <v>1351</v>
      </c>
    </row>
    <row r="52" spans="1:35" ht="24" customHeight="1">
      <c r="A52" s="2335" t="s">
        <v>1352</v>
      </c>
      <c r="B52" s="3660" t="s">
        <v>1353</v>
      </c>
      <c r="C52" s="3660"/>
      <c r="D52" s="1087">
        <f ca="1">ROUND(D45*'数据-取费表'!B41/(1+'数据-取费表'!C42),0)</f>
        <v>2565</v>
      </c>
      <c r="E52" s="2334" t="s">
        <v>1354</v>
      </c>
      <c r="F52" s="2554">
        <f>'数据-取费表'!B41</f>
        <v>5.6000000000000001E-2</v>
      </c>
      <c r="G52" s="2555"/>
      <c r="H52" s="2544"/>
      <c r="I52" s="1807"/>
      <c r="J52" s="2523">
        <v>1</v>
      </c>
      <c r="K52" s="3637" t="s">
        <v>1355</v>
      </c>
      <c r="L52" s="3637"/>
      <c r="M52" s="2525">
        <f ca="1">D48</f>
        <v>2565</v>
      </c>
      <c r="N52" s="2523" t="str">
        <f>E48</f>
        <v>销售额×税（费）率</v>
      </c>
      <c r="O52" s="2526">
        <f>F48</f>
        <v>5.6000000000000001E-2</v>
      </c>
    </row>
    <row r="53" spans="1:35" ht="12" customHeight="1">
      <c r="A53" s="2335" t="s">
        <v>1356</v>
      </c>
      <c r="B53" s="3661" t="s">
        <v>2291</v>
      </c>
      <c r="C53" s="3662"/>
      <c r="D53" s="1087">
        <f ca="1">ROUND(D45*'数据-取费表'!B41/(1+'数据-取费表'!C42),0)</f>
        <v>2565</v>
      </c>
      <c r="E53" s="2334" t="s">
        <v>1354</v>
      </c>
      <c r="F53" s="2554">
        <f>'数据-取费表'!B41</f>
        <v>5.6000000000000001E-2</v>
      </c>
      <c r="G53" s="2555"/>
      <c r="H53" s="2544"/>
      <c r="I53" s="1807"/>
      <c r="J53" s="2523">
        <v>2</v>
      </c>
      <c r="K53" s="3637" t="s">
        <v>1357</v>
      </c>
      <c r="L53" s="3637"/>
      <c r="M53" s="2525">
        <f t="shared" ref="M53:O54" ca="1" si="0">D55</f>
        <v>24</v>
      </c>
      <c r="N53" s="2523" t="str">
        <f t="shared" si="0"/>
        <v>销售额×税（费）率</v>
      </c>
      <c r="O53" s="2526">
        <f t="shared" si="0"/>
        <v>5.0000000000000001E-4</v>
      </c>
    </row>
    <row r="54" spans="1:35" ht="12" customHeight="1">
      <c r="A54" s="2335" t="s">
        <v>1358</v>
      </c>
      <c r="B54" s="3661" t="s">
        <v>2292</v>
      </c>
      <c r="C54" s="3662"/>
      <c r="D54" s="1087">
        <f ca="1">C68</f>
        <v>2565</v>
      </c>
      <c r="E54" s="327" t="s">
        <v>1359</v>
      </c>
      <c r="F54" s="2554">
        <f>'数据-取费表'!B41</f>
        <v>5.6000000000000001E-2</v>
      </c>
      <c r="G54" s="2555"/>
      <c r="H54" s="2556"/>
      <c r="I54" s="1807"/>
      <c r="J54" s="2523">
        <v>3</v>
      </c>
      <c r="K54" s="3637" t="s">
        <v>1360</v>
      </c>
      <c r="L54" s="3637"/>
      <c r="M54" s="2525">
        <f t="shared" ca="1" si="0"/>
        <v>4209</v>
      </c>
      <c r="N54" s="2523" t="str">
        <f t="shared" si="0"/>
        <v>增值额×税（费）率</v>
      </c>
      <c r="O54" s="2527" t="str">
        <f t="shared" si="0"/>
        <v>——</v>
      </c>
    </row>
    <row r="55" spans="1:35" ht="24" customHeight="1">
      <c r="A55" s="3697" t="s">
        <v>1361</v>
      </c>
      <c r="B55" s="3675"/>
      <c r="C55" s="3675"/>
      <c r="D55" s="2324">
        <f ca="1">IF(H55="个人住宅",0,ROUND(D45*I55,0))</f>
        <v>24</v>
      </c>
      <c r="E55" s="2334" t="s">
        <v>1362</v>
      </c>
      <c r="F55" s="2554">
        <f>IF(H55="正常",I55,"免征")</f>
        <v>5.0000000000000001E-4</v>
      </c>
      <c r="G55" s="2555"/>
      <c r="H55" s="2550" t="s">
        <v>3631</v>
      </c>
      <c r="I55" s="165">
        <f>'数据-取费表'!B49</f>
        <v>5.0000000000000001E-4</v>
      </c>
      <c r="J55" s="2523" t="str">
        <f>IF(H59="非个人房产","",4)</f>
        <v/>
      </c>
      <c r="K55" s="3637" t="str">
        <f>IF(H59="非个人房产","——","个人所得税")</f>
        <v>——</v>
      </c>
      <c r="L55" s="3637"/>
      <c r="M55" s="2528" t="str">
        <f>D59</f>
        <v>——</v>
      </c>
      <c r="N55" s="2040" t="str">
        <f>E59</f>
        <v>——</v>
      </c>
      <c r="O55" s="2529" t="str">
        <f>F59</f>
        <v>——</v>
      </c>
    </row>
    <row r="56" spans="1:35" ht="24.75">
      <c r="A56" s="3697" t="s">
        <v>1363</v>
      </c>
      <c r="B56" s="3675"/>
      <c r="C56" s="3675"/>
      <c r="D56" s="2324">
        <f ca="1">IF(H56="个人住宅",D57,D58)</f>
        <v>4209</v>
      </c>
      <c r="E56" s="2334" t="s">
        <v>1364</v>
      </c>
      <c r="F56" s="2554" t="str">
        <f>IF(H56="正常",F58,"免征")</f>
        <v>——</v>
      </c>
      <c r="G56" s="2557" t="s">
        <v>1365</v>
      </c>
      <c r="H56" s="2558" t="s">
        <v>3631</v>
      </c>
      <c r="I56" s="1808"/>
      <c r="J56" s="2523" t="str">
        <f>IF(项目基本情况!K6="上海银行",IF(J55="",4,J55+1),"")</f>
        <v/>
      </c>
      <c r="K56" s="3618" t="str">
        <f>IF(项目基本情况!K6="上海银行","其他处置费用","")</f>
        <v/>
      </c>
      <c r="L56" s="3619"/>
      <c r="M56" s="2525" t="str">
        <f>IF(项目基本情况!K6="上海银行",M69,"")</f>
        <v/>
      </c>
      <c r="N56" s="3618" t="str">
        <f>IF(项目基本情况!K6="上海银行","包含处置中涉及的律师、诉讼、拍卖、评估等费用","")</f>
        <v/>
      </c>
      <c r="O56" s="3621"/>
    </row>
    <row r="57" spans="1:35" ht="12.75">
      <c r="A57" s="2335" t="s">
        <v>1341</v>
      </c>
      <c r="B57" s="3661" t="s">
        <v>1366</v>
      </c>
      <c r="C57" s="3662"/>
      <c r="D57" s="1590">
        <v>0</v>
      </c>
      <c r="E57" s="324" t="s">
        <v>1343</v>
      </c>
      <c r="F57" s="302"/>
      <c r="G57" s="2555"/>
      <c r="H57" s="2559"/>
      <c r="I57" s="1808"/>
      <c r="J57" s="3637">
        <f>IF(AND(J55="",J56=""),4,IF(项目基本情况!K6="上海银行",结果表!J56+1,结果表!J55+1))</f>
        <v>4</v>
      </c>
      <c r="K57" s="3637" t="s">
        <v>1367</v>
      </c>
      <c r="L57" s="2530" t="s">
        <v>1368</v>
      </c>
      <c r="M57" s="2531"/>
      <c r="N57" s="2532">
        <f ca="1">SUMIF(M52:M56,"&lt;9e307")</f>
        <v>6798</v>
      </c>
      <c r="O57" s="2533"/>
      <c r="P57" s="2690">
        <f ca="1">N57/M49</f>
        <v>0.14137464905895811</v>
      </c>
    </row>
    <row r="58" spans="1:35" ht="24.75">
      <c r="A58" s="2335" t="s">
        <v>1352</v>
      </c>
      <c r="B58" s="3661" t="s">
        <v>1369</v>
      </c>
      <c r="C58" s="3660"/>
      <c r="D58" s="2324">
        <f ca="1">IF(H58="转让取得",C81,C97)</f>
        <v>4209</v>
      </c>
      <c r="E58" s="2334" t="s">
        <v>1364</v>
      </c>
      <c r="F58" s="302" t="s">
        <v>28</v>
      </c>
      <c r="G58" s="2555"/>
      <c r="H58" s="2558" t="s">
        <v>3632</v>
      </c>
      <c r="I58" s="1808"/>
      <c r="J58" s="3637"/>
      <c r="K58" s="3637"/>
      <c r="L58" s="2530" t="s">
        <v>1370</v>
      </c>
      <c r="M58" s="2534"/>
      <c r="N58" s="2535" t="str">
        <f ca="1">NUMBERSTRING(INT(N57*10000),2)&amp;"元整"</f>
        <v>陆仟柒佰玖拾捌万元整</v>
      </c>
      <c r="O58" s="2536"/>
    </row>
    <row r="59" spans="1:35" ht="24.75" thickBot="1">
      <c r="A59" s="3641" t="s">
        <v>1371</v>
      </c>
      <c r="B59" s="3642"/>
      <c r="C59" s="3642"/>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3633</v>
      </c>
      <c r="I59" s="2313" t="s">
        <v>2137</v>
      </c>
      <c r="J59" s="3639">
        <f>J57+1</f>
        <v>5</v>
      </c>
      <c r="K59" s="3637" t="s">
        <v>1372</v>
      </c>
      <c r="L59" s="2523" t="s">
        <v>1368</v>
      </c>
      <c r="M59" s="2537"/>
      <c r="N59" s="2538">
        <f ca="1">M49-N57</f>
        <v>41287</v>
      </c>
      <c r="O59" s="2539"/>
    </row>
    <row r="60" spans="1:35" ht="12" customHeight="1">
      <c r="A60" s="1809"/>
      <c r="B60" s="1747"/>
      <c r="C60" s="1747"/>
      <c r="D60" s="1747"/>
      <c r="E60" s="1578"/>
      <c r="F60" s="1808"/>
      <c r="G60" s="1808"/>
      <c r="H60" s="1810"/>
      <c r="I60" s="129"/>
      <c r="J60" s="3640"/>
      <c r="K60" s="3637"/>
      <c r="L60" s="2530" t="s">
        <v>1370</v>
      </c>
      <c r="M60" s="2534"/>
      <c r="N60" s="2535" t="str">
        <f ca="1">NUMBERSTRING(INT(N59*10000),2)&amp;"元整"</f>
        <v>肆亿壹仟贰佰捌拾柒万元整</v>
      </c>
      <c r="O60" s="2536"/>
    </row>
    <row r="61" spans="1:35" ht="13.5" thickBot="1">
      <c r="A61" s="3696" t="s">
        <v>1373</v>
      </c>
      <c r="B61" s="3696"/>
      <c r="C61" s="3696"/>
      <c r="D61" s="3696"/>
      <c r="E61" s="3696"/>
      <c r="F61" s="1808"/>
      <c r="G61" s="1808"/>
      <c r="H61" s="1810"/>
      <c r="I61" s="129"/>
      <c r="J61" s="2523">
        <f>J59+1</f>
        <v>6</v>
      </c>
      <c r="K61" s="3637" t="s">
        <v>1374</v>
      </c>
      <c r="L61" s="3637"/>
      <c r="M61" s="2540"/>
      <c r="N61" s="2541">
        <f ca="1">ROUND(N59*10000/'数据-汇总表'!E3,0)</f>
        <v>17512</v>
      </c>
      <c r="O61" s="2542"/>
    </row>
    <row r="62" spans="1:35" ht="12.75">
      <c r="A62" s="3656" t="s">
        <v>1375</v>
      </c>
      <c r="B62" s="3657"/>
      <c r="C62" s="2021"/>
      <c r="D62" s="2021" t="s">
        <v>1376</v>
      </c>
      <c r="E62" s="166" t="s">
        <v>1377</v>
      </c>
      <c r="F62" s="1808"/>
      <c r="G62" s="1808"/>
      <c r="H62" s="1810"/>
      <c r="I62" s="129"/>
    </row>
    <row r="63" spans="1:35" ht="12.75">
      <c r="A63" s="173" t="s">
        <v>330</v>
      </c>
      <c r="B63" s="167" t="s">
        <v>1378</v>
      </c>
      <c r="C63" s="2564">
        <f ca="1">ROUND((C64+C65)/(1+'数据-取费表'!C42),0)</f>
        <v>45795</v>
      </c>
      <c r="D63" s="167"/>
      <c r="E63" s="168"/>
      <c r="F63" s="1808"/>
      <c r="G63" s="1808"/>
      <c r="H63" s="1810"/>
      <c r="I63" s="129"/>
      <c r="J63" s="3620" t="s">
        <v>1379</v>
      </c>
      <c r="K63" s="1332" t="s">
        <v>1380</v>
      </c>
      <c r="L63" s="1332">
        <f ca="1">IF(M49&gt;10000,M49*0.5%,IF(AND(M49&gt;1000,M49&lt;=10000),M49*1%,IF(AND(M49&gt;100,M49&lt;=1000),M49*3%,IF(AND(M49&gt;10,M49&lt;=100),M49*5%,M49*8%))))</f>
        <v>240.42500000000001</v>
      </c>
      <c r="M63" s="302">
        <f ca="1">ROUND(L63,1)</f>
        <v>240.4</v>
      </c>
      <c r="N63" s="2543"/>
      <c r="Z63" s="1752"/>
      <c r="AI63" s="1753"/>
    </row>
    <row r="64" spans="1:35" ht="14.25" customHeight="1">
      <c r="A64" s="169" t="s">
        <v>325</v>
      </c>
      <c r="B64" s="170" t="s">
        <v>1381</v>
      </c>
      <c r="C64" s="2565">
        <f ca="1">D45</f>
        <v>48085</v>
      </c>
      <c r="D64" s="170" t="s">
        <v>26</v>
      </c>
      <c r="E64" s="172"/>
      <c r="F64" s="1808"/>
      <c r="G64" s="1808"/>
      <c r="H64" s="1810"/>
      <c r="I64" s="129"/>
      <c r="J64" s="3620"/>
      <c r="K64" s="1332" t="s">
        <v>1382</v>
      </c>
      <c r="L64" s="1332">
        <f ca="1">IF(M49&gt;2000,M49*0.5%,IF(AND(M49&gt;1000,M49&lt;=2000),M49*0.6%,IF(AND(M49&gt;500,M49&lt;=1000),M49*0.7%,IF(AND(M49&gt;200,M49&lt;=500),M49*0.8%,IF(AND(M49&gt;100,M49&lt;=200),M49*0.9%,IF(AND(M49&gt;50,M49&lt;=100),M49*1%,IF(AND(M49&gt;20,M49&lt;=50),M49*1.5%,IF(AND(M49&gt;10,M49&lt;=20),M49*2%,IF(AND(M49&gt;1,M49&lt;=10),M49*2.5%)))))))))</f>
        <v>240.42500000000001</v>
      </c>
      <c r="M64" s="302">
        <f t="shared" ref="M64:M65" ca="1" si="1">ROUND(L64,1)</f>
        <v>240.4</v>
      </c>
      <c r="N64" s="2544" t="s">
        <v>1383</v>
      </c>
      <c r="Z64" s="1752"/>
      <c r="AI64" s="1753"/>
    </row>
    <row r="65" spans="1:35" ht="14.25" customHeight="1">
      <c r="A65" s="169" t="s">
        <v>326</v>
      </c>
      <c r="B65" s="170" t="s">
        <v>1384</v>
      </c>
      <c r="C65" s="2566"/>
      <c r="D65" s="170"/>
      <c r="E65" s="172"/>
      <c r="F65" s="1808"/>
      <c r="G65" s="1808"/>
      <c r="H65" s="1810"/>
      <c r="I65" s="129"/>
      <c r="J65" s="3620"/>
      <c r="K65" s="1332" t="s">
        <v>1385</v>
      </c>
      <c r="L65" s="1332">
        <f ca="1">IF(M49&gt;1000,M49*0.1%,IF(AND(M49&gt;500,M49&lt;=1000),M49*0.5%,IF(AND(M49&gt;50,M49&lt;=500),M49*1%,IF(AND(M49&gt;1,M49&lt;=50),M49*1.5%))))</f>
        <v>48.085000000000001</v>
      </c>
      <c r="M65" s="302">
        <f t="shared" ca="1" si="1"/>
        <v>48.1</v>
      </c>
      <c r="N65" s="2544" t="s">
        <v>1383</v>
      </c>
      <c r="Z65" s="1752"/>
      <c r="AI65" s="1753"/>
    </row>
    <row r="66" spans="1:35" ht="14.25" customHeight="1">
      <c r="A66" s="173" t="s">
        <v>327</v>
      </c>
      <c r="B66" s="174" t="s">
        <v>1386</v>
      </c>
      <c r="C66" s="2567"/>
      <c r="D66" s="174" t="s">
        <v>26</v>
      </c>
      <c r="E66" s="1338" t="s">
        <v>671</v>
      </c>
      <c r="F66" s="1808"/>
      <c r="G66" s="1808"/>
      <c r="H66" s="1810"/>
      <c r="I66" s="129"/>
      <c r="J66" s="3620"/>
      <c r="K66" s="1332" t="s">
        <v>1387</v>
      </c>
      <c r="L66" s="1332">
        <f ca="1">M49*0.5%</f>
        <v>240.42500000000001</v>
      </c>
      <c r="M66" s="302">
        <f ca="1">IF(L66&gt;0.5,0.5,ROUND(L66,0))</f>
        <v>0.5</v>
      </c>
      <c r="N66" s="2544" t="s">
        <v>1388</v>
      </c>
      <c r="Z66" s="1752"/>
      <c r="AI66" s="1753"/>
    </row>
    <row r="67" spans="1:35" ht="14.25" customHeight="1">
      <c r="A67" s="173" t="s">
        <v>328</v>
      </c>
      <c r="B67" s="174" t="s">
        <v>1389</v>
      </c>
      <c r="C67" s="2568">
        <f ca="1">C63-C66</f>
        <v>45795</v>
      </c>
      <c r="D67" s="170" t="s">
        <v>26</v>
      </c>
      <c r="E67" s="172"/>
      <c r="F67" s="1808"/>
      <c r="G67" s="1808"/>
      <c r="H67" s="1810"/>
      <c r="I67" s="129"/>
      <c r="J67" s="3620"/>
      <c r="K67" s="1332" t="s">
        <v>1390</v>
      </c>
      <c r="L67" s="1332">
        <f ca="1">IF(M49&gt;=10000,(8.25+(M49-10000)*0.01%),IF(AND(M49&gt;=8000,M49&lt;10000),(7.85+(M49-8000)*0.02%),IF(AND(M49&gt;=5000,M49&lt;8000),(6.65+(M49-5000)*0.04%),IF(AND(M49&gt;=2000,M49&lt;5000),(4.25+(PM49-2000)*0.08%),IF(AND(M49&gt;=1000,M49&lt;2000),(2.75+(M49-1000)*0.15%),IF(AND(M49&gt;=100,M49&lt;1000),(0.5+(M49-100)*0.25%),IF(AND(M49&gt;0,M49&lt;100),M49*0.5%)))))))</f>
        <v>12.0585</v>
      </c>
      <c r="M67" s="302">
        <f ca="1">ROUND(L67*0.9,1)</f>
        <v>10.9</v>
      </c>
      <c r="N67" s="2543"/>
      <c r="Z67" s="1752"/>
      <c r="AI67" s="1753"/>
    </row>
    <row r="68" spans="1:35" ht="14.25" customHeight="1" thickBot="1">
      <c r="A68" s="176" t="s">
        <v>329</v>
      </c>
      <c r="B68" s="177" t="s">
        <v>1391</v>
      </c>
      <c r="C68" s="2569">
        <f ca="1">IF(C67&lt;=0,0,ROUND(C67*D68,0))</f>
        <v>2565</v>
      </c>
      <c r="D68" s="2570">
        <f>'数据-取费表'!B41</f>
        <v>5.6000000000000001E-2</v>
      </c>
      <c r="E68" s="178"/>
      <c r="F68" s="1808"/>
      <c r="G68" s="1808"/>
      <c r="H68" s="1810"/>
      <c r="I68" s="129"/>
      <c r="J68" s="3620"/>
      <c r="K68" s="1332" t="s">
        <v>1392</v>
      </c>
      <c r="L68" s="1332">
        <f ca="1">IF(M49&gt;10000,M49*0.5%,IF(AND(M49&gt;5000,M49&lt;=10000),M49*1%,IF(AND(M49&gt;1000,M49&lt;=5000),M49*2%,IF(AND(M49&gt;200,M49&lt;=1000),M49*3%,M49*5%))))</f>
        <v>240.42500000000001</v>
      </c>
      <c r="M68" s="302">
        <f ca="1">ROUND(L68,1)</f>
        <v>240.4</v>
      </c>
      <c r="N68" s="2543"/>
      <c r="Z68" s="1752"/>
      <c r="AI68" s="1753"/>
    </row>
    <row r="69" spans="1:35" s="1772" customFormat="1" ht="16.5" customHeight="1">
      <c r="A69" s="1811"/>
      <c r="B69" s="1812"/>
      <c r="C69" s="1813"/>
      <c r="D69" s="1814"/>
      <c r="E69" s="1815"/>
      <c r="F69" s="1578"/>
      <c r="G69" s="1578"/>
      <c r="H69" s="1577"/>
      <c r="I69" s="1747"/>
      <c r="J69" s="3620"/>
      <c r="K69" s="1332" t="s">
        <v>1393</v>
      </c>
      <c r="L69" s="1332"/>
      <c r="M69" s="302">
        <f ca="1">ROUND(SUM(M63:M68),0)</f>
        <v>781</v>
      </c>
      <c r="N69" s="2545">
        <f ca="1">M69/M49</f>
        <v>1.624207133201622E-2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64" t="s">
        <v>1394</v>
      </c>
      <c r="B70" s="3665"/>
      <c r="C70" s="3665"/>
      <c r="D70" s="3665"/>
      <c r="E70" s="3665"/>
      <c r="F70" s="3665"/>
      <c r="G70" s="3665"/>
      <c r="H70" s="366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56" t="s">
        <v>1375</v>
      </c>
      <c r="B71" s="365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45795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275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61" t="s">
        <v>1402</v>
      </c>
      <c r="F76" s="3660"/>
      <c r="G76" s="3660"/>
      <c r="H76" s="366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275</v>
      </c>
      <c r="D78" s="2577">
        <f>'数据-取费表'!B43</f>
        <v>6.000000000000001E-3</v>
      </c>
      <c r="E78" s="3653" t="s">
        <v>1406</v>
      </c>
      <c r="F78" s="3654"/>
      <c r="G78" s="3654"/>
      <c r="H78" s="365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45520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165.52727272727273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27216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64" t="s">
        <v>1410</v>
      </c>
      <c r="B83" s="3665"/>
      <c r="C83" s="3665"/>
      <c r="D83" s="3665"/>
      <c r="E83" s="3665"/>
      <c r="F83" s="3665"/>
      <c r="G83" s="3665"/>
      <c r="H83" s="366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56" t="s">
        <v>1375</v>
      </c>
      <c r="B84" s="3657"/>
      <c r="C84" s="2021"/>
      <c r="D84" s="2021" t="s">
        <v>1376</v>
      </c>
      <c r="E84" s="179" t="s">
        <v>1377</v>
      </c>
      <c r="F84" s="180"/>
      <c r="G84" s="180"/>
      <c r="H84" s="191"/>
      <c r="I84" s="1821">
        <v>10103.98</v>
      </c>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45795</v>
      </c>
      <c r="D85" s="170" t="s">
        <v>26</v>
      </c>
      <c r="E85" s="2331"/>
      <c r="F85" s="2330"/>
      <c r="G85" s="2330"/>
      <c r="H85" s="192"/>
      <c r="I85" s="1821">
        <f>'数据-汇总表'!E31</f>
        <v>23576.310000000005</v>
      </c>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31766.456471380003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13614.456471380003</v>
      </c>
      <c r="D87" s="2577"/>
      <c r="E87" s="2326"/>
      <c r="F87" s="2327"/>
      <c r="G87" s="2327"/>
      <c r="H87" s="2328"/>
      <c r="I87" s="1821">
        <f>I84*I85/10000</f>
        <v>23821.456471380003</v>
      </c>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f>I87-I91</f>
        <v>13211.456471380003</v>
      </c>
      <c r="D88" s="2577"/>
      <c r="E88" s="193" t="s">
        <v>1413</v>
      </c>
      <c r="F88" s="2327"/>
      <c r="G88" s="194" t="s">
        <v>1414</v>
      </c>
      <c r="H88" s="1824" t="s">
        <v>3634</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403</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22" t="s">
        <v>2129</v>
      </c>
      <c r="H90" s="362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10610</v>
      </c>
      <c r="D91" s="2577"/>
      <c r="E91" s="3653" t="s">
        <v>1419</v>
      </c>
      <c r="F91" s="3654"/>
      <c r="G91" s="3654"/>
      <c r="H91" s="1825" t="s">
        <v>3635</v>
      </c>
      <c r="I91" s="1826">
        <f>'数据-取费表'!M16</f>
        <v>10610</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2422</v>
      </c>
      <c r="D92" s="2583">
        <v>0.1</v>
      </c>
      <c r="E92" s="3653" t="s">
        <v>1422</v>
      </c>
      <c r="F92" s="3654"/>
      <c r="G92" s="3654"/>
      <c r="H92" s="365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275</v>
      </c>
      <c r="D93" s="2577">
        <f>'数据-取费表'!B43</f>
        <v>6.000000000000001E-3</v>
      </c>
      <c r="E93" s="3653" t="s">
        <v>1406</v>
      </c>
      <c r="F93" s="3654"/>
      <c r="G93" s="3654"/>
      <c r="H93" s="365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4845</v>
      </c>
      <c r="D94" s="2577">
        <v>0.2</v>
      </c>
      <c r="E94" s="3698" t="s">
        <v>1426</v>
      </c>
      <c r="F94" s="3699"/>
      <c r="G94" s="3699"/>
      <c r="H94" s="370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14029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0.44162936500769079</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4209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98" t="s">
        <v>1428</v>
      </c>
      <c r="B100" s="3599"/>
      <c r="C100" s="3599"/>
      <c r="D100" s="3638"/>
      <c r="E100" s="3599" t="s">
        <v>1429</v>
      </c>
      <c r="F100" s="3599"/>
      <c r="G100" s="3599"/>
      <c r="H100" s="3638"/>
      <c r="I100" s="129"/>
    </row>
    <row r="101" spans="1:35" ht="18.75" customHeight="1">
      <c r="A101" s="3646" t="s">
        <v>1430</v>
      </c>
      <c r="B101" s="3647"/>
      <c r="C101" s="2585" t="str">
        <f>C4</f>
        <v>成本法</v>
      </c>
      <c r="D101" s="2586" t="str">
        <f>D4</f>
        <v>收益法（汇总）</v>
      </c>
      <c r="E101" s="3616" t="s">
        <v>1431</v>
      </c>
      <c r="F101" s="3617"/>
      <c r="G101" s="1827" t="s">
        <v>1432</v>
      </c>
      <c r="H101" s="2595">
        <f ca="1">H118</f>
        <v>48085</v>
      </c>
      <c r="I101" s="129"/>
    </row>
    <row r="102" spans="1:35" ht="18.75" customHeight="1">
      <c r="A102" s="3648" t="s">
        <v>1433</v>
      </c>
      <c r="B102" s="2584" t="s">
        <v>1432</v>
      </c>
      <c r="C102" s="2585">
        <f ca="1">IF(D32="楼面单价",ROUND(C19,0),C19)</f>
        <v>52346</v>
      </c>
      <c r="D102" s="2586">
        <f ca="1">IF(D32="楼面单价",ROUND(D19,0),D19)</f>
        <v>38141</v>
      </c>
      <c r="E102" s="3616"/>
      <c r="F102" s="3617"/>
      <c r="G102" s="1827" t="s">
        <v>1434</v>
      </c>
      <c r="H102" s="2555">
        <f ca="1">I118</f>
        <v>20395</v>
      </c>
      <c r="I102" s="129"/>
    </row>
    <row r="103" spans="1:35" ht="42.75" customHeight="1">
      <c r="A103" s="3648"/>
      <c r="B103" s="2584" t="s">
        <v>1434</v>
      </c>
      <c r="C103" s="2587">
        <f ca="1">C20</f>
        <v>22203</v>
      </c>
      <c r="D103" s="2588">
        <f ca="1">D20</f>
        <v>16178</v>
      </c>
      <c r="E103" s="3609" t="s">
        <v>1435</v>
      </c>
      <c r="F103" s="3610"/>
      <c r="G103" s="1828" t="s">
        <v>1436</v>
      </c>
      <c r="H103" s="2595">
        <f>IF(D36="正常操作",H104+H105+H106,H105+H106)</f>
        <v>0</v>
      </c>
      <c r="I103" s="129"/>
    </row>
    <row r="104" spans="1:35" ht="18.75" customHeight="1">
      <c r="A104" s="3648" t="s">
        <v>1437</v>
      </c>
      <c r="B104" s="2589" t="s">
        <v>1432</v>
      </c>
      <c r="C104" s="2590">
        <f ca="1">H118</f>
        <v>48085</v>
      </c>
      <c r="D104" s="2591"/>
      <c r="E104" s="1674" t="s">
        <v>1438</v>
      </c>
      <c r="F104" s="1666"/>
      <c r="G104" s="1828" t="s">
        <v>1436</v>
      </c>
      <c r="H104" s="2596">
        <f>IF(D36="同一抵押权人同一抵押物续贷",C36&amp;"（续贷，未扣减，详见特别提示）",C36)</f>
        <v>0</v>
      </c>
      <c r="I104" s="129"/>
    </row>
    <row r="105" spans="1:35" ht="18.75" customHeight="1" thickBot="1">
      <c r="A105" s="3658"/>
      <c r="B105" s="2592" t="s">
        <v>1434</v>
      </c>
      <c r="C105" s="2593">
        <f ca="1">I118</f>
        <v>20395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49" t="str">
        <f>IF(项目基本情况!E8="已注销","——","3.房地产抵押价值")</f>
        <v>3.房地产抵押价值</v>
      </c>
      <c r="F107" s="3617"/>
      <c r="G107" s="1827" t="s">
        <v>1432</v>
      </c>
      <c r="H107" s="2595">
        <f ca="1">IF(E107="——","——",H101-H103)</f>
        <v>48085</v>
      </c>
      <c r="I107" s="129"/>
    </row>
    <row r="108" spans="1:35" ht="18.75" customHeight="1">
      <c r="A108" s="129"/>
      <c r="B108" s="129"/>
      <c r="C108" s="129"/>
      <c r="D108" s="129"/>
      <c r="E108" s="3649"/>
      <c r="F108" s="3617"/>
      <c r="G108" s="1827" t="s">
        <v>1434</v>
      </c>
      <c r="H108" s="2555">
        <f ca="1">IF(H107=H101,H102,ROUND(H107*10000/'数据-汇总表'!E3,0))</f>
        <v>20395</v>
      </c>
      <c r="I108" s="129"/>
    </row>
    <row r="109" spans="1:35" ht="18.75" customHeight="1">
      <c r="A109" s="129"/>
      <c r="B109" s="129"/>
      <c r="C109" s="129"/>
      <c r="D109" s="129"/>
      <c r="E109" s="3649" t="str">
        <f>IF(项目基本情况!E8="已注销及未注销","4.抵押担保权已注销时的房地产抵押价值",IF(项目基本情况!E8="已注销","3.抵押担保权已注销时的房地产抵押价值","——"))</f>
        <v>——</v>
      </c>
      <c r="F109" s="3617"/>
      <c r="G109" s="1827" t="s">
        <v>1432</v>
      </c>
      <c r="H109" s="2598" t="str">
        <f>IF(E109="——","——",H101-H105-H106)</f>
        <v>——</v>
      </c>
      <c r="I109" s="129"/>
    </row>
    <row r="110" spans="1:35" ht="18.75" customHeight="1">
      <c r="A110" s="129"/>
      <c r="B110" s="129"/>
      <c r="C110" s="129"/>
      <c r="D110" s="129"/>
      <c r="E110" s="3649"/>
      <c r="F110" s="3617"/>
      <c r="G110" s="1827" t="s">
        <v>1434</v>
      </c>
      <c r="H110" s="2555" t="str">
        <f>IF(H109="——","——",ROUND(H109*10000/'数据-汇总表'!E3,0))</f>
        <v>——</v>
      </c>
      <c r="I110" s="129"/>
    </row>
    <row r="111" spans="1:35" ht="18.75" customHeight="1">
      <c r="A111" s="129"/>
      <c r="B111" s="129"/>
      <c r="C111" s="129"/>
      <c r="D111" s="129"/>
      <c r="E111" s="3650" t="str">
        <f>IF(项目基本情况!E9="抵押净值",IF(OR(项目基本情况!E8="已注销",项目基本情况!E8="房地产抵押价值"),"4.抵押净值","5.抵押净值"),"——")</f>
        <v>4.抵押净值</v>
      </c>
      <c r="F111" s="3636"/>
      <c r="G111" s="1827" t="s">
        <v>1432</v>
      </c>
      <c r="H111" s="2595">
        <f ca="1">IF(E111="——","——",N59)</f>
        <v>41287</v>
      </c>
      <c r="I111" s="129"/>
    </row>
    <row r="112" spans="1:35" ht="18.75" customHeight="1" thickBot="1">
      <c r="A112" s="129"/>
      <c r="B112" s="129"/>
      <c r="C112" s="129"/>
      <c r="D112" s="129"/>
      <c r="E112" s="3651"/>
      <c r="F112" s="3652"/>
      <c r="G112" s="1830" t="s">
        <v>1434</v>
      </c>
      <c r="H112" s="2599">
        <f ca="1">IF(E111="——","——",N61)</f>
        <v>17512</v>
      </c>
      <c r="I112" s="129"/>
    </row>
    <row r="113" spans="1:27" ht="18.75" customHeight="1">
      <c r="A113" s="129"/>
      <c r="B113" s="129"/>
      <c r="C113" s="129"/>
      <c r="D113" s="129"/>
      <c r="E113" s="3659" t="s">
        <v>1440</v>
      </c>
      <c r="F113" s="3659"/>
      <c r="G113" s="3659"/>
      <c r="H113" s="3659"/>
      <c r="I113" s="129"/>
    </row>
    <row r="114" spans="1:27" ht="3.75" customHeight="1">
      <c r="A114" s="1747"/>
      <c r="B114" s="1747"/>
      <c r="C114" s="1747"/>
      <c r="D114" s="1747"/>
      <c r="E114" s="1809"/>
      <c r="F114" s="1809"/>
      <c r="G114" s="1809"/>
      <c r="H114" s="1809"/>
      <c r="I114" s="1747"/>
    </row>
    <row r="115" spans="1:27" ht="18.75" customHeight="1">
      <c r="A115" s="3667" t="s">
        <v>1442</v>
      </c>
      <c r="B115" s="3668"/>
      <c r="C115" s="3668"/>
      <c r="D115" s="3668"/>
      <c r="E115" s="3668"/>
      <c r="F115" s="3668"/>
      <c r="G115" s="3668"/>
      <c r="H115" s="3668"/>
      <c r="I115" s="3669"/>
    </row>
    <row r="116" spans="1:27" ht="27" customHeight="1">
      <c r="A116" s="3624" t="s">
        <v>1443</v>
      </c>
      <c r="B116" s="3628" t="s">
        <v>1444</v>
      </c>
      <c r="C116" s="3628" t="s">
        <v>1445</v>
      </c>
      <c r="D116" s="3634" t="s">
        <v>1446</v>
      </c>
      <c r="E116" s="3635"/>
      <c r="F116" s="3666" t="s">
        <v>1447</v>
      </c>
      <c r="G116" s="3666"/>
      <c r="H116" s="3624" t="s">
        <v>1448</v>
      </c>
      <c r="I116" s="3624"/>
    </row>
    <row r="117" spans="1:27" ht="18.75" customHeight="1">
      <c r="A117" s="3624"/>
      <c r="B117" s="3629"/>
      <c r="C117" s="362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23576.310000000005</v>
      </c>
      <c r="C118" s="2329">
        <f>M19</f>
        <v>2435.9</v>
      </c>
      <c r="D118" s="2329">
        <f ca="1">ROUND(IF(D32="总价",C34,E118*B118/10000),0)</f>
        <v>35871</v>
      </c>
      <c r="E118" s="2329">
        <f ca="1">ROUND(IF(C33="自定义",IF(D32="楼面单价",C34,D118*10000/B118),I118-G118),0)</f>
        <v>15214</v>
      </c>
      <c r="F118" s="2329">
        <f ca="1">ROUND(IF(D32="总价",C35,G118*B118/10000),0)</f>
        <v>12214</v>
      </c>
      <c r="G118" s="2329">
        <f ca="1">ROUND(IF(D32="楼面单价",C35,F118*10000/B118),0)</f>
        <v>5181</v>
      </c>
      <c r="H118" s="2329">
        <f ca="1">ROUND(IF(D32="总价",C32,I118*B118/10000),0)</f>
        <v>48085</v>
      </c>
      <c r="I118" s="2329">
        <f ca="1">ROUND(IF(D32="楼面单价",C32,H118*10000/B118),0)</f>
        <v>20395</v>
      </c>
    </row>
    <row r="119" spans="1:27" ht="18.75" customHeight="1">
      <c r="A119" s="3624" t="s">
        <v>1452</v>
      </c>
      <c r="B119" s="3624"/>
      <c r="C119" s="3624"/>
      <c r="D119" s="3630" t="str">
        <f ca="1">NUMBERSTRING(INT(D118*10000),2)&amp;"元整"</f>
        <v>叁亿伍仟捌佰柒拾壹万元整</v>
      </c>
      <c r="E119" s="3631"/>
      <c r="F119" s="3630" t="str">
        <f ca="1">NUMBERSTRING(INT(F118*10000),2)&amp;"元整"</f>
        <v>壹亿贰仟贰佰壹拾肆万元整</v>
      </c>
      <c r="G119" s="3631"/>
      <c r="H119" s="3630" t="str">
        <f ca="1">NUMBERSTRING(INT(H118*10000),2)&amp;"元整"</f>
        <v>肆亿捌仟零捌拾伍万元整</v>
      </c>
      <c r="I119" s="3631"/>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0" t="s">
        <v>1452</v>
      </c>
      <c r="B121" s="3632"/>
      <c r="C121" s="3631"/>
      <c r="D121" s="3630" t="str">
        <f>IF(D120=0,"零元整",NUMBERSTRING(INT(D120*10000),2)&amp;"元整")</f>
        <v>零元整</v>
      </c>
      <c r="E121" s="3632"/>
      <c r="F121" s="3632"/>
      <c r="G121" s="3632"/>
      <c r="H121" s="3632"/>
      <c r="I121" s="3631"/>
      <c r="AA121" s="725"/>
    </row>
    <row r="122" spans="1:27" ht="18.75" customHeight="1">
      <c r="A122" s="3636" t="str">
        <f>IF(项目基本情况!B9="房地产市场价值","",MID(E107,3,LEN(E107)-2))</f>
        <v>房地产抵押价值</v>
      </c>
      <c r="B122" s="3636"/>
      <c r="C122" s="3636"/>
      <c r="D122" s="3625">
        <f ca="1">H107</f>
        <v>48085</v>
      </c>
      <c r="E122" s="3626"/>
      <c r="F122" s="3626"/>
      <c r="G122" s="3626"/>
      <c r="H122" s="3626"/>
      <c r="I122" s="3627"/>
      <c r="AA122" s="725"/>
    </row>
    <row r="123" spans="1:27" ht="18.75" customHeight="1">
      <c r="A123" s="3624" t="s">
        <v>1452</v>
      </c>
      <c r="B123" s="3624"/>
      <c r="C123" s="3624"/>
      <c r="D123" s="3630" t="str">
        <f ca="1">NUMBERSTRING(INT(D122*10000),2)&amp;"元整"</f>
        <v>肆亿捌仟零捌拾伍万元整</v>
      </c>
      <c r="E123" s="3632"/>
      <c r="F123" s="3632"/>
      <c r="G123" s="3632"/>
      <c r="H123" s="3632"/>
      <c r="I123" s="3631"/>
      <c r="AA123" s="725"/>
    </row>
    <row r="124" spans="1:27" ht="18.75" customHeight="1">
      <c r="A124" s="3636" t="str">
        <f>IF(项目基本情况!B9="房地产市场价值","",MID(E109,3,LEN(E109)-2))</f>
        <v/>
      </c>
      <c r="B124" s="3636"/>
      <c r="C124" s="3636"/>
      <c r="D124" s="3625" t="str">
        <f>H109</f>
        <v>——</v>
      </c>
      <c r="E124" s="3626"/>
      <c r="F124" s="3626"/>
      <c r="G124" s="3626"/>
      <c r="H124" s="3626"/>
      <c r="I124" s="3627"/>
      <c r="AA124" s="725"/>
    </row>
    <row r="125" spans="1:27" ht="18.75" customHeight="1">
      <c r="A125" s="3624" t="s">
        <v>1452</v>
      </c>
      <c r="B125" s="3624"/>
      <c r="C125" s="3624"/>
      <c r="D125" s="3630" t="e">
        <f>NUMBERSTRING(INT(D124*10000),2)&amp;"元整"</f>
        <v>#VALUE!</v>
      </c>
      <c r="E125" s="3632"/>
      <c r="F125" s="3632"/>
      <c r="G125" s="3632"/>
      <c r="H125" s="3632"/>
      <c r="I125" s="3631"/>
      <c r="AA125" s="725"/>
    </row>
    <row r="126" spans="1:27" ht="18.75" customHeight="1">
      <c r="A126" s="3636" t="str">
        <f>IF(项目基本情况!B9="房地产市场价值","",MID(E111,3,LEN(E111)-2))</f>
        <v>抵押净值</v>
      </c>
      <c r="B126" s="3636"/>
      <c r="C126" s="3636"/>
      <c r="D126" s="3625">
        <f ca="1">H111</f>
        <v>41287</v>
      </c>
      <c r="E126" s="3626"/>
      <c r="F126" s="3626"/>
      <c r="G126" s="3626"/>
      <c r="H126" s="3626"/>
      <c r="I126" s="3627"/>
      <c r="AA126" s="725"/>
    </row>
    <row r="127" spans="1:27" ht="18.75" customHeight="1">
      <c r="A127" s="3624" t="s">
        <v>1452</v>
      </c>
      <c r="B127" s="3624"/>
      <c r="C127" s="3624"/>
      <c r="D127" s="3630" t="str">
        <f ca="1">NUMBERSTRING(INT(D126*10000),2)&amp;"元整"</f>
        <v>肆亿壹仟贰佰捌拾柒万元整</v>
      </c>
      <c r="E127" s="3632"/>
      <c r="F127" s="3632"/>
      <c r="G127" s="3632"/>
      <c r="H127" s="3632"/>
      <c r="I127" s="3631"/>
      <c r="AA127" s="725"/>
    </row>
    <row r="128" spans="1:27" ht="21.75" customHeight="1">
      <c r="A128" s="3633" t="s">
        <v>1453</v>
      </c>
      <c r="B128" s="3633"/>
      <c r="C128" s="3633"/>
      <c r="D128" s="3633"/>
      <c r="E128" s="3633"/>
      <c r="F128" s="3633"/>
      <c r="G128" s="3633"/>
      <c r="H128" s="3633"/>
      <c r="I128" s="363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38141</v>
      </c>
      <c r="C2" s="1872" t="s">
        <v>1651</v>
      </c>
      <c r="D2" s="1873" t="s">
        <v>1652</v>
      </c>
      <c r="E2" s="2607">
        <f>SUM(E6:E13)</f>
        <v>23576.310000000005</v>
      </c>
      <c r="F2" s="2707"/>
      <c r="G2" s="1489"/>
      <c r="H2" s="1489"/>
      <c r="I2" s="1489"/>
      <c r="J2" s="1489"/>
      <c r="K2" s="1489"/>
      <c r="L2" s="1489"/>
      <c r="M2" s="1489"/>
      <c r="N2" s="1489"/>
      <c r="O2" s="1489"/>
      <c r="P2" s="1489"/>
      <c r="Q2" s="1489"/>
      <c r="R2" s="1489"/>
      <c r="S2" s="1489"/>
    </row>
    <row r="3" spans="1:22" ht="15.75">
      <c r="A3" s="1870" t="s">
        <v>686</v>
      </c>
      <c r="B3" s="2601">
        <f ca="1">ROUND(B2*10000/E2,0)</f>
        <v>16178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03" t="s">
        <v>1654</v>
      </c>
      <c r="C5" s="370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35272</v>
      </c>
      <c r="C6" s="1872" t="s">
        <v>1651</v>
      </c>
      <c r="D6" s="2709"/>
      <c r="E6" s="2606">
        <f>IF(OR(A6=0,F6="否"),0,'数据-取费表'!K6+'数据-取费表'!S6)</f>
        <v>13463.410000000002</v>
      </c>
      <c r="F6" s="1876" t="s">
        <v>1657</v>
      </c>
      <c r="G6" s="1489"/>
      <c r="H6" s="1489"/>
      <c r="I6" s="1489"/>
      <c r="J6" s="1489"/>
      <c r="K6" s="1489"/>
      <c r="L6" s="1489"/>
      <c r="M6" s="1489"/>
      <c r="N6" s="1489"/>
      <c r="O6" s="1489"/>
      <c r="P6" s="1489"/>
      <c r="Q6" s="1489"/>
      <c r="R6" s="1489"/>
      <c r="S6" s="1489"/>
    </row>
    <row r="7" spans="1:22">
      <c r="A7" s="2604" t="str">
        <f>'数据-取费表'!AN7</f>
        <v>收益法车库</v>
      </c>
      <c r="B7" s="2602">
        <f ca="1">IF(F7="是",'数据-取费表'!AO7,0)</f>
        <v>2869</v>
      </c>
      <c r="C7" s="1872" t="s">
        <v>1651</v>
      </c>
      <c r="D7" s="2709"/>
      <c r="E7" s="2606">
        <f>IF(OR(A7=0,F7="否"),0,'数据-取费表'!K7+'数据-取费表'!S7)</f>
        <v>10112.900000000001</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3500</v>
      </c>
      <c r="D1" s="1362" t="s">
        <v>43</v>
      </c>
      <c r="E1" s="1363" t="s">
        <v>678</v>
      </c>
      <c r="F1" s="1062">
        <f ca="1">J53</f>
        <v>16.579999999999998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35272</v>
      </c>
      <c r="C2" s="1387" t="s">
        <v>805</v>
      </c>
      <c r="D2" s="1387"/>
      <c r="E2" s="1388"/>
      <c r="F2" s="1389"/>
      <c r="G2" s="2706"/>
      <c r="H2" s="2695"/>
      <c r="I2" s="2695"/>
      <c r="J2" s="2695"/>
      <c r="K2" s="2696"/>
      <c r="L2" s="2695"/>
      <c r="M2" s="2695"/>
    </row>
    <row r="3" spans="1:37" ht="18" customHeight="1" thickBot="1">
      <c r="A3" s="1390" t="s">
        <v>806</v>
      </c>
      <c r="B3" s="1391">
        <f ca="1">IF(ISERROR(B2*10000/F43),0,ROUND(B2*10000/F43,0))</f>
        <v>26198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3321</v>
      </c>
      <c r="D5" s="1364" t="s">
        <v>693</v>
      </c>
      <c r="E5" s="1071"/>
      <c r="F5" s="1072"/>
      <c r="G5" s="1384"/>
      <c r="H5" s="299">
        <v>1</v>
      </c>
      <c r="I5" s="300" t="s">
        <v>692</v>
      </c>
      <c r="J5" s="1070">
        <f ca="1">J6+J10+J12</f>
        <v>0</v>
      </c>
      <c r="K5" s="1364" t="s">
        <v>693</v>
      </c>
      <c r="L5" s="1071"/>
      <c r="M5" s="1072"/>
    </row>
    <row r="6" spans="1:37" ht="18" customHeight="1">
      <c r="A6" s="1069" t="s">
        <v>398</v>
      </c>
      <c r="B6" s="3707" t="s">
        <v>694</v>
      </c>
      <c r="C6" s="1074">
        <f ca="1">ROUND(F6*F8*F7*(1-F9)/10000,0)</f>
        <v>3317</v>
      </c>
      <c r="D6" s="155" t="s">
        <v>2109</v>
      </c>
      <c r="E6" s="302" t="s">
        <v>696</v>
      </c>
      <c r="F6" s="303">
        <f ca="1">INDIRECT("'数据-取费表'!u"&amp;$G$1)</f>
        <v>7.5</v>
      </c>
      <c r="G6" s="1384"/>
      <c r="H6" s="1069" t="s">
        <v>398</v>
      </c>
      <c r="I6" s="3707" t="s">
        <v>694</v>
      </c>
      <c r="J6" s="301">
        <f ca="1">ROUND(M6*M8*M7*(1-M9)/10000,0)</f>
        <v>0</v>
      </c>
      <c r="K6" s="155" t="s">
        <v>2108</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13463.410000000002</v>
      </c>
      <c r="G7" s="1384"/>
      <c r="H7" s="304"/>
      <c r="I7" s="3708"/>
      <c r="J7" s="306"/>
      <c r="K7" s="307"/>
      <c r="L7" s="302" t="s">
        <v>697</v>
      </c>
      <c r="M7" s="303">
        <f ca="1">F7</f>
        <v>13463.410000000002</v>
      </c>
    </row>
    <row r="8" spans="1:37" ht="18" customHeight="1">
      <c r="A8" s="304"/>
      <c r="B8" s="3708"/>
      <c r="C8" s="306"/>
      <c r="D8" s="307"/>
      <c r="E8" s="302" t="s">
        <v>698</v>
      </c>
      <c r="F8" s="303">
        <f ca="1">INDIRECT("'数据-取费表'!ai"&amp;$G$1)</f>
        <v>365</v>
      </c>
      <c r="G8" s="1384"/>
      <c r="H8" s="304"/>
      <c r="I8" s="3708"/>
      <c r="J8" s="306"/>
      <c r="K8" s="307"/>
      <c r="L8" s="302" t="s">
        <v>698</v>
      </c>
      <c r="M8" s="303">
        <f ca="1">INDIRECT("'数据-取费表'!ai"&amp;$G$1)</f>
        <v>365</v>
      </c>
    </row>
    <row r="9" spans="1:37" ht="18" customHeight="1">
      <c r="A9" s="304"/>
      <c r="B9" s="3709"/>
      <c r="C9" s="306"/>
      <c r="D9" s="307"/>
      <c r="E9" s="302" t="s">
        <v>699</v>
      </c>
      <c r="F9" s="312">
        <f ca="1">INDIRECT("'数据-取费表'!w"&amp;$G$1)</f>
        <v>0.1</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4</v>
      </c>
      <c r="D10" s="1366" t="s">
        <v>2117</v>
      </c>
      <c r="E10" s="313" t="s">
        <v>701</v>
      </c>
      <c r="F10" s="1116" t="s">
        <v>3505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7987</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6059</v>
      </c>
      <c r="D14" s="1345" t="s">
        <v>708</v>
      </c>
      <c r="E14" s="1342"/>
      <c r="F14" s="319"/>
      <c r="G14" s="1384"/>
      <c r="H14" s="982" t="s">
        <v>398</v>
      </c>
      <c r="I14" s="302" t="s">
        <v>709</v>
      </c>
      <c r="J14" s="21">
        <f ca="1">C29</f>
        <v>9397</v>
      </c>
      <c r="K14" s="12"/>
      <c r="L14" s="807"/>
      <c r="M14" s="808"/>
    </row>
    <row r="15" spans="1:37" s="1397" customFormat="1" ht="18" customHeight="1" thickBot="1">
      <c r="A15" s="982" t="s">
        <v>399</v>
      </c>
      <c r="B15" s="302" t="s">
        <v>710</v>
      </c>
      <c r="C15" s="21">
        <f ca="1">ROUND(C14*F15,0)</f>
        <v>303</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30</v>
      </c>
      <c r="K16" s="1087" t="s">
        <v>715</v>
      </c>
      <c r="L16" s="1088"/>
      <c r="M16" s="1072"/>
    </row>
    <row r="17" spans="1:37" s="1397" customFormat="1" ht="18" customHeight="1">
      <c r="A17" s="982" t="s">
        <v>681</v>
      </c>
      <c r="B17" s="302" t="s">
        <v>716</v>
      </c>
      <c r="C17" s="21">
        <f ca="1">ROUND(F17*(F43+INDIRECT("'数据-取费表'!S"&amp;$G$1))/10000,0)</f>
        <v>269</v>
      </c>
      <c r="D17" s="302" t="s">
        <v>717</v>
      </c>
      <c r="E17" s="302" t="s">
        <v>718</v>
      </c>
      <c r="F17" s="23">
        <f>'数据-取费表'!B35</f>
        <v>200</v>
      </c>
      <c r="G17" s="1396"/>
      <c r="H17" s="982" t="s">
        <v>398</v>
      </c>
      <c r="I17" s="302" t="s">
        <v>719</v>
      </c>
      <c r="J17" s="2316">
        <f ca="1">ROUND(IF(AND(项目基本情况!B11="自然人",项目基本情况!B10="北京市"),J6*M17/(1+'数据-取费表'!C42),J18+J19+J20),2)</f>
        <v>1.67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6722</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202</v>
      </c>
      <c r="D20" s="323" t="s">
        <v>729</v>
      </c>
      <c r="E20" s="302" t="s">
        <v>712</v>
      </c>
      <c r="F20" s="322">
        <f>'数据-取费表'!B37</f>
        <v>0.03</v>
      </c>
      <c r="G20" s="1396"/>
      <c r="H20" s="982" t="s">
        <v>680</v>
      </c>
      <c r="I20" s="155" t="s">
        <v>730</v>
      </c>
      <c r="J20" s="22">
        <f ca="1">ROUND(M20*M21/10000,2)</f>
        <v>1.67</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1391.04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28.19</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239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-30</v>
      </c>
      <c r="K25" s="1095" t="s">
        <v>753</v>
      </c>
      <c r="L25" s="1096"/>
      <c r="M25" s="1097"/>
    </row>
    <row r="26" spans="1:37">
      <c r="A26" s="982" t="s">
        <v>397</v>
      </c>
      <c r="B26" s="302" t="s">
        <v>754</v>
      </c>
      <c r="C26" s="21">
        <f ca="1">ROUND((C19+C20)*F26,0)</f>
        <v>1385</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9397</v>
      </c>
      <c r="D29" s="1092"/>
      <c r="E29" s="1090"/>
      <c r="F29" s="1093"/>
      <c r="G29" s="1396"/>
      <c r="H29" s="334" t="s">
        <v>396</v>
      </c>
      <c r="I29" s="335" t="s">
        <v>768</v>
      </c>
      <c r="J29" s="336">
        <f ca="1">ROUND(J26/(1+F40)^F41,0)</f>
        <v>0</v>
      </c>
      <c r="K29" s="337" t="s">
        <v>769</v>
      </c>
      <c r="L29" s="338"/>
      <c r="M29" s="339">
        <f ca="1">INDIRECT("'数据-取费表'!k"&amp;$G$1)</f>
        <v>13463.410000000002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627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557.66999999999996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176.91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379.09</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1.67</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1391.04</v>
      </c>
      <c r="G35" s="1384"/>
      <c r="H35" s="2697"/>
      <c r="I35" s="1398"/>
      <c r="J35" s="1399"/>
      <c r="K35" s="2701"/>
      <c r="L35" s="2700"/>
      <c r="M35" s="2700"/>
    </row>
    <row r="36" spans="1:18" ht="18" customHeight="1">
      <c r="A36" s="1102" t="s">
        <v>402</v>
      </c>
      <c r="B36" s="302" t="s">
        <v>738</v>
      </c>
      <c r="C36" s="21">
        <f ca="1">ROUND(C29*F36,2)</f>
        <v>28.19</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7.99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33.21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2694</v>
      </c>
      <c r="D39" s="1095" t="s">
        <v>773</v>
      </c>
      <c r="E39" s="1096"/>
      <c r="F39" s="1097"/>
      <c r="G39" s="1384"/>
      <c r="H39" s="2700"/>
      <c r="I39" s="1398"/>
      <c r="J39" s="1399"/>
      <c r="K39" s="2704"/>
      <c r="L39" s="2700"/>
      <c r="M39" s="2700"/>
    </row>
    <row r="40" spans="1:18" ht="18" customHeight="1">
      <c r="A40" s="299" t="s">
        <v>395</v>
      </c>
      <c r="B40" s="300" t="s">
        <v>774</v>
      </c>
      <c r="C40" s="301">
        <f ca="1">ROUND(C39*(1-((1+F42)/(1+F40))^F41)/(F40-F42),0)</f>
        <v>34139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16.579999999999998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25357</v>
      </c>
      <c r="D43" s="337" t="s">
        <v>777</v>
      </c>
      <c r="E43" s="338" t="s">
        <v>778</v>
      </c>
      <c r="F43" s="339">
        <f ca="1">INDIRECT("'数据-取费表'!k"&amp;$G$1)</f>
        <v>13463.410000000002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-34546</v>
      </c>
      <c r="D46" s="1406" t="str">
        <f>C2</f>
        <v>万元</v>
      </c>
      <c r="E46" s="1400"/>
      <c r="F46" s="1400"/>
      <c r="I46" s="1407" t="s">
        <v>810</v>
      </c>
      <c r="J46" s="1408"/>
      <c r="K46" s="1409"/>
      <c r="L46" s="1410">
        <f ca="1">IF(M47="住宅",0,IF(L48&gt;J51,L60,J60))</f>
        <v>1133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3506</v>
      </c>
      <c r="K47" s="1416" t="s">
        <v>816</v>
      </c>
      <c r="L47" s="1417">
        <f ca="1">INDIRECT("'数据-取费表'!d"&amp;$G$1)</f>
        <v>40</v>
      </c>
      <c r="M47" s="1380" t="str">
        <f>IF(ISNUMBER(FIND("住宅",C1)),"住宅","非住宅")</f>
        <v>非住宅</v>
      </c>
      <c r="O47" s="1418" t="s">
        <v>403</v>
      </c>
      <c r="P47" s="1419" t="s">
        <v>817</v>
      </c>
      <c r="Q47" s="1420">
        <f ca="1">C40+J29</f>
        <v>34139</v>
      </c>
      <c r="R47" s="1420" t="s">
        <v>818</v>
      </c>
    </row>
    <row r="48" spans="1:18" s="1384" customFormat="1" ht="28.5" thickBot="1">
      <c r="A48" s="1110" t="s">
        <v>438</v>
      </c>
      <c r="B48" s="300" t="s">
        <v>692</v>
      </c>
      <c r="C48" s="1359">
        <f ca="1">C49+C53+C55</f>
        <v>0</v>
      </c>
      <c r="D48" s="1112"/>
      <c r="E48" s="1113"/>
      <c r="F48" s="962"/>
      <c r="G48" s="722"/>
      <c r="H48" s="723"/>
      <c r="I48" s="1421" t="s">
        <v>819</v>
      </c>
      <c r="J48" s="1422" t="s">
        <v>3507</v>
      </c>
      <c r="K48" s="1423" t="s">
        <v>820</v>
      </c>
      <c r="L48" s="1424">
        <f ca="1">INDIRECT("'数据-取费表'!f"&amp;$G$1)</f>
        <v>16.579999999999998</v>
      </c>
      <c r="O48" s="1418" t="s">
        <v>404</v>
      </c>
      <c r="P48" s="1419" t="s">
        <v>821</v>
      </c>
      <c r="Q48" s="1420">
        <f ca="1">J60</f>
        <v>1133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2000</v>
      </c>
      <c r="K49" s="1423" t="s">
        <v>824</v>
      </c>
      <c r="L49" s="1427"/>
      <c r="O49" s="1428" t="s">
        <v>405</v>
      </c>
      <c r="P49" s="1419" t="s">
        <v>825</v>
      </c>
      <c r="Q49" s="1420">
        <f ca="1">C29</f>
        <v>9397</v>
      </c>
      <c r="R49" s="1420" t="s">
        <v>818</v>
      </c>
    </row>
    <row r="50" spans="1:18" s="1384" customFormat="1" ht="13.5" thickBot="1">
      <c r="A50" s="976"/>
      <c r="B50" s="979"/>
      <c r="C50" s="1118"/>
      <c r="D50" s="953"/>
      <c r="E50" s="1056" t="s">
        <v>697</v>
      </c>
      <c r="F50" s="1057">
        <f ca="1">F7</f>
        <v>13463.410000000002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35677</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f ca="1">J53</f>
        <v>16.579999999999998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16.579999999999998</v>
      </c>
      <c r="K53" s="3705" t="s">
        <v>837</v>
      </c>
      <c r="L53" s="3706"/>
      <c r="O53" s="1418" t="s">
        <v>409</v>
      </c>
      <c r="P53" s="1419" t="s">
        <v>838</v>
      </c>
      <c r="Q53" s="1420">
        <f ca="1">Q47+Q48</f>
        <v>35272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v>
      </c>
      <c r="K55" s="1445" t="s">
        <v>841</v>
      </c>
      <c r="L55" s="1446"/>
      <c r="O55" s="1411" t="s">
        <v>811</v>
      </c>
      <c r="P55" s="1412" t="s">
        <v>812</v>
      </c>
      <c r="Q55" s="1413" t="s">
        <v>813</v>
      </c>
      <c r="R55" s="1413" t="s">
        <v>814</v>
      </c>
    </row>
    <row r="56" spans="1:18" s="1384" customFormat="1" ht="25.5" thickTop="1" thickBot="1">
      <c r="A56" s="957">
        <v>2</v>
      </c>
      <c r="B56" s="958" t="s">
        <v>704</v>
      </c>
      <c r="C56" s="232">
        <f ca="1">C13</f>
        <v>7987</v>
      </c>
      <c r="D56" s="1447"/>
      <c r="E56" s="1448"/>
      <c r="F56" s="1440"/>
      <c r="I56" s="1449" t="s">
        <v>842</v>
      </c>
      <c r="J56" s="1450" t="s">
        <v>3508</v>
      </c>
      <c r="K56" s="1421" t="s">
        <v>843</v>
      </c>
      <c r="L56" s="1424" t="str">
        <f ca="1">IF(L48&lt;J51,"——",L48-J53)</f>
        <v>——</v>
      </c>
      <c r="O56" s="1418" t="s">
        <v>403</v>
      </c>
      <c r="P56" s="1419" t="s">
        <v>817</v>
      </c>
      <c r="Q56" s="1420">
        <f ca="1">C40+J29</f>
        <v>34139</v>
      </c>
      <c r="R56" s="1420" t="s">
        <v>818</v>
      </c>
    </row>
    <row r="57" spans="1:18" s="1384" customFormat="1" ht="24.75" thickBot="1">
      <c r="A57" s="1451"/>
      <c r="B57" s="950" t="s">
        <v>767</v>
      </c>
      <c r="C57" s="238">
        <f ca="1">C29</f>
        <v>9397</v>
      </c>
      <c r="D57" s="1452"/>
      <c r="E57" s="1453"/>
      <c r="F57" s="1454"/>
      <c r="I57" s="1455" t="s">
        <v>844</v>
      </c>
      <c r="J57" s="1456">
        <f ca="1">IF(OR(M47="住宅",J51&lt;L48,J56="是"),"——",J51-L48)</f>
        <v>20.420000000000002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3759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1133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1.67</v>
      </c>
      <c r="D62" s="965" t="s">
        <v>786</v>
      </c>
      <c r="E62" s="950" t="s">
        <v>787</v>
      </c>
      <c r="F62" s="325">
        <f t="shared" si="0"/>
        <v>12</v>
      </c>
      <c r="I62" s="1462" t="s">
        <v>858</v>
      </c>
      <c r="J62" s="1463" t="s">
        <v>859</v>
      </c>
      <c r="K62" s="1463" t="s">
        <v>860</v>
      </c>
      <c r="L62" s="1463" t="s">
        <v>861</v>
      </c>
      <c r="M62" s="1464" t="s">
        <v>862</v>
      </c>
      <c r="O62" s="1418" t="s">
        <v>409</v>
      </c>
      <c r="P62" s="1419" t="s">
        <v>863</v>
      </c>
      <c r="Q62" s="1420">
        <f ca="1">Q56+Q57</f>
        <v>34139</v>
      </c>
      <c r="R62" s="1420" t="s">
        <v>410</v>
      </c>
    </row>
    <row r="63" spans="1:18" s="1384" customFormat="1" ht="13.5" thickBot="1">
      <c r="A63" s="326"/>
      <c r="B63" s="956"/>
      <c r="C63" s="26"/>
      <c r="D63" s="966"/>
      <c r="E63" s="950" t="s">
        <v>788</v>
      </c>
      <c r="F63" s="303">
        <f t="shared" ca="1" si="0"/>
        <v>1391.04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28.19</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7.99</v>
      </c>
      <c r="D65" s="964" t="s">
        <v>743</v>
      </c>
      <c r="E65" s="950" t="s">
        <v>744</v>
      </c>
      <c r="F65" s="330">
        <f t="shared" ca="1" si="0"/>
        <v>1E-3</v>
      </c>
      <c r="I65" s="1462" t="s">
        <v>867</v>
      </c>
      <c r="J65" s="1463">
        <v>40</v>
      </c>
      <c r="K65" s="1463">
        <v>30</v>
      </c>
      <c r="L65" s="1463">
        <v>50</v>
      </c>
      <c r="M65" s="1465">
        <v>0.02</v>
      </c>
      <c r="O65" s="1418" t="s">
        <v>403</v>
      </c>
      <c r="P65" s="1419" t="s">
        <v>868</v>
      </c>
      <c r="Q65" s="1420">
        <f ca="1">C40+J29</f>
        <v>34139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-38</v>
      </c>
      <c r="D67" s="963" t="s">
        <v>753</v>
      </c>
      <c r="E67" s="968"/>
      <c r="F67" s="969"/>
      <c r="O67" s="1428" t="s">
        <v>405</v>
      </c>
      <c r="P67" s="1419" t="s">
        <v>850</v>
      </c>
      <c r="Q67" s="1466">
        <f ca="1">L51</f>
        <v>35677</v>
      </c>
      <c r="R67" s="1420" t="s">
        <v>870</v>
      </c>
    </row>
    <row r="68" spans="1:18" s="1384" customFormat="1" ht="16.5" thickBot="1">
      <c r="A68" s="947" t="s">
        <v>395</v>
      </c>
      <c r="B68" s="948" t="s">
        <v>774</v>
      </c>
      <c r="C68" s="301">
        <f ca="1">ROUND(C67*(1-((1+F70)/(1+F68))^F69)/(F68-F70),0)</f>
        <v>-407</v>
      </c>
      <c r="D68" s="965" t="s">
        <v>758</v>
      </c>
      <c r="E68" s="950" t="s">
        <v>759</v>
      </c>
      <c r="F68" s="312">
        <f ca="1">F40</f>
        <v>5.5E-2</v>
      </c>
      <c r="O68" s="1428" t="s">
        <v>406</v>
      </c>
      <c r="P68" s="1467" t="s">
        <v>871</v>
      </c>
      <c r="Q68" s="1420">
        <f ca="1">ROUND(Q69-Q70*Q71,0)</f>
        <v>2135</v>
      </c>
      <c r="R68" s="1420" t="s">
        <v>414</v>
      </c>
    </row>
    <row r="69" spans="1:18" s="1384" customFormat="1" ht="13.5" thickBot="1">
      <c r="A69" s="951"/>
      <c r="B69" s="952"/>
      <c r="C69" s="306"/>
      <c r="D69" s="970" t="s">
        <v>762</v>
      </c>
      <c r="E69" s="950" t="s">
        <v>763</v>
      </c>
      <c r="F69" s="333">
        <f ca="1">F41</f>
        <v>16.579999999999998</v>
      </c>
      <c r="O69" s="1428" t="s">
        <v>411</v>
      </c>
      <c r="P69" s="1467" t="s">
        <v>872</v>
      </c>
      <c r="Q69" s="1420">
        <f ca="1">C39</f>
        <v>2694</v>
      </c>
      <c r="R69" s="1420" t="s">
        <v>818</v>
      </c>
    </row>
    <row r="70" spans="1:18" s="1384" customFormat="1" ht="13.5" thickBot="1">
      <c r="A70" s="954"/>
      <c r="B70" s="955"/>
      <c r="C70" s="310"/>
      <c r="D70" s="966"/>
      <c r="E70" s="950" t="s">
        <v>766</v>
      </c>
      <c r="F70" s="1054"/>
      <c r="O70" s="1428" t="s">
        <v>412</v>
      </c>
      <c r="P70" s="1467" t="s">
        <v>873</v>
      </c>
      <c r="Q70" s="1420">
        <f ca="1">C13</f>
        <v>7987</v>
      </c>
      <c r="R70" s="1420" t="s">
        <v>818</v>
      </c>
    </row>
    <row r="71" spans="1:18" s="1384" customFormat="1" ht="13.5" thickBot="1">
      <c r="A71" s="971" t="s">
        <v>396</v>
      </c>
      <c r="B71" s="972" t="s">
        <v>776</v>
      </c>
      <c r="C71" s="336">
        <f ca="1">ROUND(C68*10000/F71,0)</f>
        <v>-302</v>
      </c>
      <c r="D71" s="973" t="s">
        <v>777</v>
      </c>
      <c r="E71" s="974" t="s">
        <v>778</v>
      </c>
      <c r="F71" s="339">
        <f ca="1">F43</f>
        <v>13463.410000000002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559</v>
      </c>
      <c r="D75" s="1384"/>
      <c r="E75" s="1384"/>
      <c r="F75" s="1384"/>
      <c r="K75" s="1402"/>
      <c r="L75" s="1384"/>
      <c r="O75" s="1418" t="s">
        <v>409</v>
      </c>
      <c r="P75" s="1419" t="s">
        <v>838</v>
      </c>
      <c r="Q75" s="1420">
        <f ca="1">Q65+Q66</f>
        <v>34139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0.79300000000000004</v>
      </c>
    </row>
    <row r="80" spans="1:18">
      <c r="B80" s="340" t="s">
        <v>800</v>
      </c>
      <c r="C80" s="274">
        <f ca="1">ROUND(C75/C39,3)</f>
        <v>0.20699999999999999</v>
      </c>
    </row>
    <row r="81" spans="2:3">
      <c r="B81" s="270" t="s">
        <v>801</v>
      </c>
      <c r="C81" s="238"/>
    </row>
    <row r="82" spans="2:3">
      <c r="B82" s="273" t="s">
        <v>802</v>
      </c>
      <c r="C82" s="275">
        <f ca="1">1-C83</f>
        <v>0.76600000000000001</v>
      </c>
    </row>
    <row r="83" spans="2:3">
      <c r="B83" s="273" t="s">
        <v>803</v>
      </c>
      <c r="C83" s="274">
        <f ca="1">ROUND(C13/C40,3)</f>
        <v>0.23400000000000001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5" sqref="E1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3636</v>
      </c>
      <c r="D1" s="1362" t="s">
        <v>43</v>
      </c>
      <c r="E1" s="1363" t="s">
        <v>678</v>
      </c>
      <c r="F1" s="1062">
        <f ca="1">J53</f>
        <v>26.59</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2869</v>
      </c>
      <c r="C2" s="1387" t="s">
        <v>805</v>
      </c>
      <c r="D2" s="1387"/>
      <c r="E2" s="1388"/>
      <c r="F2" s="1389"/>
      <c r="G2" s="2706"/>
      <c r="H2" s="2695"/>
      <c r="I2" s="2695"/>
      <c r="J2" s="2695"/>
      <c r="K2" s="2696"/>
      <c r="L2" s="2695"/>
      <c r="M2" s="2695"/>
    </row>
    <row r="3" spans="1:37" ht="18" customHeight="1" thickBot="1">
      <c r="A3" s="1390" t="s">
        <v>806</v>
      </c>
      <c r="B3" s="1391">
        <f ca="1">IF(ISERROR(B2*10000/F43),0,ROUND(B2*10000/F43,0))</f>
        <v>2837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199</v>
      </c>
      <c r="D5" s="1364" t="s">
        <v>693</v>
      </c>
      <c r="E5" s="1071"/>
      <c r="F5" s="1072"/>
      <c r="G5" s="1384"/>
      <c r="H5" s="299">
        <v>1</v>
      </c>
      <c r="I5" s="300" t="s">
        <v>692</v>
      </c>
      <c r="J5" s="1070">
        <f ca="1">J6+J10+J12</f>
        <v>0</v>
      </c>
      <c r="K5" s="1364" t="s">
        <v>693</v>
      </c>
      <c r="L5" s="1071"/>
      <c r="M5" s="1072"/>
    </row>
    <row r="6" spans="1:37" ht="18" customHeight="1">
      <c r="A6" s="1069" t="s">
        <v>398</v>
      </c>
      <c r="B6" s="3707" t="s">
        <v>694</v>
      </c>
      <c r="C6" s="1074">
        <f ca="1">ROUND(F6*F8*F7*(1-F9)/10000,0)</f>
        <v>199</v>
      </c>
      <c r="D6" s="155" t="s">
        <v>2109</v>
      </c>
      <c r="E6" s="302" t="s">
        <v>696</v>
      </c>
      <c r="F6" s="303">
        <f ca="1">INDIRECT("'数据-取费表'!u"&amp;$G$1)</f>
        <v>0.6</v>
      </c>
      <c r="G6" s="1384"/>
      <c r="H6" s="1069" t="s">
        <v>398</v>
      </c>
      <c r="I6" s="3707" t="s">
        <v>694</v>
      </c>
      <c r="J6" s="301">
        <f ca="1">ROUND(M6*M8*M7*(1-M9)/10000,0)</f>
        <v>0</v>
      </c>
      <c r="K6" s="155" t="s">
        <v>2108</v>
      </c>
      <c r="L6" s="302" t="s">
        <v>696</v>
      </c>
      <c r="M6" s="303">
        <f ca="1">INDIRECT("'数据-取费表'!z"&amp;$G$1)</f>
        <v>0</v>
      </c>
    </row>
    <row r="7" spans="1:37" ht="18" customHeight="1">
      <c r="A7" s="1073"/>
      <c r="B7" s="3708"/>
      <c r="C7" s="1075"/>
      <c r="D7" s="307"/>
      <c r="E7" s="3453" t="s">
        <v>697</v>
      </c>
      <c r="F7" s="303">
        <f ca="1">IF(INDIRECT("'数据-取费表'!ah"&amp;$G$1)="",INDIRECT("'数据-取费表'!k"&amp;$G$1),INDIRECT("'数据-取费表'!ah"&amp;$G$1))</f>
        <v>10112.900000000001</v>
      </c>
      <c r="G7" s="1384"/>
      <c r="H7" s="304"/>
      <c r="I7" s="3708"/>
      <c r="J7" s="306"/>
      <c r="K7" s="307"/>
      <c r="L7" s="302" t="s">
        <v>697</v>
      </c>
      <c r="M7" s="303">
        <f ca="1">F7</f>
        <v>10112.900000000001</v>
      </c>
    </row>
    <row r="8" spans="1:37" ht="18" customHeight="1">
      <c r="A8" s="304"/>
      <c r="B8" s="3708"/>
      <c r="C8" s="306"/>
      <c r="D8" s="307"/>
      <c r="E8" s="302" t="s">
        <v>698</v>
      </c>
      <c r="F8" s="303">
        <f ca="1">INDIRECT("'数据-取费表'!ai"&amp;$G$1)</f>
        <v>365</v>
      </c>
      <c r="G8" s="1384"/>
      <c r="H8" s="304"/>
      <c r="I8" s="3708"/>
      <c r="J8" s="306"/>
      <c r="K8" s="307"/>
      <c r="L8" s="302" t="s">
        <v>698</v>
      </c>
      <c r="M8" s="303">
        <f ca="1">INDIRECT("'数据-取费表'!ai"&amp;$G$1)</f>
        <v>365</v>
      </c>
    </row>
    <row r="9" spans="1:37" ht="18" customHeight="1">
      <c r="A9" s="304"/>
      <c r="B9" s="3709"/>
      <c r="C9" s="306"/>
      <c r="D9" s="307"/>
      <c r="E9" s="302" t="s">
        <v>699</v>
      </c>
      <c r="F9" s="312">
        <f ca="1">INDIRECT("'数据-取费表'!w"&amp;$G$1)</f>
        <v>0.1</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5243</v>
      </c>
      <c r="D13" s="3450" t="s">
        <v>705</v>
      </c>
      <c r="E13" s="3450"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4551</v>
      </c>
      <c r="D14" s="3460" t="s">
        <v>708</v>
      </c>
      <c r="E14" s="3459"/>
      <c r="F14" s="319"/>
      <c r="G14" s="1384"/>
      <c r="H14" s="982" t="s">
        <v>398</v>
      </c>
      <c r="I14" s="302" t="s">
        <v>709</v>
      </c>
      <c r="J14" s="21">
        <f ca="1">C29</f>
        <v>6168</v>
      </c>
      <c r="K14" s="3452"/>
      <c r="L14" s="807"/>
      <c r="M14" s="808"/>
    </row>
    <row r="15" spans="1:37" s="1397" customFormat="1" ht="18" customHeight="1" thickBot="1">
      <c r="A15" s="982" t="s">
        <v>399</v>
      </c>
      <c r="B15" s="302" t="s">
        <v>710</v>
      </c>
      <c r="C15" s="21">
        <f ca="1">ROUND(C14*F15,0)</f>
        <v>228</v>
      </c>
      <c r="D15" s="3451" t="s">
        <v>711</v>
      </c>
      <c r="E15" s="3451"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20</v>
      </c>
      <c r="K16" s="1087" t="s">
        <v>715</v>
      </c>
      <c r="L16" s="3462"/>
      <c r="M16" s="1072"/>
    </row>
    <row r="17" spans="1:37" s="1397" customFormat="1" ht="18" customHeight="1">
      <c r="A17" s="982" t="s">
        <v>681</v>
      </c>
      <c r="B17" s="302" t="s">
        <v>716</v>
      </c>
      <c r="C17" s="21">
        <f ca="1">ROUND(F17*(F43+INDIRECT("'数据-取费表'!S"&amp;$G$1))/10000,0)</f>
        <v>202</v>
      </c>
      <c r="D17" s="302" t="s">
        <v>717</v>
      </c>
      <c r="E17" s="302" t="s">
        <v>718</v>
      </c>
      <c r="F17" s="23">
        <f>'数据-取费表'!B35</f>
        <v>200</v>
      </c>
      <c r="G17" s="1396"/>
      <c r="H17" s="982" t="s">
        <v>398</v>
      </c>
      <c r="I17" s="302" t="s">
        <v>719</v>
      </c>
      <c r="J17" s="2316">
        <f ca="1">ROUND(IF(AND(项目基本情况!B11="自然人",项目基本情况!B10="北京市"),J6*M17/(1+'数据-取费表'!C42),J18+J19+J20),2)</f>
        <v>1.25</v>
      </c>
      <c r="K17" s="3460" t="s">
        <v>720</v>
      </c>
      <c r="L17" s="3461"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68</v>
      </c>
      <c r="D18" s="302" t="s">
        <v>711</v>
      </c>
      <c r="E18" s="302" t="s">
        <v>712</v>
      </c>
      <c r="F18" s="322">
        <f>'数据-取费表'!B36</f>
        <v>1.4999999999999999E-2</v>
      </c>
      <c r="G18" s="1396"/>
      <c r="H18" s="982" t="s">
        <v>397</v>
      </c>
      <c r="I18" s="302" t="s">
        <v>723</v>
      </c>
      <c r="J18" s="21">
        <f ca="1">ROUND(J6*M18/(1+'数据-取费表'!C42),2)</f>
        <v>0</v>
      </c>
      <c r="K18" s="3461"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5049</v>
      </c>
      <c r="D19" s="131" t="s">
        <v>726</v>
      </c>
      <c r="E19" s="3466"/>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151</v>
      </c>
      <c r="D20" s="2428" t="s">
        <v>729</v>
      </c>
      <c r="E20" s="302" t="s">
        <v>712</v>
      </c>
      <c r="F20" s="322">
        <f>'数据-取费表'!B37</f>
        <v>0.03</v>
      </c>
      <c r="G20" s="1396"/>
      <c r="H20" s="982" t="s">
        <v>680</v>
      </c>
      <c r="I20" s="155" t="s">
        <v>730</v>
      </c>
      <c r="J20" s="22">
        <f ca="1">ROUND(M20*M21/10000,2)</f>
        <v>1.25</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0.03</v>
      </c>
      <c r="G21" s="1396"/>
      <c r="H21" s="326"/>
      <c r="I21" s="311"/>
      <c r="J21" s="26"/>
      <c r="K21" s="327"/>
      <c r="L21" s="302" t="s">
        <v>736</v>
      </c>
      <c r="M21" s="303">
        <f ca="1">INDIRECT("'数据-取费表'!r"&amp;$G$1)</f>
        <v>1044.8599999999999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6"/>
      <c r="F22" s="23"/>
      <c r="G22" s="1384"/>
      <c r="H22" s="982" t="s">
        <v>402</v>
      </c>
      <c r="I22" s="302" t="s">
        <v>738</v>
      </c>
      <c r="J22" s="21">
        <f ca="1">ROUND(J14*M22,2)</f>
        <v>18.5</v>
      </c>
      <c r="K22" s="3461"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179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61"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6"/>
      <c r="F25" s="23"/>
      <c r="G25" s="1384"/>
      <c r="H25" s="1079" t="s">
        <v>394</v>
      </c>
      <c r="I25" s="1094" t="s">
        <v>752</v>
      </c>
      <c r="J25" s="310">
        <f ca="1">J5-J16</f>
        <v>-20</v>
      </c>
      <c r="K25" s="1095" t="s">
        <v>753</v>
      </c>
      <c r="L25" s="1096"/>
      <c r="M25" s="1097"/>
    </row>
    <row r="26" spans="1:37">
      <c r="A26" s="982" t="s">
        <v>397</v>
      </c>
      <c r="B26" s="302" t="s">
        <v>754</v>
      </c>
      <c r="C26" s="21">
        <f ca="1">ROUND((C19+C20)*F26,0)</f>
        <v>260</v>
      </c>
      <c r="D26" s="2428"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2428" t="s">
        <v>761</v>
      </c>
      <c r="E27" s="345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6168</v>
      </c>
      <c r="D29" s="1092"/>
      <c r="E29" s="1090"/>
      <c r="F29" s="1093"/>
      <c r="G29" s="1396"/>
      <c r="H29" s="334" t="s">
        <v>396</v>
      </c>
      <c r="I29" s="335" t="s">
        <v>768</v>
      </c>
      <c r="J29" s="336">
        <f ca="1">ROUND(J26/(1+F40)^F41,0)</f>
        <v>0</v>
      </c>
      <c r="K29" s="337" t="s">
        <v>769</v>
      </c>
      <c r="L29" s="338"/>
      <c r="M29" s="339">
        <f ca="1">INDIRECT("'数据-取费表'!k"&amp;$G$1)</f>
        <v>10112.900000000001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59</v>
      </c>
      <c r="D30" s="1087" t="s">
        <v>715</v>
      </c>
      <c r="E30" s="3462"/>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34.6</v>
      </c>
      <c r="D31" s="3460" t="s">
        <v>720</v>
      </c>
      <c r="E31" s="3461"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10.61</v>
      </c>
      <c r="D32" s="3461"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22.74</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1.25</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1044.8599999999999</v>
      </c>
      <c r="G35" s="1384"/>
      <c r="H35" s="2697"/>
      <c r="I35" s="1398"/>
      <c r="J35" s="1399"/>
      <c r="K35" s="2701"/>
      <c r="L35" s="2700"/>
      <c r="M35" s="2700"/>
    </row>
    <row r="36" spans="1:18" ht="18" customHeight="1">
      <c r="A36" s="1102" t="s">
        <v>402</v>
      </c>
      <c r="B36" s="302" t="s">
        <v>738</v>
      </c>
      <c r="C36" s="21">
        <f ca="1">ROUND(C29*F36,2)</f>
        <v>18.5</v>
      </c>
      <c r="D36" s="3461"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5.24</v>
      </c>
      <c r="D37" s="3461" t="s">
        <v>743</v>
      </c>
      <c r="E37" s="302" t="s">
        <v>744</v>
      </c>
      <c r="F37" s="330">
        <f ca="1">INDIRECT("'数据-取费表'!Al"&amp;$G$1)</f>
        <v>1E-3</v>
      </c>
      <c r="G37" s="1384"/>
      <c r="H37" s="2700"/>
      <c r="I37" s="1398"/>
      <c r="J37" s="1399"/>
      <c r="K37" s="2544"/>
      <c r="L37" s="2700"/>
      <c r="M37" s="2700"/>
    </row>
    <row r="38" spans="1:18" ht="18" customHeight="1" thickBot="1">
      <c r="A38" s="1089" t="s">
        <v>683</v>
      </c>
      <c r="B38" s="1090" t="s">
        <v>728</v>
      </c>
      <c r="C38" s="1091">
        <f ca="1">ROUND(C5*F38,2)</f>
        <v>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752</v>
      </c>
      <c r="C39" s="310">
        <f ca="1">C5-C30</f>
        <v>140</v>
      </c>
      <c r="D39" s="1095" t="s">
        <v>773</v>
      </c>
      <c r="E39" s="1096"/>
      <c r="F39" s="1097"/>
      <c r="G39" s="1384"/>
      <c r="H39" s="2700"/>
      <c r="I39" s="1398"/>
      <c r="J39" s="1399"/>
      <c r="K39" s="2704"/>
      <c r="L39" s="2700"/>
      <c r="M39" s="2700"/>
    </row>
    <row r="40" spans="1:18" ht="18" customHeight="1">
      <c r="A40" s="299" t="s">
        <v>395</v>
      </c>
      <c r="B40" s="300" t="s">
        <v>774</v>
      </c>
      <c r="C40" s="301">
        <f ca="1">ROUND(C39*(1-((1+F42)/(1+F40))^F41)/(F40-F42),0)</f>
        <v>2508</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26.59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2480</v>
      </c>
      <c r="D43" s="337" t="s">
        <v>777</v>
      </c>
      <c r="E43" s="338" t="s">
        <v>778</v>
      </c>
      <c r="F43" s="339">
        <f ca="1">INDIRECT("'数据-取费表'!k"&amp;$G$1)</f>
        <v>10112.900000000001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-2871</v>
      </c>
      <c r="D46" s="1406" t="str">
        <f>C2</f>
        <v>万元</v>
      </c>
      <c r="E46" s="1400"/>
      <c r="F46" s="1400"/>
      <c r="I46" s="1407" t="s">
        <v>810</v>
      </c>
      <c r="J46" s="1408"/>
      <c r="K46" s="1409"/>
      <c r="L46" s="1410">
        <f ca="1">IF(M47="住宅",0,IF(L48&gt;J51,L60,J60))</f>
        <v>361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3506</v>
      </c>
      <c r="K47" s="1416" t="s">
        <v>816</v>
      </c>
      <c r="L47" s="1417">
        <f ca="1">INDIRECT("'数据-取费表'!d"&amp;$G$1)</f>
        <v>50</v>
      </c>
      <c r="M47" s="1380" t="str">
        <f>IF(ISNUMBER(FIND("住宅",C1)),"住宅","非住宅")</f>
        <v>非住宅</v>
      </c>
      <c r="O47" s="1418" t="s">
        <v>403</v>
      </c>
      <c r="P47" s="1419" t="s">
        <v>817</v>
      </c>
      <c r="Q47" s="1420">
        <f ca="1">C40+J29</f>
        <v>2508</v>
      </c>
      <c r="R47" s="1420" t="s">
        <v>818</v>
      </c>
    </row>
    <row r="48" spans="1:18" s="1384" customFormat="1" ht="28.5" thickBot="1">
      <c r="A48" s="1110" t="s">
        <v>438</v>
      </c>
      <c r="B48" s="300" t="s">
        <v>692</v>
      </c>
      <c r="C48" s="3465">
        <f ca="1">C49+C53+C55</f>
        <v>0</v>
      </c>
      <c r="D48" s="1112"/>
      <c r="E48" s="1113"/>
      <c r="F48" s="962"/>
      <c r="G48" s="722"/>
      <c r="H48" s="723"/>
      <c r="I48" s="1421" t="s">
        <v>819</v>
      </c>
      <c r="J48" s="1422" t="s">
        <v>3507</v>
      </c>
      <c r="K48" s="1423" t="s">
        <v>820</v>
      </c>
      <c r="L48" s="1424">
        <f ca="1">INDIRECT("'数据-取费表'!f"&amp;$G$1)</f>
        <v>26.59</v>
      </c>
      <c r="O48" s="1418" t="s">
        <v>404</v>
      </c>
      <c r="P48" s="1419" t="s">
        <v>821</v>
      </c>
      <c r="Q48" s="1420">
        <f ca="1">J60</f>
        <v>361</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2000</v>
      </c>
      <c r="K49" s="1423" t="s">
        <v>824</v>
      </c>
      <c r="L49" s="1427"/>
      <c r="O49" s="1428" t="s">
        <v>405</v>
      </c>
      <c r="P49" s="1419" t="s">
        <v>825</v>
      </c>
      <c r="Q49" s="1420">
        <f ca="1">C29</f>
        <v>6168</v>
      </c>
      <c r="R49" s="1420" t="s">
        <v>818</v>
      </c>
    </row>
    <row r="50" spans="1:18" s="1384" customFormat="1" ht="13.5" thickBot="1">
      <c r="A50" s="976"/>
      <c r="B50" s="979"/>
      <c r="C50" s="1118"/>
      <c r="D50" s="953"/>
      <c r="E50" s="1056" t="s">
        <v>697</v>
      </c>
      <c r="F50" s="1057">
        <f ca="1">F7</f>
        <v>10112.900000000001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-4055</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f ca="1">J53</f>
        <v>26.59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26.59</v>
      </c>
      <c r="K53" s="3705" t="s">
        <v>837</v>
      </c>
      <c r="L53" s="3706"/>
      <c r="O53" s="1418" t="s">
        <v>409</v>
      </c>
      <c r="P53" s="1419" t="s">
        <v>838</v>
      </c>
      <c r="Q53" s="1420">
        <f ca="1">Q47+Q48</f>
        <v>2869</v>
      </c>
      <c r="R53" s="1420" t="s">
        <v>410</v>
      </c>
    </row>
    <row r="54" spans="1:18" s="1384" customFormat="1" ht="13.5" thickBot="1">
      <c r="A54" s="1153"/>
      <c r="B54" s="1367" t="s">
        <v>679</v>
      </c>
      <c r="C54" s="959"/>
      <c r="D54" s="1366"/>
      <c r="E54" s="345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4"/>
      <c r="F55" s="1440"/>
      <c r="I55" s="1443" t="s">
        <v>840</v>
      </c>
      <c r="J55" s="1444">
        <f ca="1">ROUND(IF(J47="钢混",J57/J50,1-(1-2%)*(J50-J57)/J50),3)</f>
        <v>0.17399999999999999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5243</v>
      </c>
      <c r="D56" s="1447"/>
      <c r="E56" s="1448"/>
      <c r="F56" s="1440"/>
      <c r="I56" s="1449" t="s">
        <v>842</v>
      </c>
      <c r="J56" s="1450" t="s">
        <v>3508</v>
      </c>
      <c r="K56" s="1421" t="s">
        <v>843</v>
      </c>
      <c r="L56" s="1424" t="str">
        <f ca="1">IF(L48&lt;J51,"——",L48-J53)</f>
        <v>——</v>
      </c>
      <c r="O56" s="1418" t="s">
        <v>403</v>
      </c>
      <c r="P56" s="1419" t="s">
        <v>817</v>
      </c>
      <c r="Q56" s="1420">
        <f ca="1">C40+J29</f>
        <v>2508</v>
      </c>
      <c r="R56" s="1420" t="s">
        <v>818</v>
      </c>
    </row>
    <row r="57" spans="1:18" s="1384" customFormat="1" ht="24.75" thickBot="1">
      <c r="A57" s="1451"/>
      <c r="B57" s="950" t="s">
        <v>767</v>
      </c>
      <c r="C57" s="238">
        <f ca="1">C29</f>
        <v>6168</v>
      </c>
      <c r="D57" s="1452"/>
      <c r="E57" s="1453"/>
      <c r="F57" s="1454"/>
      <c r="I57" s="1455" t="s">
        <v>844</v>
      </c>
      <c r="J57" s="1456">
        <f ca="1">IF(OR(M47="住宅",J51&lt;L48,J56="是"),"——",J51-L48)</f>
        <v>10.41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2467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361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1.25</v>
      </c>
      <c r="D62" s="965" t="s">
        <v>786</v>
      </c>
      <c r="E62" s="950" t="s">
        <v>787</v>
      </c>
      <c r="F62" s="325">
        <f t="shared" si="0"/>
        <v>12</v>
      </c>
      <c r="I62" s="1462" t="s">
        <v>858</v>
      </c>
      <c r="J62" s="1463" t="s">
        <v>859</v>
      </c>
      <c r="K62" s="1463" t="s">
        <v>860</v>
      </c>
      <c r="L62" s="1463" t="s">
        <v>861</v>
      </c>
      <c r="M62" s="1464" t="s">
        <v>862</v>
      </c>
      <c r="O62" s="1418" t="s">
        <v>409</v>
      </c>
      <c r="P62" s="1419" t="s">
        <v>838</v>
      </c>
      <c r="Q62" s="1420">
        <f ca="1">Q56+Q57</f>
        <v>2508</v>
      </c>
      <c r="R62" s="1420" t="s">
        <v>410</v>
      </c>
    </row>
    <row r="63" spans="1:18" s="1384" customFormat="1" ht="13.5" thickBot="1">
      <c r="A63" s="326"/>
      <c r="B63" s="956"/>
      <c r="C63" s="26"/>
      <c r="D63" s="966"/>
      <c r="E63" s="950" t="s">
        <v>788</v>
      </c>
      <c r="F63" s="303">
        <f t="shared" ca="1" si="0"/>
        <v>1044.8599999999999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18.5</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5.24</v>
      </c>
      <c r="D65" s="964" t="s">
        <v>743</v>
      </c>
      <c r="E65" s="950" t="s">
        <v>744</v>
      </c>
      <c r="F65" s="330">
        <f t="shared" ca="1" si="0"/>
        <v>1E-3</v>
      </c>
      <c r="I65" s="1462" t="s">
        <v>867</v>
      </c>
      <c r="J65" s="1463">
        <v>40</v>
      </c>
      <c r="K65" s="1463">
        <v>30</v>
      </c>
      <c r="L65" s="1463">
        <v>50</v>
      </c>
      <c r="M65" s="1465">
        <v>0.02</v>
      </c>
      <c r="O65" s="1418" t="s">
        <v>403</v>
      </c>
      <c r="P65" s="1419" t="s">
        <v>817</v>
      </c>
      <c r="Q65" s="1420">
        <f ca="1">C40+J29</f>
        <v>2508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-25</v>
      </c>
      <c r="D67" s="963" t="s">
        <v>753</v>
      </c>
      <c r="E67" s="968"/>
      <c r="F67" s="969"/>
      <c r="O67" s="1428" t="s">
        <v>405</v>
      </c>
      <c r="P67" s="1419" t="s">
        <v>850</v>
      </c>
      <c r="Q67" s="1466">
        <f ca="1">L51</f>
        <v>-4055</v>
      </c>
      <c r="R67" s="1420" t="s">
        <v>870</v>
      </c>
    </row>
    <row r="68" spans="1:18" s="1384" customFormat="1" ht="16.5" thickBot="1">
      <c r="A68" s="947" t="s">
        <v>395</v>
      </c>
      <c r="B68" s="948" t="s">
        <v>774</v>
      </c>
      <c r="C68" s="301">
        <f ca="1">ROUND(C67*(1-((1+F70)/(1+F68))^F69)/(F68-F70),0)</f>
        <v>-363</v>
      </c>
      <c r="D68" s="965" t="s">
        <v>758</v>
      </c>
      <c r="E68" s="950" t="s">
        <v>759</v>
      </c>
      <c r="F68" s="312">
        <f ca="1">F40</f>
        <v>0.05</v>
      </c>
      <c r="O68" s="1428" t="s">
        <v>406</v>
      </c>
      <c r="P68" s="1467" t="s">
        <v>871</v>
      </c>
      <c r="Q68" s="1420">
        <f ca="1">ROUND(Q69-Q70*Q71,0)</f>
        <v>-227</v>
      </c>
      <c r="R68" s="1420" t="s">
        <v>414</v>
      </c>
    </row>
    <row r="69" spans="1:18" s="1384" customFormat="1" ht="13.5" thickBot="1">
      <c r="A69" s="951"/>
      <c r="B69" s="952"/>
      <c r="C69" s="306"/>
      <c r="D69" s="970" t="s">
        <v>762</v>
      </c>
      <c r="E69" s="950" t="s">
        <v>763</v>
      </c>
      <c r="F69" s="333">
        <f ca="1">F41</f>
        <v>26.59</v>
      </c>
      <c r="O69" s="1428" t="s">
        <v>411</v>
      </c>
      <c r="P69" s="1467" t="s">
        <v>872</v>
      </c>
      <c r="Q69" s="1420">
        <f ca="1">C39</f>
        <v>140</v>
      </c>
      <c r="R69" s="1420" t="s">
        <v>818</v>
      </c>
    </row>
    <row r="70" spans="1:18" s="1384" customFormat="1" ht="13.5" thickBot="1">
      <c r="A70" s="954"/>
      <c r="B70" s="955"/>
      <c r="C70" s="310"/>
      <c r="D70" s="966"/>
      <c r="E70" s="950" t="s">
        <v>766</v>
      </c>
      <c r="F70" s="1054"/>
      <c r="O70" s="1428" t="s">
        <v>412</v>
      </c>
      <c r="P70" s="1467" t="s">
        <v>873</v>
      </c>
      <c r="Q70" s="1420">
        <f ca="1">C13</f>
        <v>5243</v>
      </c>
      <c r="R70" s="1420" t="s">
        <v>818</v>
      </c>
    </row>
    <row r="71" spans="1:18" s="1384" customFormat="1" ht="13.5" thickBot="1">
      <c r="A71" s="971" t="s">
        <v>396</v>
      </c>
      <c r="B71" s="972" t="s">
        <v>776</v>
      </c>
      <c r="C71" s="336">
        <f ca="1">ROUND(C68*10000/F71,0)</f>
        <v>-359</v>
      </c>
      <c r="D71" s="973" t="s">
        <v>777</v>
      </c>
      <c r="E71" s="974" t="s">
        <v>778</v>
      </c>
      <c r="F71" s="339">
        <f ca="1">F43</f>
        <v>10112.900000000001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367</v>
      </c>
      <c r="D75" s="1384"/>
      <c r="E75" s="1384"/>
      <c r="F75" s="1384"/>
      <c r="K75" s="1402"/>
      <c r="L75" s="1384"/>
      <c r="O75" s="1418" t="s">
        <v>409</v>
      </c>
      <c r="P75" s="1419" t="s">
        <v>838</v>
      </c>
      <c r="Q75" s="1420">
        <f ca="1">Q65+Q66</f>
        <v>2508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-1.621</v>
      </c>
    </row>
    <row r="80" spans="1:18">
      <c r="B80" s="340" t="s">
        <v>800</v>
      </c>
      <c r="C80" s="274">
        <f ca="1">ROUND(C75/C39,3)</f>
        <v>2.621</v>
      </c>
    </row>
    <row r="81" spans="2:3">
      <c r="B81" s="270" t="s">
        <v>801</v>
      </c>
      <c r="C81" s="238"/>
    </row>
    <row r="82" spans="2:3">
      <c r="B82" s="273" t="s">
        <v>802</v>
      </c>
      <c r="C82" s="275">
        <f ca="1">1-C83</f>
        <v>-1.0910000000000002</v>
      </c>
    </row>
    <row r="83" spans="2:3">
      <c r="B83" s="273" t="s">
        <v>803</v>
      </c>
      <c r="C83" s="274">
        <f ca="1">ROUND(C13/C40,3)</f>
        <v>2.0910000000000002</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52346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22203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28591</v>
      </c>
      <c r="D5" s="211" t="s">
        <v>1469</v>
      </c>
      <c r="E5" s="212" t="s">
        <v>1470</v>
      </c>
      <c r="F5" s="212" t="s">
        <v>1471</v>
      </c>
      <c r="G5" s="213"/>
    </row>
    <row r="6" spans="1:9" s="214" customFormat="1" ht="13.5" customHeight="1">
      <c r="A6" s="778" t="s">
        <v>1472</v>
      </c>
      <c r="B6" s="215" t="s">
        <v>1473</v>
      </c>
      <c r="C6" s="216">
        <f>基准地价修正商业!B2</f>
        <v>27745</v>
      </c>
      <c r="D6" s="217"/>
      <c r="E6" s="218"/>
      <c r="F6" s="218"/>
      <c r="G6" s="219"/>
    </row>
    <row r="7" spans="1:9" s="214" customFormat="1" ht="13.5" customHeight="1">
      <c r="A7" s="778" t="s">
        <v>1474</v>
      </c>
      <c r="B7" s="215" t="s">
        <v>1475</v>
      </c>
      <c r="C7" s="220">
        <f>ROUND(C6*F7,0)</f>
        <v>846</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3510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3511</v>
      </c>
      <c r="H9" s="1137"/>
      <c r="I9" s="1858" t="s">
        <v>1479</v>
      </c>
    </row>
    <row r="10" spans="1:9" s="214" customFormat="1" ht="13.5" customHeight="1">
      <c r="A10" s="779" t="s">
        <v>356</v>
      </c>
      <c r="B10" s="224" t="s">
        <v>1480</v>
      </c>
      <c r="C10" s="225">
        <f ca="1">ROUND(D10*E10/10000,0)</f>
        <v>472</v>
      </c>
      <c r="D10" s="845">
        <f ca="1">IF(B1="",'数据-汇总表'!E6,IF(INDIRECT("'数据-取费表'!c"&amp;$G$1)="住宅",INDIRECT("'数据-取费表'!s"&amp;$G$1),INDIRECT("'数据-取费表'!k"&amp;$G$1)+INDIRECT("'数据-取费表'!s"&amp;$G$1)))</f>
        <v>23576.310000000005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23576.310000000005</v>
      </c>
      <c r="E19" s="211">
        <f>'数据-取费表'!B31</f>
        <v>200</v>
      </c>
      <c r="F19" s="231"/>
      <c r="G19" s="1856" t="s">
        <v>3512</v>
      </c>
    </row>
    <row r="20" spans="1:7" s="214" customFormat="1" ht="13.5" customHeight="1">
      <c r="A20" s="255" t="s">
        <v>1493</v>
      </c>
      <c r="B20" s="210" t="s">
        <v>1494</v>
      </c>
      <c r="C20" s="232">
        <f>ROUND((C5+C19)*F20,0)</f>
        <v>858</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2037</v>
      </c>
      <c r="D22" s="235">
        <f ca="1">C26</f>
        <v>1E-3</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2007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4123</v>
      </c>
      <c r="D27" s="235">
        <f ca="1">C29</f>
        <v>4.1999999999999997E-3</v>
      </c>
      <c r="E27" s="236" t="s">
        <v>1514</v>
      </c>
      <c r="F27" s="246">
        <f ca="1">IF(B1="",'数据-取费表'!Q16,INDIRECT("'数据-取费表'!q"&amp;$G$1))</f>
        <v>0.14000000000000001</v>
      </c>
      <c r="G27" s="247" t="s">
        <v>1515</v>
      </c>
    </row>
    <row r="28" spans="1:7" s="214" customFormat="1" ht="13.5" customHeight="1">
      <c r="A28" s="780" t="s">
        <v>346</v>
      </c>
      <c r="B28" s="248" t="s">
        <v>1516</v>
      </c>
      <c r="C28" s="249">
        <f ca="1">ROUND((C5+C19+C20)*F27*'数据-取费表'!B21/'数据-取费表'!B20,0)</f>
        <v>4123</v>
      </c>
      <c r="D28" s="235"/>
      <c r="E28" s="236"/>
      <c r="F28" s="246"/>
      <c r="G28" s="247"/>
    </row>
    <row r="29" spans="1:7" s="214" customFormat="1" ht="13.5" customHeight="1">
      <c r="A29" s="780" t="s">
        <v>347</v>
      </c>
      <c r="B29" s="248" t="s">
        <v>1517</v>
      </c>
      <c r="C29" s="238">
        <f ca="1">ROUND(C21*F27*'数据-取费表'!B21/'数据-取费表'!B20,4)</f>
        <v>4.1999999999999997E-3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39066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11772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10610</v>
      </c>
      <c r="D34" s="217"/>
      <c r="E34" s="220"/>
      <c r="F34" s="257">
        <f ca="1">IF('数据-取费表'!B24=0,1,IF(B1="",'数据-取费表'!N16,INDIRECT("'数据-取费表'!n"&amp;$G$1)))</f>
        <v>1</v>
      </c>
      <c r="G34" s="219" t="s">
        <v>1526</v>
      </c>
    </row>
    <row r="35" spans="1:7" ht="13.5" customHeight="1">
      <c r="A35" s="780" t="s">
        <v>351</v>
      </c>
      <c r="B35" s="215" t="s">
        <v>1527</v>
      </c>
      <c r="C35" s="220">
        <f ca="1">ROUND(C34*F35,0)</f>
        <v>531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472</v>
      </c>
      <c r="D37" s="217">
        <f ca="1">D19</f>
        <v>23576.310000000005</v>
      </c>
      <c r="E37" s="249">
        <f>'数据-取费表'!B35</f>
        <v>200</v>
      </c>
      <c r="F37" s="259"/>
      <c r="G37" s="261" t="s">
        <v>1532</v>
      </c>
    </row>
    <row r="38" spans="1:7" ht="13.5" customHeight="1">
      <c r="A38" s="780" t="s">
        <v>354</v>
      </c>
      <c r="B38" s="215" t="s">
        <v>1533</v>
      </c>
      <c r="C38" s="220">
        <f ca="1">ROUND(C34*F38,0)</f>
        <v>159</v>
      </c>
      <c r="D38" s="220"/>
      <c r="E38" s="220"/>
      <c r="F38" s="259">
        <f>'数据-取费表'!B36</f>
        <v>1.4999999999999999E-2</v>
      </c>
      <c r="G38" s="219" t="s">
        <v>1528</v>
      </c>
    </row>
    <row r="39" spans="1:7" s="214" customFormat="1" ht="13.5" customHeight="1">
      <c r="A39" s="255" t="s">
        <v>1534</v>
      </c>
      <c r="B39" s="210" t="s">
        <v>1535</v>
      </c>
      <c r="C39" s="232">
        <f ca="1">ROUND(C33*F20,0)</f>
        <v>353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418</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406</v>
      </c>
      <c r="D42" s="238"/>
      <c r="E42" s="238"/>
      <c r="F42" s="239"/>
      <c r="G42" s="3710" t="s">
        <v>1544</v>
      </c>
    </row>
    <row r="43" spans="1:7" ht="13.5" customHeight="1">
      <c r="A43" s="780" t="s">
        <v>347</v>
      </c>
      <c r="B43" s="215" t="s">
        <v>1545</v>
      </c>
      <c r="C43" s="238">
        <f ca="1">ROUND(IF('数据-取费表'!B22&lt;=1,C39*F22*'数据-取费表'!B21/2,C39*(POWER((1+F22),'数据-取费表'!B21/2)-1)),0)</f>
        <v>12</v>
      </c>
      <c r="D43" s="238"/>
      <c r="E43" s="238"/>
      <c r="F43" s="239"/>
      <c r="G43" s="3711"/>
    </row>
    <row r="44" spans="1:7" ht="13.5" customHeight="1">
      <c r="A44" s="780" t="s">
        <v>348</v>
      </c>
      <c r="B44" s="215" t="s">
        <v>1546</v>
      </c>
      <c r="C44" s="238">
        <f ca="1">ROUND(IF('数据-取费表'!B22&lt;=1,C40*F22*'数据-取费表'!B21/2,C40*(POWER((1+F22),'数据-取费表'!B21/2)-1)),4)</f>
        <v>1E-3</v>
      </c>
      <c r="D44" s="238"/>
      <c r="E44" s="238"/>
      <c r="F44" s="239"/>
      <c r="G44" s="3712"/>
    </row>
    <row r="45" spans="1:7" s="214" customFormat="1" ht="13.5" customHeight="1">
      <c r="A45" s="255" t="s">
        <v>1547</v>
      </c>
      <c r="B45" s="244" t="s">
        <v>1513</v>
      </c>
      <c r="C45" s="245">
        <f ca="1">C46</f>
        <v>1698</v>
      </c>
      <c r="D45" s="235">
        <f ca="1">C47</f>
        <v>4.1999999999999997E-3</v>
      </c>
      <c r="E45" s="236" t="s">
        <v>1539</v>
      </c>
      <c r="F45" s="246">
        <f ca="1">F27</f>
        <v>0.14000000000000001</v>
      </c>
      <c r="G45" s="247" t="s">
        <v>1548</v>
      </c>
    </row>
    <row r="46" spans="1:7" s="214" customFormat="1" ht="13.5" customHeight="1">
      <c r="A46" s="780" t="s">
        <v>346</v>
      </c>
      <c r="B46" s="248" t="s">
        <v>1549</v>
      </c>
      <c r="C46" s="249">
        <f ca="1">ROUND((C33+C39)*F27,0)</f>
        <v>1698</v>
      </c>
      <c r="D46" s="263"/>
      <c r="E46" s="236"/>
      <c r="F46" s="246"/>
      <c r="G46" s="247"/>
    </row>
    <row r="47" spans="1:7" s="214" customFormat="1" ht="13.5" customHeight="1">
      <c r="A47" s="780" t="s">
        <v>347</v>
      </c>
      <c r="B47" s="248" t="s">
        <v>1550</v>
      </c>
      <c r="C47" s="238">
        <f ca="1">ROUND(C40*F27,4)</f>
        <v>4.1999999999999997E-3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15624</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13280</v>
      </c>
      <c r="D51" s="232"/>
      <c r="E51" s="232"/>
      <c r="F51" s="264"/>
      <c r="G51" s="234" t="s">
        <v>1560</v>
      </c>
    </row>
    <row r="52" spans="1:7" s="208" customFormat="1" ht="16.5" thickBot="1">
      <c r="A52" s="265" t="s">
        <v>1561</v>
      </c>
      <c r="B52" s="266"/>
      <c r="C52" s="267">
        <f ca="1">C31+C51</f>
        <v>52346</v>
      </c>
      <c r="D52" s="266"/>
      <c r="E52" s="266"/>
      <c r="F52" s="266"/>
      <c r="G52" s="268"/>
    </row>
    <row r="55" spans="1:7" ht="15">
      <c r="B55" s="270" t="s">
        <v>1562</v>
      </c>
      <c r="C55" s="271"/>
    </row>
    <row r="56" spans="1:7">
      <c r="B56" s="273" t="s">
        <v>802</v>
      </c>
      <c r="C56" s="275">
        <f ca="1">1-C57</f>
        <v>0.746</v>
      </c>
    </row>
    <row r="57" spans="1:7">
      <c r="B57" s="273" t="s">
        <v>803</v>
      </c>
      <c r="C57" s="274">
        <f ca="1">ROUND(C51/C52,3)</f>
        <v>0.254</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14566.957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6179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4715262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4715262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4715262</v>
      </c>
      <c r="D10" s="845">
        <f ca="1">IF(B1="",'数据-汇总表'!E6,IF(INDIRECT("'数据-取费表'!c"&amp;$G$1)="住宅",INDIRECT("'数据-取费表'!s"&amp;$G$1),INDIRECT("'数据-取费表'!k"&amp;$G$1)+INDIRECT("'数据-取费表'!s"&amp;$G$1)))</f>
        <v>23576.310000000005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4715262</v>
      </c>
      <c r="D19" s="849">
        <f ca="1">D9+D10</f>
        <v>23576.310000000005</v>
      </c>
      <c r="E19" s="211">
        <f>'数据-取费表'!B31</f>
        <v>200</v>
      </c>
      <c r="F19" s="231"/>
      <c r="G19" s="1856"/>
    </row>
    <row r="20" spans="1:7" s="214" customFormat="1" ht="13.5" customHeight="1">
      <c r="A20" s="255" t="s">
        <v>1574</v>
      </c>
      <c r="B20" s="210" t="s">
        <v>1575</v>
      </c>
      <c r="C20" s="232">
        <f ca="1">ROUND((C5+C19)*F20,0)</f>
        <v>282916</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671691</v>
      </c>
      <c r="D22" s="235">
        <f ca="1">C26</f>
        <v>1E-3</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330965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330965</v>
      </c>
      <c r="D24" s="238"/>
      <c r="E24" s="238"/>
      <c r="F24" s="239"/>
      <c r="G24" s="240" t="s">
        <v>1586</v>
      </c>
    </row>
    <row r="25" spans="1:7" s="214" customFormat="1" ht="24">
      <c r="A25" s="780" t="s">
        <v>1476</v>
      </c>
      <c r="B25" s="215" t="s">
        <v>1587</v>
      </c>
      <c r="C25" s="1128">
        <f ca="1">ROUND(IF('数据-取费表'!B22&lt;=1,C20*F22*'数据-取费表'!B22/2,C20*(POWER((1+F22),'数据-取费表'!B22/2)-1)),0)</f>
        <v>9761</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1359882</v>
      </c>
      <c r="D27" s="235">
        <f ca="1">C29</f>
        <v>4.1999999999999997E-3</v>
      </c>
      <c r="E27" s="236" t="s">
        <v>1514</v>
      </c>
      <c r="F27" s="246">
        <f ca="1">IF(B1="",'数据-取费表'!Q16,INDIRECT("'数据-取费表'!q"&amp;$G$1))</f>
        <v>0.14000000000000001</v>
      </c>
      <c r="G27" s="247" t="s">
        <v>1515</v>
      </c>
    </row>
    <row r="28" spans="1:7" s="214" customFormat="1" ht="13.5" customHeight="1">
      <c r="A28" s="780" t="s">
        <v>346</v>
      </c>
      <c r="B28" s="248" t="s">
        <v>1516</v>
      </c>
      <c r="C28" s="249">
        <f ca="1">ROUND((C5+C19+C20)*F27,0)</f>
        <v>1359882</v>
      </c>
      <c r="D28" s="235"/>
      <c r="E28" s="236"/>
      <c r="F28" s="246"/>
      <c r="G28" s="247"/>
    </row>
    <row r="29" spans="1:7" s="214" customFormat="1" ht="13.5" customHeight="1">
      <c r="A29" s="780" t="s">
        <v>347</v>
      </c>
      <c r="B29" s="248" t="s">
        <v>1517</v>
      </c>
      <c r="C29" s="238">
        <f ca="1">ROUND(C21*F27,4)</f>
        <v>4.1999999999999997E-3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12885368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117704728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106093395</v>
      </c>
      <c r="D34" s="217"/>
      <c r="E34" s="220"/>
      <c r="F34" s="257"/>
      <c r="G34" s="219"/>
    </row>
    <row r="35" spans="1:7" ht="13.5" customHeight="1">
      <c r="A35" s="780" t="s">
        <v>351</v>
      </c>
      <c r="B35" s="215" t="s">
        <v>1527</v>
      </c>
      <c r="C35" s="220">
        <f ca="1">ROUND(C34*F35,0)</f>
        <v>5304670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4715262</v>
      </c>
      <c r="D37" s="217">
        <f ca="1">D19</f>
        <v>23576.310000000005</v>
      </c>
      <c r="E37" s="249">
        <f>'数据-取费表'!B35</f>
        <v>200</v>
      </c>
      <c r="F37" s="259"/>
      <c r="G37" s="261"/>
    </row>
    <row r="38" spans="1:7" ht="13.5" customHeight="1">
      <c r="A38" s="780" t="s">
        <v>354</v>
      </c>
      <c r="B38" s="215" t="s">
        <v>1533</v>
      </c>
      <c r="C38" s="220">
        <f ca="1">ROUND(C34*F38,0)</f>
        <v>1591401</v>
      </c>
      <c r="D38" s="220"/>
      <c r="E38" s="220"/>
      <c r="F38" s="259">
        <f>'数据-取费表'!B36</f>
        <v>1.4999999999999999E-2</v>
      </c>
      <c r="G38" s="219" t="s">
        <v>1528</v>
      </c>
    </row>
    <row r="39" spans="1:7" s="214" customFormat="1" ht="13.5" customHeight="1">
      <c r="A39" s="255" t="s">
        <v>1534</v>
      </c>
      <c r="B39" s="210" t="s">
        <v>1535</v>
      </c>
      <c r="C39" s="232">
        <f ca="1">ROUND(C33*F20,0)</f>
        <v>3531142</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4182637</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4060813</v>
      </c>
      <c r="D42" s="238"/>
      <c r="E42" s="238"/>
      <c r="F42" s="239"/>
      <c r="G42" s="3710" t="s">
        <v>1591</v>
      </c>
    </row>
    <row r="43" spans="1:7" ht="13.5" customHeight="1">
      <c r="A43" s="780" t="s">
        <v>347</v>
      </c>
      <c r="B43" s="215" t="s">
        <v>1545</v>
      </c>
      <c r="C43" s="238">
        <f ca="1">ROUND(IF('数据-取费表'!B22&lt;=1,C39*F22*'数据-取费表'!B20/2,C39*(POWER((1+F22),'数据-取费表'!B20/2)-1)),0)</f>
        <v>121824</v>
      </c>
      <c r="D43" s="238"/>
      <c r="E43" s="238"/>
      <c r="F43" s="239"/>
      <c r="G43" s="3711"/>
    </row>
    <row r="44" spans="1:7" ht="13.5" customHeight="1">
      <c r="A44" s="780" t="s">
        <v>348</v>
      </c>
      <c r="B44" s="215" t="s">
        <v>1546</v>
      </c>
      <c r="C44" s="238">
        <f ca="1">ROUND(IF('数据-取费表'!B22&lt;=1,C40*F22*'数据-取费表'!B20/2,C40*(POWER((1+F22),'数据-取费表'!B20/2)-1)),4)</f>
        <v>1E-3</v>
      </c>
      <c r="D44" s="238"/>
      <c r="E44" s="238"/>
      <c r="F44" s="239"/>
      <c r="G44" s="3712"/>
    </row>
    <row r="45" spans="1:7" s="214" customFormat="1" ht="13.5" customHeight="1">
      <c r="A45" s="255" t="s">
        <v>1547</v>
      </c>
      <c r="B45" s="244" t="s">
        <v>1513</v>
      </c>
      <c r="C45" s="245">
        <f ca="1">C46</f>
        <v>16973022</v>
      </c>
      <c r="D45" s="235">
        <f ca="1">C47</f>
        <v>4.1999999999999997E-3</v>
      </c>
      <c r="E45" s="236" t="s">
        <v>1539</v>
      </c>
      <c r="F45" s="246">
        <f ca="1">F27</f>
        <v>0.14000000000000001</v>
      </c>
      <c r="G45" s="247" t="s">
        <v>1548</v>
      </c>
    </row>
    <row r="46" spans="1:7" s="214" customFormat="1" ht="13.5" customHeight="1">
      <c r="A46" s="780" t="s">
        <v>346</v>
      </c>
      <c r="B46" s="248" t="s">
        <v>1549</v>
      </c>
      <c r="C46" s="249">
        <f ca="1">ROUND((C33+C39)*F27,0)</f>
        <v>16973022</v>
      </c>
      <c r="D46" s="263"/>
      <c r="E46" s="236"/>
      <c r="F46" s="246"/>
      <c r="G46" s="247"/>
    </row>
    <row r="47" spans="1:7" s="214" customFormat="1" ht="13.5" customHeight="1">
      <c r="A47" s="780" t="s">
        <v>347</v>
      </c>
      <c r="B47" s="248" t="s">
        <v>1550</v>
      </c>
      <c r="C47" s="238">
        <f ca="1">ROUND(C40*F27,4)</f>
        <v>4.1999999999999997E-3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156216708</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132784202</v>
      </c>
      <c r="D51" s="232"/>
      <c r="E51" s="232"/>
      <c r="F51" s="264"/>
      <c r="G51" s="234" t="s">
        <v>1560</v>
      </c>
    </row>
    <row r="52" spans="1:7" s="208" customFormat="1" ht="16.5" thickBot="1">
      <c r="A52" s="265" t="s">
        <v>1561</v>
      </c>
      <c r="B52" s="266"/>
      <c r="C52" s="267">
        <f ca="1">C31+C51</f>
        <v>145669570</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-538</v>
      </c>
      <c r="C2" s="276" t="s">
        <v>1595</v>
      </c>
      <c r="D2" s="276"/>
      <c r="E2" s="2806"/>
      <c r="F2" s="2806"/>
      <c r="G2" s="2806"/>
      <c r="H2" s="2806"/>
      <c r="I2" s="2806"/>
      <c r="J2" s="2806"/>
      <c r="K2" s="2806"/>
    </row>
    <row r="3" spans="1:33" ht="18" customHeight="1" thickBot="1">
      <c r="A3" s="203" t="s">
        <v>1464</v>
      </c>
      <c r="B3" s="204">
        <f ca="1">ROUND(B2*10000/IF(C1="",'数据-汇总表'!E3,INDIRECT("'数据-取费表'!K"&amp;$K$1)),0)</f>
        <v>-228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23576.310000000005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23576.310000000005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472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472</v>
      </c>
      <c r="D20" s="846">
        <f ca="1">IF(C1="",'数据-汇总表'!E6,IF(INDIRECT("'数据-取费表'!c"&amp;$K$1)="住宅",INDIRECT("'数据-取费表'!s"&amp;$K$1),INDIRECT("'数据-取费表'!k"&amp;$K$1)+INDIRECT("'数据-取费表'!s"&amp;$K$1)))</f>
        <v>23576.310000000005</v>
      </c>
      <c r="E20" s="21">
        <f>'数据-取费表'!B28</f>
        <v>200</v>
      </c>
      <c r="F20" s="804"/>
      <c r="G20" s="12"/>
      <c r="H20" s="809"/>
      <c r="I20" s="809"/>
      <c r="J20" s="809"/>
      <c r="K20" s="810"/>
    </row>
    <row r="21" spans="1:33" s="803" customFormat="1" ht="13.5" customHeight="1">
      <c r="A21" s="790" t="s">
        <v>357</v>
      </c>
      <c r="B21" s="813" t="s">
        <v>1628</v>
      </c>
      <c r="C21" s="814">
        <f ca="1">C16+C17+C18</f>
        <v>472</v>
      </c>
      <c r="D21" s="815"/>
      <c r="E21" s="281"/>
      <c r="F21" s="281"/>
      <c r="G21" s="131" t="s">
        <v>1629</v>
      </c>
      <c r="H21" s="807"/>
      <c r="I21" s="807"/>
      <c r="J21" s="807"/>
      <c r="K21" s="808"/>
    </row>
    <row r="22" spans="1:33" s="803" customFormat="1" ht="13.5" customHeight="1">
      <c r="A22" s="790" t="s">
        <v>1601</v>
      </c>
      <c r="B22" s="813" t="s">
        <v>1630</v>
      </c>
      <c r="C22" s="814">
        <f ca="1">ROUND(C21*F22,0)</f>
        <v>14</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68</v>
      </c>
      <c r="D28" s="280">
        <f ca="1">C29</f>
        <v>0</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68</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-538</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7" t="s">
        <v>694</v>
      </c>
      <c r="C6" s="1074">
        <f ca="1">ROUND(F6*F8*F7*(1-F9),0)</f>
        <v>0</v>
      </c>
      <c r="D6" s="155" t="s">
        <v>2106</v>
      </c>
      <c r="E6" s="302" t="s">
        <v>696</v>
      </c>
      <c r="F6" s="303">
        <f ca="1">INDIRECT("'数据-取费表'!u"&amp;$G$1)</f>
        <v>0</v>
      </c>
      <c r="G6" s="1384"/>
      <c r="H6" s="1069" t="s">
        <v>398</v>
      </c>
      <c r="I6" s="3707" t="s">
        <v>694</v>
      </c>
      <c r="J6" s="301">
        <f ca="1">ROUND(M6*M8*M7*(1-M9),0)</f>
        <v>0</v>
      </c>
      <c r="K6" s="1376" t="s">
        <v>2107</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0</v>
      </c>
      <c r="G7" s="1384"/>
      <c r="H7" s="304"/>
      <c r="I7" s="3708"/>
      <c r="J7" s="306"/>
      <c r="K7" s="307"/>
      <c r="L7" s="302" t="s">
        <v>697</v>
      </c>
      <c r="M7" s="303">
        <f ca="1">F7</f>
        <v>0</v>
      </c>
    </row>
    <row r="8" spans="1:37" ht="18" customHeight="1">
      <c r="A8" s="304"/>
      <c r="B8" s="3708"/>
      <c r="C8" s="306"/>
      <c r="D8" s="307"/>
      <c r="E8" s="302" t="s">
        <v>698</v>
      </c>
      <c r="F8" s="303">
        <f ca="1">INDIRECT("'数据-取费表'!ai"&amp;$G$1)</f>
        <v>0</v>
      </c>
      <c r="G8" s="1384"/>
      <c r="H8" s="304"/>
      <c r="I8" s="3708"/>
      <c r="J8" s="306"/>
      <c r="K8" s="307"/>
      <c r="L8" s="302" t="s">
        <v>698</v>
      </c>
      <c r="M8" s="303">
        <f ca="1">INDIRECT("'数据-取费表'!ai"&amp;$G$1)</f>
        <v>0</v>
      </c>
    </row>
    <row r="9" spans="1:37" ht="18" customHeight="1">
      <c r="A9" s="304"/>
      <c r="B9" s="3709"/>
      <c r="C9" s="306"/>
      <c r="D9" s="307"/>
      <c r="E9" s="302" t="s">
        <v>699</v>
      </c>
      <c r="F9" s="312">
        <f ca="1">INDIRECT("'数据-取费表'!w"&amp;$G$1)</f>
        <v>0</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05" t="s">
        <v>837</v>
      </c>
      <c r="L53" s="370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3364</v>
      </c>
      <c r="E2" s="3444"/>
      <c r="F2" s="2846"/>
      <c r="G2" s="2847"/>
      <c r="H2" s="2848"/>
      <c r="I2" s="2849"/>
      <c r="J2" s="3713" t="s">
        <v>2321</v>
      </c>
      <c r="K2" s="3714"/>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15" t="s">
        <v>2331</v>
      </c>
      <c r="K3" s="3716"/>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15" t="s">
        <v>2333</v>
      </c>
      <c r="K4" s="3716"/>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17" t="s">
        <v>2337</v>
      </c>
      <c r="B6" s="3718"/>
      <c r="C6" s="3719"/>
      <c r="D6" s="2870"/>
      <c r="E6" s="2871"/>
      <c r="F6" s="2872"/>
      <c r="G6" s="2873"/>
      <c r="H6" s="2848"/>
      <c r="I6" s="2849"/>
      <c r="J6" s="3720">
        <v>1</v>
      </c>
      <c r="K6" s="372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720"/>
      <c r="K7" s="372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24" t="s">
        <v>2351</v>
      </c>
      <c r="C8" s="3725"/>
      <c r="D8" s="2889" t="s">
        <v>2352</v>
      </c>
      <c r="E8" s="2890" t="s">
        <v>2353</v>
      </c>
      <c r="F8" s="2891" t="s">
        <v>2354</v>
      </c>
      <c r="G8" s="2892"/>
      <c r="H8" s="2848"/>
      <c r="I8" s="2849"/>
      <c r="J8" s="3720"/>
      <c r="K8" s="372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24" t="s">
        <v>2357</v>
      </c>
      <c r="C9" s="3725"/>
      <c r="D9" s="2889">
        <f>ROUND(D6*E9,0)</f>
        <v>0</v>
      </c>
      <c r="E9" s="2893"/>
      <c r="F9" s="2894" t="s">
        <v>2358</v>
      </c>
      <c r="G9" s="2873"/>
      <c r="H9" s="2848"/>
      <c r="I9" s="2849"/>
      <c r="J9" s="3720"/>
      <c r="K9" s="3722"/>
      <c r="L9" s="2883" t="s">
        <v>2359</v>
      </c>
      <c r="M9" s="2884"/>
      <c r="N9" s="2860"/>
      <c r="O9" s="2885"/>
      <c r="P9" s="2885"/>
      <c r="Q9" s="2886">
        <v>365</v>
      </c>
      <c r="R9" s="2887">
        <f t="shared" si="0"/>
        <v>0</v>
      </c>
      <c r="S9" s="2841"/>
      <c r="T9" s="2841"/>
      <c r="U9" s="2841"/>
      <c r="V9" s="2849"/>
    </row>
    <row r="10" spans="1:22" s="2853" customFormat="1" ht="13.15" customHeight="1">
      <c r="A10" s="2888">
        <v>2</v>
      </c>
      <c r="B10" s="3724" t="s">
        <v>2360</v>
      </c>
      <c r="C10" s="3725"/>
      <c r="D10" s="2889">
        <f>ROUND(D6*E10,0)</f>
        <v>0</v>
      </c>
      <c r="E10" s="2893"/>
      <c r="F10" s="2894" t="s">
        <v>2361</v>
      </c>
      <c r="G10" s="2873"/>
      <c r="H10" s="2848"/>
      <c r="I10" s="2849"/>
      <c r="J10" s="3720"/>
      <c r="K10" s="3722"/>
      <c r="L10" s="2883" t="s">
        <v>2362</v>
      </c>
      <c r="M10" s="2884"/>
      <c r="N10" s="2860"/>
      <c r="O10" s="2885"/>
      <c r="P10" s="2885"/>
      <c r="Q10" s="2886">
        <v>365</v>
      </c>
      <c r="R10" s="2887">
        <f t="shared" si="0"/>
        <v>0</v>
      </c>
      <c r="S10" s="2841"/>
      <c r="T10" s="2841"/>
      <c r="U10" s="2841"/>
      <c r="V10" s="2849"/>
    </row>
    <row r="11" spans="1:22" s="2853" customFormat="1" ht="13.15" customHeight="1">
      <c r="A11" s="2888">
        <v>3</v>
      </c>
      <c r="B11" s="3724" t="s">
        <v>2363</v>
      </c>
      <c r="C11" s="3725"/>
      <c r="D11" s="2889">
        <f>D12+D14+D15+D16</f>
        <v>0</v>
      </c>
      <c r="E11" s="2895" t="e">
        <f>D11/D6</f>
        <v>#DIV/0!</v>
      </c>
      <c r="F11" s="2891"/>
      <c r="G11" s="2892"/>
      <c r="H11" s="2848"/>
      <c r="I11" s="2849"/>
      <c r="J11" s="3720"/>
      <c r="K11" s="372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26" t="s">
        <v>2366</v>
      </c>
      <c r="C12" s="3727"/>
      <c r="D12" s="2897">
        <f>ROUND(D13*1.2%*(1-30%),0)</f>
        <v>0</v>
      </c>
      <c r="E12" s="2898">
        <v>1.2E-2</v>
      </c>
      <c r="F12" s="2891" t="s">
        <v>2367</v>
      </c>
      <c r="G12" s="2892"/>
      <c r="H12" s="2848"/>
      <c r="I12" s="2849"/>
      <c r="J12" s="3720"/>
      <c r="K12" s="372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720"/>
      <c r="K13" s="372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26" t="s">
        <v>2372</v>
      </c>
      <c r="C14" s="3727"/>
      <c r="D14" s="2897">
        <f>ROUND(E14*B5/10000,0)</f>
        <v>0</v>
      </c>
      <c r="E14" s="2886"/>
      <c r="F14" s="2891" t="s">
        <v>2373</v>
      </c>
      <c r="G14" s="2892"/>
      <c r="H14" s="2848"/>
      <c r="I14" s="2849"/>
      <c r="J14" s="3720"/>
      <c r="K14" s="372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26" t="s">
        <v>2376</v>
      </c>
      <c r="C15" s="3727"/>
      <c r="D15" s="2897">
        <f>ROUND(D6*E15,0)</f>
        <v>0</v>
      </c>
      <c r="E15" s="2898">
        <v>5.5E-2</v>
      </c>
      <c r="F15" s="2891" t="s">
        <v>2377</v>
      </c>
      <c r="G15" s="2873"/>
      <c r="H15" s="2848"/>
      <c r="I15" s="2849"/>
      <c r="J15" s="3720">
        <v>2</v>
      </c>
      <c r="K15" s="372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26" t="s">
        <v>2385</v>
      </c>
      <c r="C16" s="3727"/>
      <c r="D16" s="2908">
        <f>D6*E16</f>
        <v>0</v>
      </c>
      <c r="E16" s="2909"/>
      <c r="F16" s="2894" t="s">
        <v>2386</v>
      </c>
      <c r="G16" s="2873"/>
      <c r="H16" s="2848"/>
      <c r="I16" s="2849"/>
      <c r="J16" s="3720"/>
      <c r="K16" s="372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28" t="s">
        <v>2388</v>
      </c>
      <c r="C17" s="3729"/>
      <c r="D17" s="2911">
        <f>ROUND(D6*E17,0)</f>
        <v>0</v>
      </c>
      <c r="E17" s="2912"/>
      <c r="F17" s="2913" t="s">
        <v>2389</v>
      </c>
      <c r="G17" s="2873"/>
      <c r="H17" s="2848"/>
      <c r="I17" s="2849"/>
      <c r="J17" s="3720"/>
      <c r="K17" s="372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720"/>
      <c r="K18" s="372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720"/>
      <c r="K19" s="372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20">
        <v>3</v>
      </c>
      <c r="K20" s="372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720"/>
      <c r="K21" s="372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720"/>
      <c r="K22" s="372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720"/>
      <c r="K23" s="372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720"/>
      <c r="K24" s="372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30">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3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713" t="s">
        <v>2321</v>
      </c>
      <c r="K32" s="3714"/>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15" t="s">
        <v>2331</v>
      </c>
      <c r="K33" s="3716"/>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15" t="s">
        <v>2333</v>
      </c>
      <c r="K34" s="371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720">
        <v>1</v>
      </c>
      <c r="K36" s="372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720"/>
      <c r="K37" s="372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20"/>
      <c r="K38" s="372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720"/>
      <c r="K39" s="372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720"/>
      <c r="K40" s="372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30">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3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23576.310000000005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50" t="s">
        <v>1667</v>
      </c>
      <c r="D4" s="3751"/>
      <c r="E4" s="3752" t="s">
        <v>1668</v>
      </c>
      <c r="F4" s="3753"/>
      <c r="G4" s="3750" t="s">
        <v>1669</v>
      </c>
      <c r="H4" s="3751"/>
      <c r="I4" s="3750" t="s">
        <v>1670</v>
      </c>
      <c r="J4" s="3751"/>
      <c r="K4" s="1889" t="s">
        <v>1671</v>
      </c>
      <c r="L4" s="2715"/>
      <c r="M4" s="2716"/>
      <c r="N4" s="2716"/>
      <c r="O4" s="2716"/>
      <c r="P4" s="3754" t="s">
        <v>1672</v>
      </c>
      <c r="Q4" s="3755"/>
      <c r="R4" s="3737" t="s">
        <v>1668</v>
      </c>
      <c r="S4" s="3738"/>
      <c r="T4" s="3737" t="s">
        <v>1669</v>
      </c>
      <c r="U4" s="3738"/>
      <c r="V4" s="3762" t="s">
        <v>1670</v>
      </c>
      <c r="W4" s="3762"/>
      <c r="X4" s="1355"/>
      <c r="Y4" s="3737" t="s">
        <v>1672</v>
      </c>
      <c r="Z4" s="3738"/>
      <c r="AA4" s="3732" t="s">
        <v>1668</v>
      </c>
      <c r="AB4" s="3732" t="s">
        <v>1669</v>
      </c>
      <c r="AC4" s="3732" t="s">
        <v>1670</v>
      </c>
    </row>
    <row r="5" spans="1:29" ht="15">
      <c r="A5" s="358"/>
      <c r="B5" s="359"/>
      <c r="C5" s="3743" t="s">
        <v>1673</v>
      </c>
      <c r="D5" s="3744"/>
      <c r="E5" s="3741" t="s">
        <v>1674</v>
      </c>
      <c r="F5" s="3742"/>
      <c r="G5" s="3743" t="s">
        <v>1675</v>
      </c>
      <c r="H5" s="3744"/>
      <c r="I5" s="3743" t="s">
        <v>1676</v>
      </c>
      <c r="J5" s="3744"/>
      <c r="K5" s="1890"/>
      <c r="L5" s="2715"/>
      <c r="M5" s="2716"/>
      <c r="N5" s="2716"/>
      <c r="O5" s="2716"/>
      <c r="P5" s="3756"/>
      <c r="Q5" s="3757"/>
      <c r="R5" s="3739"/>
      <c r="S5" s="3740"/>
      <c r="T5" s="3739"/>
      <c r="U5" s="3740"/>
      <c r="V5" s="3762"/>
      <c r="W5" s="3762"/>
      <c r="X5" s="1355"/>
      <c r="Y5" s="3739"/>
      <c r="Z5" s="3740"/>
      <c r="AA5" s="3733"/>
      <c r="AB5" s="3733"/>
      <c r="AC5" s="3733"/>
    </row>
    <row r="6" spans="1:29" ht="15.75" thickBot="1">
      <c r="A6" s="360"/>
      <c r="B6" s="361"/>
      <c r="C6" s="3745" t="s">
        <v>1677</v>
      </c>
      <c r="D6" s="3746"/>
      <c r="E6" s="3747" t="s">
        <v>1677</v>
      </c>
      <c r="F6" s="3748"/>
      <c r="G6" s="3745" t="s">
        <v>1677</v>
      </c>
      <c r="H6" s="3746"/>
      <c r="I6" s="3745" t="s">
        <v>1677</v>
      </c>
      <c r="J6" s="3746"/>
      <c r="K6" s="1890" t="s">
        <v>1678</v>
      </c>
      <c r="L6" s="2715"/>
      <c r="M6" s="2716"/>
      <c r="N6" s="2716"/>
      <c r="O6" s="2716"/>
      <c r="P6" s="3758"/>
      <c r="Q6" s="3759"/>
      <c r="R6" s="3739"/>
      <c r="S6" s="3740"/>
      <c r="T6" s="3760"/>
      <c r="U6" s="3761"/>
      <c r="V6" s="3762"/>
      <c r="W6" s="3762"/>
      <c r="X6" s="1355"/>
      <c r="Y6" s="3760"/>
      <c r="Z6" s="3761"/>
      <c r="AA6" s="3734"/>
      <c r="AB6" s="3734"/>
      <c r="AC6" s="3734"/>
    </row>
    <row r="7" spans="1:29" s="108" customFormat="1" ht="15.75" thickBot="1">
      <c r="A7" s="362" t="s">
        <v>1679</v>
      </c>
      <c r="B7" s="363"/>
      <c r="C7" s="364">
        <f>'数据-取费表'!B2</f>
        <v>45183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5" t="s">
        <v>1680</v>
      </c>
      <c r="Q7" s="3763"/>
      <c r="R7" s="701" t="s">
        <v>20</v>
      </c>
      <c r="S7" s="702">
        <f t="shared" ref="S7:S15" si="0">F7</f>
        <v>0</v>
      </c>
      <c r="T7" s="701" t="s">
        <v>20</v>
      </c>
      <c r="U7" s="702">
        <f t="shared" ref="U7:U15" si="1">H7</f>
        <v>0</v>
      </c>
      <c r="V7" s="701" t="s">
        <v>20</v>
      </c>
      <c r="W7" s="702">
        <f t="shared" ref="W7:W15"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5" t="s">
        <v>1683</v>
      </c>
      <c r="Q8" s="3736"/>
      <c r="R8" s="701" t="s">
        <v>20</v>
      </c>
      <c r="S8" s="702">
        <f t="shared" si="0"/>
        <v>100</v>
      </c>
      <c r="T8" s="701" t="s">
        <v>20</v>
      </c>
      <c r="U8" s="702">
        <f t="shared" si="1"/>
        <v>100</v>
      </c>
      <c r="V8" s="701" t="s">
        <v>20</v>
      </c>
      <c r="W8" s="702">
        <f t="shared" si="2"/>
        <v>100</v>
      </c>
      <c r="X8" s="703"/>
      <c r="Y8" s="3735" t="s">
        <v>1683</v>
      </c>
      <c r="Z8" s="373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49" t="s">
        <v>1686</v>
      </c>
      <c r="Q9" s="1343" t="str">
        <f t="shared" ref="Q9:Q15" si="6">B9</f>
        <v>用途</v>
      </c>
      <c r="R9" s="701" t="s">
        <v>14</v>
      </c>
      <c r="S9" s="702">
        <f t="shared" si="0"/>
        <v>100</v>
      </c>
      <c r="T9" s="701" t="s">
        <v>14</v>
      </c>
      <c r="U9" s="702">
        <f t="shared" si="1"/>
        <v>100</v>
      </c>
      <c r="V9" s="701" t="s">
        <v>14</v>
      </c>
      <c r="W9" s="702">
        <f t="shared" si="2"/>
        <v>100</v>
      </c>
      <c r="X9" s="703"/>
      <c r="Y9" s="367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49"/>
      <c r="Q10" s="1343"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49"/>
      <c r="Q11" s="1343" t="str">
        <f t="shared" si="6"/>
        <v>容积率</v>
      </c>
      <c r="R11" s="701" t="s">
        <v>18</v>
      </c>
      <c r="S11" s="702" t="e">
        <f t="shared" si="0"/>
        <v>#N/A</v>
      </c>
      <c r="T11" s="701" t="s">
        <v>18</v>
      </c>
      <c r="U11" s="702" t="e">
        <f t="shared" si="1"/>
        <v>#N/A</v>
      </c>
      <c r="V11" s="701" t="s">
        <v>18</v>
      </c>
      <c r="W11" s="702" t="e">
        <f t="shared" si="2"/>
        <v>#N/A</v>
      </c>
      <c r="X11" s="703"/>
      <c r="Y11" s="367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49"/>
      <c r="Q12" s="1343">
        <f t="shared" si="6"/>
        <v>111</v>
      </c>
      <c r="R12" s="701" t="s">
        <v>18</v>
      </c>
      <c r="S12" s="702">
        <f t="shared" si="0"/>
        <v>100</v>
      </c>
      <c r="T12" s="701" t="s">
        <v>18</v>
      </c>
      <c r="U12" s="702">
        <f t="shared" si="1"/>
        <v>100</v>
      </c>
      <c r="V12" s="701" t="s">
        <v>18</v>
      </c>
      <c r="W12" s="702">
        <f t="shared" si="2"/>
        <v>100</v>
      </c>
      <c r="X12" s="703"/>
      <c r="Y12" s="367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49"/>
      <c r="Q13" s="1343">
        <f t="shared" si="6"/>
        <v>111</v>
      </c>
      <c r="R13" s="701" t="s">
        <v>18</v>
      </c>
      <c r="S13" s="702">
        <f t="shared" si="0"/>
        <v>100</v>
      </c>
      <c r="T13" s="701" t="s">
        <v>18</v>
      </c>
      <c r="U13" s="702">
        <f t="shared" si="1"/>
        <v>100</v>
      </c>
      <c r="V13" s="701" t="s">
        <v>18</v>
      </c>
      <c r="W13" s="702">
        <f t="shared" si="2"/>
        <v>100</v>
      </c>
      <c r="X13" s="703"/>
      <c r="Y13" s="367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49"/>
      <c r="Q14" s="1343">
        <f t="shared" si="6"/>
        <v>111</v>
      </c>
      <c r="R14" s="701" t="s">
        <v>18</v>
      </c>
      <c r="S14" s="702">
        <f t="shared" si="0"/>
        <v>100</v>
      </c>
      <c r="T14" s="701" t="s">
        <v>18</v>
      </c>
      <c r="U14" s="702">
        <f t="shared" si="1"/>
        <v>100</v>
      </c>
      <c r="V14" s="701" t="s">
        <v>18</v>
      </c>
      <c r="W14" s="702">
        <f t="shared" si="2"/>
        <v>100</v>
      </c>
      <c r="X14" s="703"/>
      <c r="Y14" s="367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76" t="s">
        <v>1691</v>
      </c>
      <c r="Q15" s="1352" t="str">
        <f t="shared" si="6"/>
        <v>居住社区成熟度</v>
      </c>
      <c r="R15" s="705" t="s">
        <v>18</v>
      </c>
      <c r="S15" s="706">
        <f t="shared" si="0"/>
        <v>100</v>
      </c>
      <c r="T15" s="705" t="s">
        <v>18</v>
      </c>
      <c r="U15" s="706">
        <f t="shared" si="1"/>
        <v>100</v>
      </c>
      <c r="V15" s="705" t="s">
        <v>18</v>
      </c>
      <c r="W15" s="706">
        <f t="shared" si="2"/>
        <v>100</v>
      </c>
      <c r="X15" s="1355"/>
      <c r="Y15" s="376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77"/>
      <c r="Q16" s="1352"/>
      <c r="R16" s="705"/>
      <c r="S16" s="706"/>
      <c r="T16" s="705"/>
      <c r="U16" s="706"/>
      <c r="V16" s="705"/>
      <c r="W16" s="706"/>
      <c r="X16" s="1355"/>
      <c r="Y16" s="377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77"/>
      <c r="Q17" s="1352" t="str">
        <f>B17</f>
        <v>交通便捷度</v>
      </c>
      <c r="R17" s="705" t="s">
        <v>18</v>
      </c>
      <c r="S17" s="706">
        <f>F17</f>
        <v>100</v>
      </c>
      <c r="T17" s="705" t="s">
        <v>18</v>
      </c>
      <c r="U17" s="706">
        <f>H17</f>
        <v>100</v>
      </c>
      <c r="V17" s="705" t="s">
        <v>18</v>
      </c>
      <c r="W17" s="706">
        <f>J17</f>
        <v>100</v>
      </c>
      <c r="X17" s="1355"/>
      <c r="Y17" s="377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77"/>
      <c r="Q18" s="1352"/>
      <c r="R18" s="705"/>
      <c r="S18" s="706"/>
      <c r="T18" s="705"/>
      <c r="U18" s="706"/>
      <c r="V18" s="705"/>
      <c r="W18" s="706"/>
      <c r="X18" s="1355"/>
      <c r="Y18" s="377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77"/>
      <c r="Q19" s="1352" t="str">
        <f>B19</f>
        <v>公共配套设施</v>
      </c>
      <c r="R19" s="705" t="s">
        <v>18</v>
      </c>
      <c r="S19" s="706">
        <f>F19</f>
        <v>100</v>
      </c>
      <c r="T19" s="705" t="s">
        <v>18</v>
      </c>
      <c r="U19" s="706">
        <f>H19</f>
        <v>100</v>
      </c>
      <c r="V19" s="705" t="s">
        <v>18</v>
      </c>
      <c r="W19" s="706">
        <f>J19</f>
        <v>100</v>
      </c>
      <c r="X19" s="1355"/>
      <c r="Y19" s="377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77"/>
      <c r="Q20" s="1352"/>
      <c r="R20" s="705"/>
      <c r="S20" s="706"/>
      <c r="T20" s="705"/>
      <c r="U20" s="706"/>
      <c r="V20" s="705"/>
      <c r="W20" s="706"/>
      <c r="X20" s="1355"/>
      <c r="Y20" s="377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77"/>
      <c r="Q21" s="1352" t="str">
        <f>B21</f>
        <v>基础设施水平</v>
      </c>
      <c r="R21" s="705" t="s">
        <v>14</v>
      </c>
      <c r="S21" s="706">
        <f>F21</f>
        <v>100</v>
      </c>
      <c r="T21" s="705" t="s">
        <v>14</v>
      </c>
      <c r="U21" s="706">
        <f>H21</f>
        <v>100</v>
      </c>
      <c r="V21" s="705" t="s">
        <v>14</v>
      </c>
      <c r="W21" s="706">
        <f>J21</f>
        <v>100</v>
      </c>
      <c r="X21" s="1355"/>
      <c r="Y21" s="37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77"/>
      <c r="Q22" s="1352"/>
      <c r="R22" s="705"/>
      <c r="S22" s="706"/>
      <c r="T22" s="705"/>
      <c r="U22" s="706"/>
      <c r="V22" s="705"/>
      <c r="W22" s="706"/>
      <c r="X22" s="1355"/>
      <c r="Y22" s="377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77"/>
      <c r="Q23" s="1352" t="str">
        <f>B23</f>
        <v>自然及人文环境</v>
      </c>
      <c r="R23" s="705" t="s">
        <v>18</v>
      </c>
      <c r="S23" s="706">
        <f>F23</f>
        <v>100</v>
      </c>
      <c r="T23" s="705" t="s">
        <v>18</v>
      </c>
      <c r="U23" s="706">
        <f>H23</f>
        <v>100</v>
      </c>
      <c r="V23" s="705" t="s">
        <v>18</v>
      </c>
      <c r="W23" s="706">
        <f>J23</f>
        <v>100</v>
      </c>
      <c r="X23" s="1355"/>
      <c r="Y23" s="377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77"/>
      <c r="Q24" s="1352"/>
      <c r="R24" s="705"/>
      <c r="S24" s="706"/>
      <c r="T24" s="705"/>
      <c r="U24" s="706"/>
      <c r="V24" s="705"/>
      <c r="W24" s="706"/>
      <c r="X24" s="1355"/>
      <c r="Y24" s="377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7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7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77"/>
      <c r="Q26" s="1352" t="str">
        <f t="shared" si="11"/>
        <v>朝向</v>
      </c>
      <c r="R26" s="705" t="s">
        <v>18</v>
      </c>
      <c r="S26" s="706">
        <f t="shared" si="12"/>
        <v>100</v>
      </c>
      <c r="T26" s="705" t="s">
        <v>18</v>
      </c>
      <c r="U26" s="706">
        <f t="shared" si="13"/>
        <v>100</v>
      </c>
      <c r="V26" s="705" t="s">
        <v>18</v>
      </c>
      <c r="W26" s="706">
        <f t="shared" si="14"/>
        <v>100</v>
      </c>
      <c r="X26" s="1355"/>
      <c r="Y26" s="377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77"/>
      <c r="Q27" s="1343">
        <f t="shared" si="11"/>
        <v>111</v>
      </c>
      <c r="R27" s="701" t="s">
        <v>18</v>
      </c>
      <c r="S27" s="702">
        <f t="shared" si="12"/>
        <v>100</v>
      </c>
      <c r="T27" s="701" t="s">
        <v>18</v>
      </c>
      <c r="U27" s="702">
        <f t="shared" si="13"/>
        <v>100</v>
      </c>
      <c r="V27" s="701" t="s">
        <v>18</v>
      </c>
      <c r="W27" s="702">
        <f t="shared" si="14"/>
        <v>100</v>
      </c>
      <c r="X27" s="703"/>
      <c r="Y27" s="377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77"/>
      <c r="Q28" s="1352">
        <f t="shared" si="11"/>
        <v>111</v>
      </c>
      <c r="R28" s="705" t="s">
        <v>18</v>
      </c>
      <c r="S28" s="706">
        <f t="shared" si="12"/>
        <v>100</v>
      </c>
      <c r="T28" s="705" t="s">
        <v>18</v>
      </c>
      <c r="U28" s="706">
        <f t="shared" si="13"/>
        <v>100</v>
      </c>
      <c r="V28" s="705" t="s">
        <v>18</v>
      </c>
      <c r="W28" s="706">
        <f t="shared" si="14"/>
        <v>100</v>
      </c>
      <c r="X28" s="1355"/>
      <c r="Y28" s="377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77"/>
      <c r="Q29" s="1352">
        <f t="shared" si="11"/>
        <v>111</v>
      </c>
      <c r="R29" s="705" t="s">
        <v>18</v>
      </c>
      <c r="S29" s="706">
        <f t="shared" si="12"/>
        <v>100</v>
      </c>
      <c r="T29" s="705" t="s">
        <v>18</v>
      </c>
      <c r="U29" s="706">
        <f t="shared" si="13"/>
        <v>100</v>
      </c>
      <c r="V29" s="705" t="s">
        <v>18</v>
      </c>
      <c r="W29" s="706">
        <f t="shared" si="14"/>
        <v>100</v>
      </c>
      <c r="X29" s="1355"/>
      <c r="Y29" s="377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77"/>
      <c r="Q30" s="1352">
        <f t="shared" si="11"/>
        <v>111</v>
      </c>
      <c r="R30" s="705" t="s">
        <v>18</v>
      </c>
      <c r="S30" s="706">
        <f t="shared" si="12"/>
        <v>100</v>
      </c>
      <c r="T30" s="705" t="s">
        <v>18</v>
      </c>
      <c r="U30" s="706">
        <f t="shared" si="13"/>
        <v>100</v>
      </c>
      <c r="V30" s="705" t="s">
        <v>18</v>
      </c>
      <c r="W30" s="706">
        <f t="shared" si="14"/>
        <v>100</v>
      </c>
      <c r="X30" s="1355"/>
      <c r="Y30" s="377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77"/>
      <c r="Q31" s="1352">
        <f t="shared" si="11"/>
        <v>111</v>
      </c>
      <c r="R31" s="705" t="s">
        <v>18</v>
      </c>
      <c r="S31" s="706">
        <f t="shared" si="12"/>
        <v>100</v>
      </c>
      <c r="T31" s="705" t="s">
        <v>18</v>
      </c>
      <c r="U31" s="706">
        <f t="shared" si="13"/>
        <v>100</v>
      </c>
      <c r="V31" s="705" t="s">
        <v>18</v>
      </c>
      <c r="W31" s="706">
        <f t="shared" si="14"/>
        <v>100</v>
      </c>
      <c r="X31" s="1355"/>
      <c r="Y31" s="377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71" t="s">
        <v>1696</v>
      </c>
      <c r="Q32" s="1352" t="str">
        <f t="shared" si="11"/>
        <v>建筑类型</v>
      </c>
      <c r="R32" s="705" t="s">
        <v>18</v>
      </c>
      <c r="S32" s="706">
        <f t="shared" si="12"/>
        <v>100</v>
      </c>
      <c r="T32" s="705" t="s">
        <v>18</v>
      </c>
      <c r="U32" s="706">
        <f t="shared" si="13"/>
        <v>100</v>
      </c>
      <c r="V32" s="705" t="s">
        <v>18</v>
      </c>
      <c r="W32" s="706">
        <f t="shared" si="14"/>
        <v>100</v>
      </c>
      <c r="X32" s="1355"/>
      <c r="Y32" s="377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72"/>
      <c r="Q33" s="707" t="str">
        <f t="shared" si="11"/>
        <v>项目建筑规模</v>
      </c>
      <c r="R33" s="708" t="s">
        <v>18</v>
      </c>
      <c r="S33" s="709" t="e">
        <f t="shared" si="12"/>
        <v>#N/A</v>
      </c>
      <c r="T33" s="708" t="s">
        <v>18</v>
      </c>
      <c r="U33" s="709" t="e">
        <f t="shared" si="13"/>
        <v>#N/A</v>
      </c>
      <c r="V33" s="708" t="s">
        <v>18</v>
      </c>
      <c r="W33" s="709" t="e">
        <f t="shared" si="14"/>
        <v>#N/A</v>
      </c>
      <c r="X33" s="710"/>
      <c r="Y33" s="377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72"/>
      <c r="Q34" s="1352" t="str">
        <f t="shared" si="11"/>
        <v>建筑结构</v>
      </c>
      <c r="R34" s="705" t="s">
        <v>18</v>
      </c>
      <c r="S34" s="706">
        <f t="shared" si="12"/>
        <v>100</v>
      </c>
      <c r="T34" s="705" t="s">
        <v>18</v>
      </c>
      <c r="U34" s="706">
        <f t="shared" si="13"/>
        <v>100</v>
      </c>
      <c r="V34" s="705" t="s">
        <v>18</v>
      </c>
      <c r="W34" s="706">
        <f t="shared" si="14"/>
        <v>100</v>
      </c>
      <c r="X34" s="1355"/>
      <c r="Y34" s="377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72"/>
      <c r="Q35" s="1352" t="str">
        <f t="shared" si="11"/>
        <v>建筑品质</v>
      </c>
      <c r="R35" s="705" t="s">
        <v>18</v>
      </c>
      <c r="S35" s="706">
        <f t="shared" si="12"/>
        <v>100</v>
      </c>
      <c r="T35" s="705" t="s">
        <v>18</v>
      </c>
      <c r="U35" s="706">
        <f t="shared" si="13"/>
        <v>100</v>
      </c>
      <c r="V35" s="705" t="s">
        <v>18</v>
      </c>
      <c r="W35" s="706">
        <f t="shared" si="14"/>
        <v>100</v>
      </c>
      <c r="X35" s="1355"/>
      <c r="Y35" s="377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72"/>
      <c r="Q36" s="1352" t="str">
        <f t="shared" si="11"/>
        <v>公共部分装修</v>
      </c>
      <c r="R36" s="705" t="s">
        <v>18</v>
      </c>
      <c r="S36" s="706">
        <f t="shared" si="12"/>
        <v>100</v>
      </c>
      <c r="T36" s="705" t="s">
        <v>18</v>
      </c>
      <c r="U36" s="706">
        <f t="shared" si="13"/>
        <v>100</v>
      </c>
      <c r="V36" s="705" t="s">
        <v>18</v>
      </c>
      <c r="W36" s="706">
        <f t="shared" si="14"/>
        <v>100</v>
      </c>
      <c r="X36" s="1355"/>
      <c r="Y36" s="377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72"/>
      <c r="Q37" s="1343" t="str">
        <f t="shared" si="11"/>
        <v>成新度</v>
      </c>
      <c r="R37" s="701" t="s">
        <v>18</v>
      </c>
      <c r="S37" s="702" t="e">
        <f t="shared" si="12"/>
        <v>#N/A</v>
      </c>
      <c r="T37" s="701" t="s">
        <v>18</v>
      </c>
      <c r="U37" s="702" t="e">
        <f t="shared" si="13"/>
        <v>#N/A</v>
      </c>
      <c r="V37" s="701" t="s">
        <v>18</v>
      </c>
      <c r="W37" s="702" t="e">
        <f t="shared" si="14"/>
        <v>#N/A</v>
      </c>
      <c r="X37" s="703"/>
      <c r="Y37" s="377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72" t="s">
        <v>1696</v>
      </c>
      <c r="Q38" s="1352" t="str">
        <f t="shared" si="11"/>
        <v>物业管理</v>
      </c>
      <c r="R38" s="705" t="s">
        <v>18</v>
      </c>
      <c r="S38" s="706">
        <f t="shared" si="12"/>
        <v>100</v>
      </c>
      <c r="T38" s="705" t="s">
        <v>18</v>
      </c>
      <c r="U38" s="706">
        <f t="shared" si="13"/>
        <v>100</v>
      </c>
      <c r="V38" s="705" t="s">
        <v>18</v>
      </c>
      <c r="W38" s="706">
        <f t="shared" si="14"/>
        <v>100</v>
      </c>
      <c r="X38" s="1355"/>
      <c r="Y38" s="377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72"/>
      <c r="Q39" s="1352" t="str">
        <f t="shared" si="11"/>
        <v>市政基础设施</v>
      </c>
      <c r="R39" s="705" t="s">
        <v>18</v>
      </c>
      <c r="S39" s="706">
        <f t="shared" si="12"/>
        <v>100</v>
      </c>
      <c r="T39" s="705" t="s">
        <v>18</v>
      </c>
      <c r="U39" s="706">
        <f t="shared" si="13"/>
        <v>100</v>
      </c>
      <c r="V39" s="705" t="s">
        <v>18</v>
      </c>
      <c r="W39" s="706">
        <f t="shared" si="14"/>
        <v>100</v>
      </c>
      <c r="X39" s="1355"/>
      <c r="Y39" s="377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72"/>
      <c r="Q40" s="1352" t="str">
        <f t="shared" si="11"/>
        <v>房型</v>
      </c>
      <c r="R40" s="705" t="s">
        <v>18</v>
      </c>
      <c r="S40" s="706">
        <f t="shared" si="12"/>
        <v>100</v>
      </c>
      <c r="T40" s="705" t="s">
        <v>18</v>
      </c>
      <c r="U40" s="706">
        <f t="shared" si="13"/>
        <v>100</v>
      </c>
      <c r="V40" s="705" t="s">
        <v>18</v>
      </c>
      <c r="W40" s="706">
        <f t="shared" si="14"/>
        <v>100</v>
      </c>
      <c r="X40" s="1355"/>
      <c r="Y40" s="377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72"/>
      <c r="Q41" s="707" t="str">
        <f t="shared" si="11"/>
        <v>单套/主力户型建筑面积</v>
      </c>
      <c r="R41" s="708" t="s">
        <v>18</v>
      </c>
      <c r="S41" s="709">
        <f t="shared" si="12"/>
        <v>100</v>
      </c>
      <c r="T41" s="708" t="s">
        <v>18</v>
      </c>
      <c r="U41" s="709">
        <f t="shared" si="13"/>
        <v>100</v>
      </c>
      <c r="V41" s="708" t="s">
        <v>18</v>
      </c>
      <c r="W41" s="709">
        <f t="shared" si="14"/>
        <v>100</v>
      </c>
      <c r="X41" s="710"/>
      <c r="Y41" s="377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72"/>
      <c r="Q42" s="1352" t="str">
        <f t="shared" si="11"/>
        <v>内部装修</v>
      </c>
      <c r="R42" s="705" t="s">
        <v>18</v>
      </c>
      <c r="S42" s="706">
        <f t="shared" si="12"/>
        <v>100</v>
      </c>
      <c r="T42" s="705" t="s">
        <v>18</v>
      </c>
      <c r="U42" s="706">
        <f t="shared" si="13"/>
        <v>100</v>
      </c>
      <c r="V42" s="705" t="s">
        <v>18</v>
      </c>
      <c r="W42" s="706">
        <f t="shared" si="14"/>
        <v>100</v>
      </c>
      <c r="X42" s="1355"/>
      <c r="Y42" s="377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72"/>
      <c r="Q43" s="1352" t="str">
        <f t="shared" si="11"/>
        <v>内部装修维护情况</v>
      </c>
      <c r="R43" s="705" t="s">
        <v>18</v>
      </c>
      <c r="S43" s="706">
        <f t="shared" si="12"/>
        <v>100</v>
      </c>
      <c r="T43" s="705" t="s">
        <v>18</v>
      </c>
      <c r="U43" s="706">
        <f t="shared" si="13"/>
        <v>100</v>
      </c>
      <c r="V43" s="705" t="s">
        <v>18</v>
      </c>
      <c r="W43" s="706">
        <f t="shared" si="14"/>
        <v>100</v>
      </c>
      <c r="X43" s="1355"/>
      <c r="Y43" s="377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72"/>
      <c r="Q44" s="1343">
        <f t="shared" si="11"/>
        <v>111</v>
      </c>
      <c r="R44" s="701" t="s">
        <v>18</v>
      </c>
      <c r="S44" s="702">
        <f t="shared" si="12"/>
        <v>100</v>
      </c>
      <c r="T44" s="701" t="s">
        <v>18</v>
      </c>
      <c r="U44" s="702">
        <f t="shared" si="13"/>
        <v>100</v>
      </c>
      <c r="V44" s="701" t="s">
        <v>18</v>
      </c>
      <c r="W44" s="702">
        <f t="shared" si="14"/>
        <v>100</v>
      </c>
      <c r="X44" s="703"/>
      <c r="Y44" s="377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72"/>
      <c r="Q45" s="1352">
        <f t="shared" si="11"/>
        <v>111</v>
      </c>
      <c r="R45" s="705" t="s">
        <v>18</v>
      </c>
      <c r="S45" s="706">
        <f t="shared" si="12"/>
        <v>100</v>
      </c>
      <c r="T45" s="705" t="s">
        <v>18</v>
      </c>
      <c r="U45" s="706">
        <f t="shared" si="13"/>
        <v>100</v>
      </c>
      <c r="V45" s="705" t="s">
        <v>18</v>
      </c>
      <c r="W45" s="706">
        <f t="shared" si="14"/>
        <v>100</v>
      </c>
      <c r="X45" s="1355"/>
      <c r="Y45" s="377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73"/>
      <c r="Q46" s="1352">
        <f t="shared" si="11"/>
        <v>111</v>
      </c>
      <c r="R46" s="705" t="s">
        <v>17</v>
      </c>
      <c r="S46" s="706">
        <f t="shared" si="12"/>
        <v>100</v>
      </c>
      <c r="T46" s="705" t="s">
        <v>17</v>
      </c>
      <c r="U46" s="706">
        <f t="shared" si="13"/>
        <v>100</v>
      </c>
      <c r="V46" s="705" t="s">
        <v>17</v>
      </c>
      <c r="W46" s="706">
        <f t="shared" si="14"/>
        <v>100</v>
      </c>
      <c r="X46" s="1355"/>
      <c r="Y46" s="377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67" t="str">
        <f>A47</f>
        <v>成交单价（元/平方米）</v>
      </c>
      <c r="Q47" s="3767"/>
      <c r="R47" s="3768">
        <f>E47</f>
        <v>0</v>
      </c>
      <c r="S47" s="3768"/>
      <c r="T47" s="3768">
        <f>G47</f>
        <v>0</v>
      </c>
      <c r="U47" s="3768"/>
      <c r="V47" s="3768">
        <f>I47</f>
        <v>0</v>
      </c>
      <c r="W47" s="376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67" t="str">
        <f>A48</f>
        <v>比较价值（元/平方米）</v>
      </c>
      <c r="Q48" s="3767"/>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64" t="str">
        <f>A49</f>
        <v>估价对象XX用房的比较价值（楼面单价，元/平方米）</v>
      </c>
      <c r="Q49" s="3765"/>
      <c r="R49" s="3766" t="e">
        <f>IF(F1="售价",ROUND(IF(D48="简单平均",AVERAGE(R48:V48),R48*F48+T48*H48+V48*J48),0),ROUND(IF(D48="简单平均",AVERAGE(R48:V48),R48*F48+T48*H48+V48*J48),1))</f>
        <v>#DIV/0!</v>
      </c>
      <c r="S49" s="3766"/>
      <c r="T49" s="3766"/>
      <c r="U49" s="3766"/>
      <c r="V49" s="3766"/>
      <c r="W49" s="376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估价对象为北京市房地产，为所有。根据《国有土地使用证》[]，估价对象（分摊）出让国有建设用地使用权面积为2435.9平方米，建筑面积为23576.31平方米。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估价对象为北京市房地产,属开发建设的，该项目尚在开发建设中。根据《国有土地使用证》[]，估价对象（分摊）出让国有建设用地使用权面积为2435.9平方米，规划建筑面积为23576.31平方米。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2023年9月14日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23576.310000000005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50" t="s">
        <v>1770</v>
      </c>
      <c r="D4" s="3751"/>
      <c r="E4" s="3752" t="s">
        <v>1771</v>
      </c>
      <c r="F4" s="3753"/>
      <c r="G4" s="3750" t="s">
        <v>1772</v>
      </c>
      <c r="H4" s="3751"/>
      <c r="I4" s="3750" t="s">
        <v>1773</v>
      </c>
      <c r="J4" s="3751"/>
      <c r="K4" s="559" t="s">
        <v>1774</v>
      </c>
      <c r="L4" s="2715"/>
      <c r="M4" s="2716"/>
      <c r="N4" s="2716"/>
      <c r="O4" s="2716"/>
      <c r="P4" s="3754" t="s">
        <v>1775</v>
      </c>
      <c r="Q4" s="3755"/>
      <c r="R4" s="3737" t="s">
        <v>1771</v>
      </c>
      <c r="S4" s="3738"/>
      <c r="T4" s="3737" t="s">
        <v>1772</v>
      </c>
      <c r="U4" s="3738"/>
      <c r="V4" s="3762" t="s">
        <v>1773</v>
      </c>
      <c r="W4" s="3762"/>
      <c r="X4" s="1355"/>
      <c r="Y4" s="3737" t="s">
        <v>1775</v>
      </c>
      <c r="Z4" s="3738"/>
      <c r="AA4" s="3732" t="s">
        <v>1771</v>
      </c>
      <c r="AB4" s="3762" t="s">
        <v>1772</v>
      </c>
      <c r="AC4" s="3732" t="s">
        <v>1773</v>
      </c>
    </row>
    <row r="5" spans="1:29" ht="15">
      <c r="A5" s="358"/>
      <c r="B5" s="359"/>
      <c r="C5" s="3743" t="s">
        <v>1673</v>
      </c>
      <c r="D5" s="3744"/>
      <c r="E5" s="3741" t="s">
        <v>1674</v>
      </c>
      <c r="F5" s="3742"/>
      <c r="G5" s="3743" t="s">
        <v>1675</v>
      </c>
      <c r="H5" s="3744"/>
      <c r="I5" s="3743" t="s">
        <v>1676</v>
      </c>
      <c r="J5" s="3744"/>
      <c r="K5" s="559"/>
      <c r="L5" s="2715"/>
      <c r="M5" s="2716"/>
      <c r="N5" s="2716"/>
      <c r="O5" s="2716"/>
      <c r="P5" s="3756"/>
      <c r="Q5" s="3757"/>
      <c r="R5" s="3739"/>
      <c r="S5" s="3740"/>
      <c r="T5" s="3739"/>
      <c r="U5" s="3740"/>
      <c r="V5" s="3762"/>
      <c r="W5" s="3762"/>
      <c r="X5" s="1355"/>
      <c r="Y5" s="3739"/>
      <c r="Z5" s="3740"/>
      <c r="AA5" s="3733"/>
      <c r="AB5" s="3762"/>
      <c r="AC5" s="3733"/>
    </row>
    <row r="6" spans="1:29" ht="15.75" thickBot="1">
      <c r="A6" s="360"/>
      <c r="B6" s="361"/>
      <c r="C6" s="3745" t="s">
        <v>1677</v>
      </c>
      <c r="D6" s="3746"/>
      <c r="E6" s="3747" t="s">
        <v>1677</v>
      </c>
      <c r="F6" s="3748"/>
      <c r="G6" s="3745" t="s">
        <v>1677</v>
      </c>
      <c r="H6" s="3746"/>
      <c r="I6" s="3745" t="s">
        <v>1677</v>
      </c>
      <c r="J6" s="3746"/>
      <c r="K6" s="559" t="s">
        <v>1678</v>
      </c>
      <c r="L6" s="2715"/>
      <c r="M6" s="2716"/>
      <c r="N6" s="2716"/>
      <c r="O6" s="2716"/>
      <c r="P6" s="3758"/>
      <c r="Q6" s="3759"/>
      <c r="R6" s="3739"/>
      <c r="S6" s="3740"/>
      <c r="T6" s="3760"/>
      <c r="U6" s="3761"/>
      <c r="V6" s="3762"/>
      <c r="W6" s="3762"/>
      <c r="X6" s="1355"/>
      <c r="Y6" s="3760"/>
      <c r="Z6" s="3761"/>
      <c r="AA6" s="3734"/>
      <c r="AB6" s="3762"/>
      <c r="AC6" s="3734"/>
    </row>
    <row r="7" spans="1:29" s="108" customFormat="1" ht="15.75" thickBot="1">
      <c r="A7" s="362" t="s">
        <v>1679</v>
      </c>
      <c r="B7" s="363"/>
      <c r="C7" s="364">
        <f>'数据-取费表'!B2</f>
        <v>45183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5" t="s">
        <v>1680</v>
      </c>
      <c r="Q7" s="3763"/>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5" t="s">
        <v>1683</v>
      </c>
      <c r="Q8" s="3736"/>
      <c r="R8" s="701" t="s">
        <v>14</v>
      </c>
      <c r="S8" s="702">
        <f t="shared" si="0"/>
        <v>100</v>
      </c>
      <c r="T8" s="701" t="s">
        <v>14</v>
      </c>
      <c r="U8" s="702">
        <f t="shared" si="1"/>
        <v>100</v>
      </c>
      <c r="V8" s="701" t="s">
        <v>14</v>
      </c>
      <c r="W8" s="702">
        <f t="shared" si="2"/>
        <v>100</v>
      </c>
      <c r="X8" s="703"/>
      <c r="Y8" s="3735" t="s">
        <v>1683</v>
      </c>
      <c r="Z8" s="373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49" t="s">
        <v>1686</v>
      </c>
      <c r="Q9" s="1343" t="str">
        <f t="shared" ref="Q9:Q15" si="6">B9</f>
        <v>用途</v>
      </c>
      <c r="R9" s="701" t="s">
        <v>14</v>
      </c>
      <c r="S9" s="702">
        <f t="shared" si="0"/>
        <v>100</v>
      </c>
      <c r="T9" s="701" t="s">
        <v>14</v>
      </c>
      <c r="U9" s="702">
        <f t="shared" si="1"/>
        <v>100</v>
      </c>
      <c r="V9" s="701" t="s">
        <v>14</v>
      </c>
      <c r="W9" s="702">
        <f t="shared" si="2"/>
        <v>100</v>
      </c>
      <c r="X9" s="703"/>
      <c r="Y9" s="367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49"/>
      <c r="Q10" s="1343"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49"/>
      <c r="Q11" s="1343" t="str">
        <f t="shared" si="6"/>
        <v>容积率</v>
      </c>
      <c r="R11" s="701" t="s">
        <v>14</v>
      </c>
      <c r="S11" s="702" t="e">
        <f t="shared" si="0"/>
        <v>#N/A</v>
      </c>
      <c r="T11" s="701" t="s">
        <v>14</v>
      </c>
      <c r="U11" s="702" t="e">
        <f t="shared" si="1"/>
        <v>#N/A</v>
      </c>
      <c r="V11" s="701" t="s">
        <v>14</v>
      </c>
      <c r="W11" s="702" t="e">
        <f t="shared" si="2"/>
        <v>#N/A</v>
      </c>
      <c r="X11" s="703"/>
      <c r="Y11" s="367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49"/>
      <c r="Q12" s="1343">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49"/>
      <c r="Q13" s="1343">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49"/>
      <c r="Q14" s="1343">
        <f t="shared" si="6"/>
        <v>111</v>
      </c>
      <c r="R14" s="701" t="s">
        <v>14</v>
      </c>
      <c r="S14" s="702">
        <f t="shared" si="0"/>
        <v>100</v>
      </c>
      <c r="T14" s="701" t="s">
        <v>14</v>
      </c>
      <c r="U14" s="702">
        <f t="shared" si="1"/>
        <v>100</v>
      </c>
      <c r="V14" s="701" t="s">
        <v>14</v>
      </c>
      <c r="W14" s="702">
        <f t="shared" si="2"/>
        <v>100</v>
      </c>
      <c r="X14" s="703"/>
      <c r="Y14" s="367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76" t="s">
        <v>1691</v>
      </c>
      <c r="Q15" s="1352" t="str">
        <f t="shared" si="6"/>
        <v>商业繁华度</v>
      </c>
      <c r="R15" s="705" t="s">
        <v>14</v>
      </c>
      <c r="S15" s="706">
        <f t="shared" si="0"/>
        <v>100</v>
      </c>
      <c r="T15" s="705" t="s">
        <v>14</v>
      </c>
      <c r="U15" s="706">
        <f t="shared" si="1"/>
        <v>100</v>
      </c>
      <c r="V15" s="705" t="s">
        <v>14</v>
      </c>
      <c r="W15" s="706">
        <f t="shared" si="2"/>
        <v>100</v>
      </c>
      <c r="X15" s="1355"/>
      <c r="Y15" s="376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77"/>
      <c r="Q16" s="1352"/>
      <c r="R16" s="705"/>
      <c r="S16" s="706"/>
      <c r="T16" s="705"/>
      <c r="U16" s="706"/>
      <c r="V16" s="705"/>
      <c r="W16" s="706"/>
      <c r="X16" s="1355"/>
      <c r="Y16" s="377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77"/>
      <c r="Q17" s="1352" t="str">
        <f>B17</f>
        <v>交通便捷度</v>
      </c>
      <c r="R17" s="705" t="s">
        <v>14</v>
      </c>
      <c r="S17" s="706">
        <f>F17</f>
        <v>100</v>
      </c>
      <c r="T17" s="705" t="s">
        <v>14</v>
      </c>
      <c r="U17" s="706">
        <f>H17</f>
        <v>100</v>
      </c>
      <c r="V17" s="705" t="s">
        <v>14</v>
      </c>
      <c r="W17" s="706">
        <f>J17</f>
        <v>100</v>
      </c>
      <c r="X17" s="1355"/>
      <c r="Y17" s="377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77"/>
      <c r="Q18" s="1352"/>
      <c r="R18" s="705"/>
      <c r="S18" s="706"/>
      <c r="T18" s="705"/>
      <c r="U18" s="706"/>
      <c r="V18" s="705"/>
      <c r="W18" s="706"/>
      <c r="X18" s="1355"/>
      <c r="Y18" s="377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77"/>
      <c r="Q19" s="1352" t="str">
        <f>B19</f>
        <v>公共配套设施</v>
      </c>
      <c r="R19" s="705" t="s">
        <v>14</v>
      </c>
      <c r="S19" s="706">
        <f>F19</f>
        <v>100</v>
      </c>
      <c r="T19" s="705" t="s">
        <v>14</v>
      </c>
      <c r="U19" s="706">
        <f>H19</f>
        <v>100</v>
      </c>
      <c r="V19" s="705" t="s">
        <v>14</v>
      </c>
      <c r="W19" s="706">
        <f>J19</f>
        <v>100</v>
      </c>
      <c r="X19" s="1355"/>
      <c r="Y19" s="377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77"/>
      <c r="Q20" s="1352"/>
      <c r="R20" s="705"/>
      <c r="S20" s="706"/>
      <c r="T20" s="705"/>
      <c r="U20" s="706"/>
      <c r="V20" s="705"/>
      <c r="W20" s="706"/>
      <c r="X20" s="1355"/>
      <c r="Y20" s="377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77"/>
      <c r="Q21" s="1352" t="str">
        <f>B21</f>
        <v>基础设施水平</v>
      </c>
      <c r="R21" s="705" t="s">
        <v>14</v>
      </c>
      <c r="S21" s="706">
        <f>F21</f>
        <v>100</v>
      </c>
      <c r="T21" s="705" t="s">
        <v>14</v>
      </c>
      <c r="U21" s="706">
        <f>H21</f>
        <v>100</v>
      </c>
      <c r="V21" s="705" t="s">
        <v>14</v>
      </c>
      <c r="W21" s="706">
        <f>J21</f>
        <v>100</v>
      </c>
      <c r="X21" s="1355"/>
      <c r="Y21" s="37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77"/>
      <c r="Q22" s="1352"/>
      <c r="R22" s="705"/>
      <c r="S22" s="706"/>
      <c r="T22" s="705"/>
      <c r="U22" s="706"/>
      <c r="V22" s="705"/>
      <c r="W22" s="706"/>
      <c r="X22" s="1355"/>
      <c r="Y22" s="377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77"/>
      <c r="Q23" s="1352" t="str">
        <f>B23</f>
        <v>自然及人文环境</v>
      </c>
      <c r="R23" s="705" t="s">
        <v>14</v>
      </c>
      <c r="S23" s="706">
        <f>F23</f>
        <v>100</v>
      </c>
      <c r="T23" s="705" t="s">
        <v>14</v>
      </c>
      <c r="U23" s="706">
        <f>H23</f>
        <v>100</v>
      </c>
      <c r="V23" s="705" t="s">
        <v>14</v>
      </c>
      <c r="W23" s="706">
        <f>J23</f>
        <v>100</v>
      </c>
      <c r="X23" s="1355"/>
      <c r="Y23" s="377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77"/>
      <c r="Q24" s="1352"/>
      <c r="R24" s="705"/>
      <c r="S24" s="706"/>
      <c r="T24" s="705"/>
      <c r="U24" s="706"/>
      <c r="V24" s="705"/>
      <c r="W24" s="706"/>
      <c r="X24" s="1355"/>
      <c r="Y24" s="377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77"/>
      <c r="Q25" s="1352" t="str">
        <f t="shared" ref="Q25:Q46" si="11">B25</f>
        <v>临街状况</v>
      </c>
      <c r="R25" s="705" t="s">
        <v>14</v>
      </c>
      <c r="S25" s="706">
        <f>F25</f>
        <v>100</v>
      </c>
      <c r="T25" s="705" t="s">
        <v>14</v>
      </c>
      <c r="U25" s="706">
        <f>H25</f>
        <v>100</v>
      </c>
      <c r="V25" s="705" t="s">
        <v>14</v>
      </c>
      <c r="W25" s="706">
        <f>J25</f>
        <v>100</v>
      </c>
      <c r="X25" s="1355"/>
      <c r="Y25" s="377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77"/>
      <c r="Q26" s="1352" t="str">
        <f t="shared" si="11"/>
        <v>平面位置/可视性</v>
      </c>
      <c r="R26" s="705" t="s">
        <v>14</v>
      </c>
      <c r="S26" s="706">
        <f>F26</f>
        <v>100</v>
      </c>
      <c r="T26" s="705" t="s">
        <v>14</v>
      </c>
      <c r="U26" s="706">
        <f>H26</f>
        <v>100</v>
      </c>
      <c r="V26" s="705" t="s">
        <v>14</v>
      </c>
      <c r="W26" s="706">
        <f>J26</f>
        <v>100</v>
      </c>
      <c r="X26" s="1355"/>
      <c r="Y26" s="377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77"/>
      <c r="Q27" s="1343" t="str">
        <f t="shared" si="11"/>
        <v>人流量</v>
      </c>
      <c r="R27" s="701" t="s">
        <v>14</v>
      </c>
      <c r="S27" s="702">
        <f>F27</f>
        <v>100</v>
      </c>
      <c r="T27" s="701" t="s">
        <v>14</v>
      </c>
      <c r="U27" s="702">
        <f>H27</f>
        <v>100</v>
      </c>
      <c r="V27" s="701" t="s">
        <v>14</v>
      </c>
      <c r="W27" s="702">
        <f>J27</f>
        <v>100</v>
      </c>
      <c r="X27" s="703"/>
      <c r="Y27" s="377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7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7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77"/>
      <c r="Q29" s="1352">
        <f t="shared" si="11"/>
        <v>111</v>
      </c>
      <c r="R29" s="705" t="s">
        <v>14</v>
      </c>
      <c r="S29" s="706">
        <f t="shared" si="12"/>
        <v>100</v>
      </c>
      <c r="T29" s="705" t="s">
        <v>14</v>
      </c>
      <c r="U29" s="706">
        <f t="shared" si="13"/>
        <v>100</v>
      </c>
      <c r="V29" s="705" t="s">
        <v>14</v>
      </c>
      <c r="W29" s="706">
        <f t="shared" si="14"/>
        <v>100</v>
      </c>
      <c r="X29" s="1355"/>
      <c r="Y29" s="377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77"/>
      <c r="Q30" s="1352">
        <f t="shared" si="11"/>
        <v>111</v>
      </c>
      <c r="R30" s="705" t="s">
        <v>14</v>
      </c>
      <c r="S30" s="706">
        <f t="shared" si="12"/>
        <v>100</v>
      </c>
      <c r="T30" s="705" t="s">
        <v>14</v>
      </c>
      <c r="U30" s="706">
        <f t="shared" si="13"/>
        <v>100</v>
      </c>
      <c r="V30" s="705" t="s">
        <v>14</v>
      </c>
      <c r="W30" s="706">
        <f t="shared" si="14"/>
        <v>100</v>
      </c>
      <c r="X30" s="1355"/>
      <c r="Y30" s="377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77"/>
      <c r="Q31" s="1352">
        <f t="shared" si="11"/>
        <v>111</v>
      </c>
      <c r="R31" s="705" t="s">
        <v>14</v>
      </c>
      <c r="S31" s="706">
        <f t="shared" si="12"/>
        <v>100</v>
      </c>
      <c r="T31" s="705" t="s">
        <v>14</v>
      </c>
      <c r="U31" s="706">
        <f t="shared" si="13"/>
        <v>100</v>
      </c>
      <c r="V31" s="705" t="s">
        <v>14</v>
      </c>
      <c r="W31" s="706">
        <f t="shared" si="14"/>
        <v>100</v>
      </c>
      <c r="X31" s="1355"/>
      <c r="Y31" s="377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71" t="s">
        <v>1696</v>
      </c>
      <c r="Q32" s="1352" t="str">
        <f t="shared" si="11"/>
        <v>商业类型</v>
      </c>
      <c r="R32" s="705" t="s">
        <v>14</v>
      </c>
      <c r="S32" s="706">
        <f t="shared" si="12"/>
        <v>100</v>
      </c>
      <c r="T32" s="705" t="s">
        <v>14</v>
      </c>
      <c r="U32" s="706">
        <f t="shared" si="13"/>
        <v>100</v>
      </c>
      <c r="V32" s="705" t="s">
        <v>14</v>
      </c>
      <c r="W32" s="706">
        <f t="shared" si="14"/>
        <v>100</v>
      </c>
      <c r="X32" s="1355"/>
      <c r="Y32" s="377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72"/>
      <c r="Q33" s="707" t="str">
        <f t="shared" si="11"/>
        <v>项目建筑规模</v>
      </c>
      <c r="R33" s="708" t="s">
        <v>14</v>
      </c>
      <c r="S33" s="709" t="e">
        <f t="shared" si="12"/>
        <v>#N/A</v>
      </c>
      <c r="T33" s="708" t="s">
        <v>14</v>
      </c>
      <c r="U33" s="709" t="e">
        <f t="shared" si="13"/>
        <v>#N/A</v>
      </c>
      <c r="V33" s="708" t="s">
        <v>14</v>
      </c>
      <c r="W33" s="709" t="e">
        <f t="shared" si="14"/>
        <v>#N/A</v>
      </c>
      <c r="X33" s="710"/>
      <c r="Y33" s="377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72"/>
      <c r="Q34" s="1352" t="str">
        <f t="shared" si="11"/>
        <v>建筑结构</v>
      </c>
      <c r="R34" s="705" t="s">
        <v>14</v>
      </c>
      <c r="S34" s="706">
        <f t="shared" si="12"/>
        <v>100</v>
      </c>
      <c r="T34" s="705" t="s">
        <v>14</v>
      </c>
      <c r="U34" s="706">
        <f t="shared" si="13"/>
        <v>100</v>
      </c>
      <c r="V34" s="705" t="s">
        <v>14</v>
      </c>
      <c r="W34" s="706">
        <f t="shared" si="14"/>
        <v>100</v>
      </c>
      <c r="X34" s="1355"/>
      <c r="Y34" s="377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72"/>
      <c r="Q35" s="1352" t="str">
        <f t="shared" si="11"/>
        <v>公共部分装修</v>
      </c>
      <c r="R35" s="705" t="s">
        <v>14</v>
      </c>
      <c r="S35" s="706">
        <f t="shared" si="12"/>
        <v>100</v>
      </c>
      <c r="T35" s="705" t="s">
        <v>14</v>
      </c>
      <c r="U35" s="706">
        <f t="shared" si="13"/>
        <v>100</v>
      </c>
      <c r="V35" s="705" t="s">
        <v>14</v>
      </c>
      <c r="W35" s="706">
        <f t="shared" si="14"/>
        <v>100</v>
      </c>
      <c r="X35" s="1355"/>
      <c r="Y35" s="377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72"/>
      <c r="Q36" s="1352" t="str">
        <f t="shared" si="11"/>
        <v>成新度</v>
      </c>
      <c r="R36" s="705" t="s">
        <v>14</v>
      </c>
      <c r="S36" s="706" t="e">
        <f t="shared" si="12"/>
        <v>#N/A</v>
      </c>
      <c r="T36" s="705" t="s">
        <v>14</v>
      </c>
      <c r="U36" s="706" t="e">
        <f t="shared" si="13"/>
        <v>#N/A</v>
      </c>
      <c r="V36" s="705" t="s">
        <v>14</v>
      </c>
      <c r="W36" s="706" t="e">
        <f t="shared" si="14"/>
        <v>#N/A</v>
      </c>
      <c r="X36" s="1355"/>
      <c r="Y36" s="377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72"/>
      <c r="Q37" s="1343" t="str">
        <f t="shared" si="11"/>
        <v>市政基础设施</v>
      </c>
      <c r="R37" s="701" t="s">
        <v>14</v>
      </c>
      <c r="S37" s="702">
        <f t="shared" si="12"/>
        <v>100</v>
      </c>
      <c r="T37" s="701" t="s">
        <v>14</v>
      </c>
      <c r="U37" s="702">
        <f t="shared" si="13"/>
        <v>100</v>
      </c>
      <c r="V37" s="701" t="s">
        <v>14</v>
      </c>
      <c r="W37" s="702">
        <f t="shared" si="14"/>
        <v>100</v>
      </c>
      <c r="X37" s="703"/>
      <c r="Y37" s="377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72" t="s">
        <v>1696</v>
      </c>
      <c r="Q38" s="1352" t="str">
        <f t="shared" si="11"/>
        <v>业态</v>
      </c>
      <c r="R38" s="705" t="s">
        <v>14</v>
      </c>
      <c r="S38" s="706">
        <f t="shared" si="12"/>
        <v>100</v>
      </c>
      <c r="T38" s="705" t="s">
        <v>14</v>
      </c>
      <c r="U38" s="706">
        <f t="shared" si="13"/>
        <v>100</v>
      </c>
      <c r="V38" s="705" t="s">
        <v>14</v>
      </c>
      <c r="W38" s="706">
        <f t="shared" si="14"/>
        <v>100</v>
      </c>
      <c r="X38" s="1355"/>
      <c r="Y38" s="377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72"/>
      <c r="Q39" s="1352" t="str">
        <f t="shared" si="11"/>
        <v>层高</v>
      </c>
      <c r="R39" s="705" t="s">
        <v>14</v>
      </c>
      <c r="S39" s="706">
        <f t="shared" si="12"/>
        <v>100</v>
      </c>
      <c r="T39" s="705" t="s">
        <v>14</v>
      </c>
      <c r="U39" s="706">
        <f t="shared" si="13"/>
        <v>100</v>
      </c>
      <c r="V39" s="705" t="s">
        <v>14</v>
      </c>
      <c r="W39" s="706">
        <f t="shared" si="14"/>
        <v>100</v>
      </c>
      <c r="X39" s="1355"/>
      <c r="Y39" s="377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72"/>
      <c r="Q40" s="1352" t="str">
        <f t="shared" si="11"/>
        <v>单套建筑面积</v>
      </c>
      <c r="R40" s="705" t="s">
        <v>14</v>
      </c>
      <c r="S40" s="706">
        <f t="shared" si="12"/>
        <v>100</v>
      </c>
      <c r="T40" s="705" t="s">
        <v>14</v>
      </c>
      <c r="U40" s="706">
        <f t="shared" si="13"/>
        <v>100</v>
      </c>
      <c r="V40" s="705" t="s">
        <v>14</v>
      </c>
      <c r="W40" s="706">
        <f t="shared" si="14"/>
        <v>100</v>
      </c>
      <c r="X40" s="1355"/>
      <c r="Y40" s="377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72"/>
      <c r="Q41" s="707" t="str">
        <f t="shared" si="11"/>
        <v>进深比</v>
      </c>
      <c r="R41" s="708" t="s">
        <v>14</v>
      </c>
      <c r="S41" s="709">
        <f t="shared" si="12"/>
        <v>100</v>
      </c>
      <c r="T41" s="708" t="s">
        <v>14</v>
      </c>
      <c r="U41" s="709">
        <f t="shared" si="13"/>
        <v>100</v>
      </c>
      <c r="V41" s="708" t="s">
        <v>14</v>
      </c>
      <c r="W41" s="709">
        <f t="shared" si="14"/>
        <v>100</v>
      </c>
      <c r="X41" s="710"/>
      <c r="Y41" s="377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72"/>
      <c r="Q42" s="1352" t="str">
        <f t="shared" si="11"/>
        <v>内部装修</v>
      </c>
      <c r="R42" s="705" t="s">
        <v>14</v>
      </c>
      <c r="S42" s="706">
        <f t="shared" si="12"/>
        <v>100</v>
      </c>
      <c r="T42" s="705" t="s">
        <v>14</v>
      </c>
      <c r="U42" s="706">
        <f t="shared" si="13"/>
        <v>100</v>
      </c>
      <c r="V42" s="705" t="s">
        <v>14</v>
      </c>
      <c r="W42" s="706">
        <f t="shared" si="14"/>
        <v>100</v>
      </c>
      <c r="X42" s="1355"/>
      <c r="Y42" s="377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72"/>
      <c r="Q43" s="1352" t="str">
        <f t="shared" si="11"/>
        <v>内部装修维护情况</v>
      </c>
      <c r="R43" s="705" t="s">
        <v>14</v>
      </c>
      <c r="S43" s="706">
        <f t="shared" si="12"/>
        <v>100</v>
      </c>
      <c r="T43" s="705" t="s">
        <v>14</v>
      </c>
      <c r="U43" s="706">
        <f t="shared" si="13"/>
        <v>100</v>
      </c>
      <c r="V43" s="705" t="s">
        <v>14</v>
      </c>
      <c r="W43" s="706">
        <f t="shared" si="14"/>
        <v>100</v>
      </c>
      <c r="X43" s="1355"/>
      <c r="Y43" s="377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72"/>
      <c r="Q44" s="1343">
        <f t="shared" si="11"/>
        <v>111</v>
      </c>
      <c r="R44" s="701" t="s">
        <v>14</v>
      </c>
      <c r="S44" s="702">
        <f t="shared" si="12"/>
        <v>100</v>
      </c>
      <c r="T44" s="701" t="s">
        <v>14</v>
      </c>
      <c r="U44" s="702">
        <f t="shared" si="13"/>
        <v>100</v>
      </c>
      <c r="V44" s="701" t="s">
        <v>14</v>
      </c>
      <c r="W44" s="702">
        <f t="shared" si="14"/>
        <v>100</v>
      </c>
      <c r="X44" s="703"/>
      <c r="Y44" s="377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72"/>
      <c r="Q45" s="1352">
        <f t="shared" si="11"/>
        <v>111</v>
      </c>
      <c r="R45" s="705" t="s">
        <v>14</v>
      </c>
      <c r="S45" s="706">
        <f t="shared" si="12"/>
        <v>100</v>
      </c>
      <c r="T45" s="705" t="s">
        <v>14</v>
      </c>
      <c r="U45" s="706">
        <f t="shared" si="13"/>
        <v>100</v>
      </c>
      <c r="V45" s="705" t="s">
        <v>14</v>
      </c>
      <c r="W45" s="706">
        <f t="shared" si="14"/>
        <v>100</v>
      </c>
      <c r="X45" s="1355"/>
      <c r="Y45" s="377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73"/>
      <c r="Q46" s="1352">
        <f t="shared" si="11"/>
        <v>111</v>
      </c>
      <c r="R46" s="705" t="s">
        <v>14</v>
      </c>
      <c r="S46" s="706">
        <f t="shared" si="12"/>
        <v>100</v>
      </c>
      <c r="T46" s="705" t="s">
        <v>14</v>
      </c>
      <c r="U46" s="706">
        <f t="shared" si="13"/>
        <v>100</v>
      </c>
      <c r="V46" s="705" t="s">
        <v>14</v>
      </c>
      <c r="W46" s="706">
        <f t="shared" si="14"/>
        <v>100</v>
      </c>
      <c r="X46" s="1355"/>
      <c r="Y46" s="377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67" t="str">
        <f>A47</f>
        <v>成交单价（元/平方米）</v>
      </c>
      <c r="Q47" s="3767"/>
      <c r="R47" s="3762">
        <f>E47</f>
        <v>0</v>
      </c>
      <c r="S47" s="3762"/>
      <c r="T47" s="3762">
        <f>G47</f>
        <v>0</v>
      </c>
      <c r="U47" s="3762"/>
      <c r="V47" s="3762">
        <f>I47</f>
        <v>0</v>
      </c>
      <c r="W47" s="376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67" t="str">
        <f>A48</f>
        <v>比较价值（元/平方米）</v>
      </c>
      <c r="Q48" s="3767"/>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64" t="str">
        <f>A49</f>
        <v>估价对象XX用房的比较价值（楼面单价，元/平方米）</v>
      </c>
      <c r="Q49" s="3765"/>
      <c r="R49" s="3766" t="e">
        <f>IF(F1="售价",ROUND(IF(D48="简单平均",AVERAGE(R48:V48),R48*F48+T48*H48+V48*J48),0),ROUND(IF(D48="简单平均",AVERAGE(R48:V48),R48*F48+T48*H48+V48*J48),1))</f>
        <v>#DIV/0!</v>
      </c>
      <c r="S49" s="3766"/>
      <c r="T49" s="3766"/>
      <c r="U49" s="3766"/>
      <c r="V49" s="3766"/>
      <c r="W49" s="376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23576.310000000005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50" t="s">
        <v>1770</v>
      </c>
      <c r="D4" s="3751"/>
      <c r="E4" s="3752" t="s">
        <v>1771</v>
      </c>
      <c r="F4" s="3753"/>
      <c r="G4" s="3750" t="s">
        <v>1772</v>
      </c>
      <c r="H4" s="3751"/>
      <c r="I4" s="3750" t="s">
        <v>1773</v>
      </c>
      <c r="J4" s="3751"/>
      <c r="K4" s="559" t="s">
        <v>1774</v>
      </c>
      <c r="L4" s="2715"/>
      <c r="M4" s="2716"/>
      <c r="N4" s="2716"/>
      <c r="O4" s="2716"/>
      <c r="P4" s="3784" t="s">
        <v>1775</v>
      </c>
      <c r="Q4" s="3785"/>
      <c r="R4" s="3779" t="s">
        <v>1771</v>
      </c>
      <c r="S4" s="3780"/>
      <c r="T4" s="3779" t="s">
        <v>1772</v>
      </c>
      <c r="U4" s="3780"/>
      <c r="V4" s="3788" t="s">
        <v>1773</v>
      </c>
      <c r="W4" s="3788"/>
      <c r="X4" s="1958"/>
      <c r="Y4" s="3779" t="s">
        <v>1775</v>
      </c>
      <c r="Z4" s="3780"/>
      <c r="AA4" s="3778" t="s">
        <v>1771</v>
      </c>
      <c r="AB4" s="3778" t="s">
        <v>1772</v>
      </c>
      <c r="AC4" s="3781" t="s">
        <v>1773</v>
      </c>
    </row>
    <row r="5" spans="1:29" ht="15">
      <c r="A5" s="358"/>
      <c r="B5" s="359"/>
      <c r="C5" s="3743" t="s">
        <v>1673</v>
      </c>
      <c r="D5" s="3744"/>
      <c r="E5" s="3741" t="s">
        <v>1674</v>
      </c>
      <c r="F5" s="3742"/>
      <c r="G5" s="3743" t="s">
        <v>1675</v>
      </c>
      <c r="H5" s="3744"/>
      <c r="I5" s="3743" t="s">
        <v>1676</v>
      </c>
      <c r="J5" s="3744"/>
      <c r="K5" s="559"/>
      <c r="L5" s="2715"/>
      <c r="M5" s="2716"/>
      <c r="N5" s="2716"/>
      <c r="O5" s="2716"/>
      <c r="P5" s="3786"/>
      <c r="Q5" s="3757"/>
      <c r="R5" s="3739"/>
      <c r="S5" s="3740"/>
      <c r="T5" s="3739"/>
      <c r="U5" s="3740"/>
      <c r="V5" s="3762"/>
      <c r="W5" s="3762"/>
      <c r="X5" s="1355"/>
      <c r="Y5" s="3739"/>
      <c r="Z5" s="3740"/>
      <c r="AA5" s="3733"/>
      <c r="AB5" s="3733"/>
      <c r="AC5" s="3782"/>
    </row>
    <row r="6" spans="1:29" ht="15.75" thickBot="1">
      <c r="A6" s="360"/>
      <c r="B6" s="361"/>
      <c r="C6" s="3745" t="s">
        <v>1677</v>
      </c>
      <c r="D6" s="3746"/>
      <c r="E6" s="3747" t="s">
        <v>1677</v>
      </c>
      <c r="F6" s="3748"/>
      <c r="G6" s="3745" t="s">
        <v>1677</v>
      </c>
      <c r="H6" s="3746"/>
      <c r="I6" s="3745" t="s">
        <v>1677</v>
      </c>
      <c r="J6" s="3746"/>
      <c r="K6" s="559" t="s">
        <v>1678</v>
      </c>
      <c r="L6" s="2715"/>
      <c r="M6" s="2716"/>
      <c r="N6" s="2716"/>
      <c r="O6" s="2716"/>
      <c r="P6" s="3787"/>
      <c r="Q6" s="3759"/>
      <c r="R6" s="3739"/>
      <c r="S6" s="3740"/>
      <c r="T6" s="3760"/>
      <c r="U6" s="3761"/>
      <c r="V6" s="3762"/>
      <c r="W6" s="3762"/>
      <c r="X6" s="1355"/>
      <c r="Y6" s="3760"/>
      <c r="Z6" s="3761"/>
      <c r="AA6" s="3734"/>
      <c r="AB6" s="3734"/>
      <c r="AC6" s="3783"/>
    </row>
    <row r="7" spans="1:29" s="108" customFormat="1" ht="15.75" thickBot="1">
      <c r="A7" s="362" t="s">
        <v>1679</v>
      </c>
      <c r="B7" s="363"/>
      <c r="C7" s="364">
        <f>'数据-取费表'!B2</f>
        <v>45183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89" t="s">
        <v>1680</v>
      </c>
      <c r="Q7" s="3763"/>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89" t="s">
        <v>1683</v>
      </c>
      <c r="Q8" s="3736"/>
      <c r="R8" s="701" t="s">
        <v>14</v>
      </c>
      <c r="S8" s="702">
        <f t="shared" si="0"/>
        <v>100</v>
      </c>
      <c r="T8" s="701" t="s">
        <v>14</v>
      </c>
      <c r="U8" s="702">
        <f t="shared" si="1"/>
        <v>100</v>
      </c>
      <c r="V8" s="701" t="s">
        <v>14</v>
      </c>
      <c r="W8" s="702">
        <f t="shared" si="2"/>
        <v>100</v>
      </c>
      <c r="X8" s="703"/>
      <c r="Y8" s="3735" t="s">
        <v>1683</v>
      </c>
      <c r="Z8" s="373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49" t="s">
        <v>1686</v>
      </c>
      <c r="Q9" s="1343" t="str">
        <f t="shared" ref="Q9:Q15" si="6">B9</f>
        <v>用途</v>
      </c>
      <c r="R9" s="701" t="s">
        <v>14</v>
      </c>
      <c r="S9" s="702">
        <f t="shared" si="0"/>
        <v>100</v>
      </c>
      <c r="T9" s="701" t="s">
        <v>14</v>
      </c>
      <c r="U9" s="702">
        <f t="shared" si="1"/>
        <v>100</v>
      </c>
      <c r="V9" s="701" t="s">
        <v>14</v>
      </c>
      <c r="W9" s="702">
        <f t="shared" si="2"/>
        <v>100</v>
      </c>
      <c r="X9" s="703"/>
      <c r="Y9" s="367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49"/>
      <c r="Q10" s="1343"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49"/>
      <c r="Q11" s="1343" t="str">
        <f t="shared" si="6"/>
        <v>容积率</v>
      </c>
      <c r="R11" s="701" t="s">
        <v>14</v>
      </c>
      <c r="S11" s="702">
        <f t="shared" si="0"/>
        <v>100</v>
      </c>
      <c r="T11" s="701" t="s">
        <v>14</v>
      </c>
      <c r="U11" s="702">
        <f t="shared" si="1"/>
        <v>100</v>
      </c>
      <c r="V11" s="701" t="s">
        <v>14</v>
      </c>
      <c r="W11" s="702">
        <f t="shared" si="2"/>
        <v>100</v>
      </c>
      <c r="X11" s="703"/>
      <c r="Y11" s="367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49"/>
      <c r="Q12" s="1343">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49"/>
      <c r="Q13" s="1343">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49"/>
      <c r="Q14" s="1343">
        <f t="shared" si="6"/>
        <v>111</v>
      </c>
      <c r="R14" s="701" t="s">
        <v>14</v>
      </c>
      <c r="S14" s="702">
        <f t="shared" si="0"/>
        <v>100</v>
      </c>
      <c r="T14" s="701" t="s">
        <v>14</v>
      </c>
      <c r="U14" s="702">
        <f t="shared" si="1"/>
        <v>100</v>
      </c>
      <c r="V14" s="701" t="s">
        <v>14</v>
      </c>
      <c r="W14" s="702">
        <f t="shared" si="2"/>
        <v>100</v>
      </c>
      <c r="X14" s="703"/>
      <c r="Y14" s="367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76" t="s">
        <v>1691</v>
      </c>
      <c r="Q15" s="1352" t="str">
        <f t="shared" si="6"/>
        <v>办公集聚程度</v>
      </c>
      <c r="R15" s="705" t="s">
        <v>14</v>
      </c>
      <c r="S15" s="706">
        <f t="shared" si="0"/>
        <v>100</v>
      </c>
      <c r="T15" s="705" t="s">
        <v>14</v>
      </c>
      <c r="U15" s="706">
        <f t="shared" si="1"/>
        <v>100</v>
      </c>
      <c r="V15" s="705" t="s">
        <v>14</v>
      </c>
      <c r="W15" s="706">
        <f t="shared" si="2"/>
        <v>100</v>
      </c>
      <c r="X15" s="1355"/>
      <c r="Y15" s="376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77"/>
      <c r="Q16" s="1352"/>
      <c r="R16" s="705"/>
      <c r="S16" s="706"/>
      <c r="T16" s="705"/>
      <c r="U16" s="706"/>
      <c r="V16" s="705"/>
      <c r="W16" s="706"/>
      <c r="X16" s="1355"/>
      <c r="Y16" s="377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77"/>
      <c r="Q17" s="1352" t="str">
        <f>B17</f>
        <v>交通便捷度</v>
      </c>
      <c r="R17" s="705" t="s">
        <v>14</v>
      </c>
      <c r="S17" s="706">
        <f>F17</f>
        <v>100</v>
      </c>
      <c r="T17" s="705" t="s">
        <v>14</v>
      </c>
      <c r="U17" s="706">
        <f>H17</f>
        <v>100</v>
      </c>
      <c r="V17" s="705" t="s">
        <v>14</v>
      </c>
      <c r="W17" s="706">
        <f>J17</f>
        <v>100</v>
      </c>
      <c r="X17" s="1355"/>
      <c r="Y17" s="377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77"/>
      <c r="Q18" s="1352"/>
      <c r="R18" s="705"/>
      <c r="S18" s="706"/>
      <c r="T18" s="705"/>
      <c r="U18" s="706"/>
      <c r="V18" s="705"/>
      <c r="W18" s="706"/>
      <c r="X18" s="1355"/>
      <c r="Y18" s="377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77"/>
      <c r="Q19" s="1352" t="str">
        <f>B19</f>
        <v>公共配套设施</v>
      </c>
      <c r="R19" s="705" t="s">
        <v>14</v>
      </c>
      <c r="S19" s="706">
        <f>F19</f>
        <v>100</v>
      </c>
      <c r="T19" s="705" t="s">
        <v>14</v>
      </c>
      <c r="U19" s="706">
        <f>H19</f>
        <v>100</v>
      </c>
      <c r="V19" s="705" t="s">
        <v>14</v>
      </c>
      <c r="W19" s="706">
        <f>J19</f>
        <v>100</v>
      </c>
      <c r="X19" s="1355"/>
      <c r="Y19" s="377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77"/>
      <c r="Q20" s="1352"/>
      <c r="R20" s="705"/>
      <c r="S20" s="706"/>
      <c r="T20" s="705"/>
      <c r="U20" s="706"/>
      <c r="V20" s="705"/>
      <c r="W20" s="706"/>
      <c r="X20" s="1355"/>
      <c r="Y20" s="377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77"/>
      <c r="Q21" s="1352" t="str">
        <f>B21</f>
        <v>基础设施水平</v>
      </c>
      <c r="R21" s="705" t="s">
        <v>14</v>
      </c>
      <c r="S21" s="706">
        <f>F21</f>
        <v>100</v>
      </c>
      <c r="T21" s="705" t="s">
        <v>14</v>
      </c>
      <c r="U21" s="706">
        <f>H21</f>
        <v>100</v>
      </c>
      <c r="V21" s="705" t="s">
        <v>14</v>
      </c>
      <c r="W21" s="706">
        <f>J21</f>
        <v>100</v>
      </c>
      <c r="X21" s="1355"/>
      <c r="Y21" s="377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77"/>
      <c r="Q22" s="1352"/>
      <c r="R22" s="705"/>
      <c r="S22" s="706"/>
      <c r="T22" s="705"/>
      <c r="U22" s="706"/>
      <c r="V22" s="705"/>
      <c r="W22" s="706"/>
      <c r="X22" s="1355"/>
      <c r="Y22" s="377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77"/>
      <c r="Q23" s="1352" t="str">
        <f>B23</f>
        <v>环境质量</v>
      </c>
      <c r="R23" s="705" t="s">
        <v>14</v>
      </c>
      <c r="S23" s="706">
        <f>F23</f>
        <v>100</v>
      </c>
      <c r="T23" s="705" t="s">
        <v>14</v>
      </c>
      <c r="U23" s="706">
        <f>H23</f>
        <v>100</v>
      </c>
      <c r="V23" s="705" t="s">
        <v>14</v>
      </c>
      <c r="W23" s="706">
        <f>J23</f>
        <v>100</v>
      </c>
      <c r="X23" s="1355"/>
      <c r="Y23" s="377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77"/>
      <c r="Q24" s="1352"/>
      <c r="R24" s="705"/>
      <c r="S24" s="706"/>
      <c r="T24" s="705"/>
      <c r="U24" s="706"/>
      <c r="V24" s="705"/>
      <c r="W24" s="706"/>
      <c r="X24" s="1355"/>
      <c r="Y24" s="377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77"/>
      <c r="Q25" s="1352" t="str">
        <f>B25</f>
        <v>毗邻道路的类型与等级</v>
      </c>
      <c r="R25" s="705" t="s">
        <v>14</v>
      </c>
      <c r="S25" s="706">
        <f>F25</f>
        <v>100</v>
      </c>
      <c r="T25" s="705" t="s">
        <v>14</v>
      </c>
      <c r="U25" s="706">
        <f>H25</f>
        <v>100</v>
      </c>
      <c r="V25" s="705" t="s">
        <v>14</v>
      </c>
      <c r="W25" s="706">
        <f>J25</f>
        <v>100</v>
      </c>
      <c r="X25" s="1355"/>
      <c r="Y25" s="377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77"/>
      <c r="Q26" s="1352"/>
      <c r="R26" s="705"/>
      <c r="S26" s="706"/>
      <c r="T26" s="705"/>
      <c r="U26" s="706"/>
      <c r="V26" s="705"/>
      <c r="W26" s="706"/>
      <c r="X26" s="1355"/>
      <c r="Y26" s="377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77"/>
      <c r="Q27" s="1352" t="str">
        <f t="shared" ref="Q27:Q47" si="11">B27</f>
        <v>楼层</v>
      </c>
      <c r="R27" s="705" t="s">
        <v>14</v>
      </c>
      <c r="S27" s="706">
        <f>F27</f>
        <v>100</v>
      </c>
      <c r="T27" s="705" t="s">
        <v>14</v>
      </c>
      <c r="U27" s="706">
        <f>H27</f>
        <v>100</v>
      </c>
      <c r="V27" s="705" t="s">
        <v>14</v>
      </c>
      <c r="W27" s="706">
        <f>J27</f>
        <v>100</v>
      </c>
      <c r="X27" s="1355"/>
      <c r="Y27" s="377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77"/>
      <c r="Q28" s="1343" t="str">
        <f t="shared" si="11"/>
        <v>朝向</v>
      </c>
      <c r="R28" s="701" t="s">
        <v>14</v>
      </c>
      <c r="S28" s="702">
        <f>F28</f>
        <v>100</v>
      </c>
      <c r="T28" s="701" t="s">
        <v>14</v>
      </c>
      <c r="U28" s="702">
        <f>H28</f>
        <v>100</v>
      </c>
      <c r="V28" s="701" t="s">
        <v>14</v>
      </c>
      <c r="W28" s="702">
        <f>J28</f>
        <v>100</v>
      </c>
      <c r="X28" s="703"/>
      <c r="Y28" s="377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77"/>
      <c r="Q29" s="1352">
        <f t="shared" si="11"/>
        <v>111</v>
      </c>
      <c r="R29" s="705" t="s">
        <v>14</v>
      </c>
      <c r="S29" s="706">
        <f t="shared" ref="S29:S47" si="12">F29</f>
        <v>100</v>
      </c>
      <c r="T29" s="705" t="s">
        <v>14</v>
      </c>
      <c r="U29" s="706">
        <f t="shared" ref="U29:U47" si="13">H29</f>
        <v>100</v>
      </c>
      <c r="V29" s="705" t="s">
        <v>14</v>
      </c>
      <c r="W29" s="706">
        <f t="shared" ref="W29:W47" si="14">J29</f>
        <v>100</v>
      </c>
      <c r="X29" s="1355"/>
      <c r="Y29" s="377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77"/>
      <c r="Q30" s="1352">
        <f t="shared" si="11"/>
        <v>111</v>
      </c>
      <c r="R30" s="705" t="s">
        <v>14</v>
      </c>
      <c r="S30" s="706">
        <f t="shared" si="12"/>
        <v>100</v>
      </c>
      <c r="T30" s="705" t="s">
        <v>14</v>
      </c>
      <c r="U30" s="706">
        <f t="shared" si="13"/>
        <v>100</v>
      </c>
      <c r="V30" s="705" t="s">
        <v>14</v>
      </c>
      <c r="W30" s="706">
        <f t="shared" si="14"/>
        <v>100</v>
      </c>
      <c r="X30" s="1355"/>
      <c r="Y30" s="377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77"/>
      <c r="Q31" s="1352">
        <f t="shared" si="11"/>
        <v>111</v>
      </c>
      <c r="R31" s="705" t="s">
        <v>14</v>
      </c>
      <c r="S31" s="706">
        <f t="shared" si="12"/>
        <v>100</v>
      </c>
      <c r="T31" s="705" t="s">
        <v>14</v>
      </c>
      <c r="U31" s="706">
        <f t="shared" si="13"/>
        <v>100</v>
      </c>
      <c r="V31" s="705" t="s">
        <v>14</v>
      </c>
      <c r="W31" s="706">
        <f t="shared" si="14"/>
        <v>100</v>
      </c>
      <c r="X31" s="1355"/>
      <c r="Y31" s="377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77"/>
      <c r="Q32" s="1352">
        <f t="shared" si="11"/>
        <v>111</v>
      </c>
      <c r="R32" s="705" t="s">
        <v>14</v>
      </c>
      <c r="S32" s="706">
        <f t="shared" si="12"/>
        <v>100</v>
      </c>
      <c r="T32" s="705" t="s">
        <v>14</v>
      </c>
      <c r="U32" s="706">
        <f t="shared" si="13"/>
        <v>100</v>
      </c>
      <c r="V32" s="705" t="s">
        <v>14</v>
      </c>
      <c r="W32" s="706">
        <f t="shared" si="14"/>
        <v>100</v>
      </c>
      <c r="X32" s="1355"/>
      <c r="Y32" s="377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71" t="s">
        <v>1696</v>
      </c>
      <c r="Q33" s="1352" t="str">
        <f t="shared" si="11"/>
        <v>建筑类型</v>
      </c>
      <c r="R33" s="705" t="s">
        <v>14</v>
      </c>
      <c r="S33" s="706">
        <f t="shared" si="12"/>
        <v>100</v>
      </c>
      <c r="T33" s="705" t="s">
        <v>14</v>
      </c>
      <c r="U33" s="706">
        <f t="shared" si="13"/>
        <v>100</v>
      </c>
      <c r="V33" s="705" t="s">
        <v>14</v>
      </c>
      <c r="W33" s="706">
        <f t="shared" si="14"/>
        <v>100</v>
      </c>
      <c r="X33" s="1355"/>
      <c r="Y33" s="377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72"/>
      <c r="Q34" s="707" t="str">
        <f t="shared" si="11"/>
        <v>项目建筑规模</v>
      </c>
      <c r="R34" s="708" t="s">
        <v>14</v>
      </c>
      <c r="S34" s="709" t="e">
        <f t="shared" si="12"/>
        <v>#N/A</v>
      </c>
      <c r="T34" s="708" t="s">
        <v>14</v>
      </c>
      <c r="U34" s="709" t="e">
        <f t="shared" si="13"/>
        <v>#N/A</v>
      </c>
      <c r="V34" s="708" t="s">
        <v>14</v>
      </c>
      <c r="W34" s="709" t="e">
        <f t="shared" si="14"/>
        <v>#N/A</v>
      </c>
      <c r="X34" s="710"/>
      <c r="Y34" s="377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72"/>
      <c r="Q35" s="1352" t="str">
        <f t="shared" si="11"/>
        <v>建筑结构</v>
      </c>
      <c r="R35" s="705" t="s">
        <v>14</v>
      </c>
      <c r="S35" s="706">
        <f t="shared" si="12"/>
        <v>100</v>
      </c>
      <c r="T35" s="705" t="s">
        <v>14</v>
      </c>
      <c r="U35" s="706">
        <f t="shared" si="13"/>
        <v>100</v>
      </c>
      <c r="V35" s="705" t="s">
        <v>14</v>
      </c>
      <c r="W35" s="706">
        <f t="shared" si="14"/>
        <v>100</v>
      </c>
      <c r="X35" s="1355"/>
      <c r="Y35" s="377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72"/>
      <c r="Q36" s="1352" t="str">
        <f t="shared" si="11"/>
        <v>公共部分装修</v>
      </c>
      <c r="R36" s="705" t="s">
        <v>14</v>
      </c>
      <c r="S36" s="706">
        <f t="shared" si="12"/>
        <v>100</v>
      </c>
      <c r="T36" s="705" t="s">
        <v>14</v>
      </c>
      <c r="U36" s="706">
        <f t="shared" si="13"/>
        <v>100</v>
      </c>
      <c r="V36" s="705" t="s">
        <v>14</v>
      </c>
      <c r="W36" s="706">
        <f t="shared" si="14"/>
        <v>100</v>
      </c>
      <c r="X36" s="1355"/>
      <c r="Y36" s="377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72"/>
      <c r="Q37" s="1352" t="str">
        <f t="shared" si="11"/>
        <v>成新度</v>
      </c>
      <c r="R37" s="705" t="s">
        <v>14</v>
      </c>
      <c r="S37" s="706" t="e">
        <f t="shared" si="12"/>
        <v>#N/A</v>
      </c>
      <c r="T37" s="705" t="s">
        <v>14</v>
      </c>
      <c r="U37" s="706" t="e">
        <f t="shared" si="13"/>
        <v>#N/A</v>
      </c>
      <c r="V37" s="705" t="s">
        <v>14</v>
      </c>
      <c r="W37" s="706" t="e">
        <f t="shared" si="14"/>
        <v>#N/A</v>
      </c>
      <c r="X37" s="1355"/>
      <c r="Y37" s="377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72"/>
      <c r="Q38" s="1343" t="str">
        <f t="shared" si="11"/>
        <v>写字楼等级</v>
      </c>
      <c r="R38" s="701" t="s">
        <v>14</v>
      </c>
      <c r="S38" s="702">
        <f t="shared" si="12"/>
        <v>100</v>
      </c>
      <c r="T38" s="701" t="s">
        <v>14</v>
      </c>
      <c r="U38" s="702">
        <f t="shared" si="13"/>
        <v>100</v>
      </c>
      <c r="V38" s="701" t="s">
        <v>14</v>
      </c>
      <c r="W38" s="702">
        <f t="shared" si="14"/>
        <v>100</v>
      </c>
      <c r="X38" s="703"/>
      <c r="Y38" s="377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72" t="s">
        <v>1696</v>
      </c>
      <c r="Q39" s="1352" t="str">
        <f t="shared" si="11"/>
        <v>物业管理</v>
      </c>
      <c r="R39" s="705" t="s">
        <v>14</v>
      </c>
      <c r="S39" s="706">
        <f t="shared" si="12"/>
        <v>100</v>
      </c>
      <c r="T39" s="705" t="s">
        <v>14</v>
      </c>
      <c r="U39" s="706">
        <f t="shared" si="13"/>
        <v>100</v>
      </c>
      <c r="V39" s="705" t="s">
        <v>14</v>
      </c>
      <c r="W39" s="706">
        <f t="shared" si="14"/>
        <v>100</v>
      </c>
      <c r="X39" s="1355"/>
      <c r="Y39" s="377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72"/>
      <c r="Q40" s="1352" t="str">
        <f t="shared" si="11"/>
        <v>市政基础设施</v>
      </c>
      <c r="R40" s="705" t="s">
        <v>14</v>
      </c>
      <c r="S40" s="706">
        <f t="shared" si="12"/>
        <v>100</v>
      </c>
      <c r="T40" s="705" t="s">
        <v>14</v>
      </c>
      <c r="U40" s="706">
        <f t="shared" si="13"/>
        <v>100</v>
      </c>
      <c r="V40" s="705" t="s">
        <v>14</v>
      </c>
      <c r="W40" s="706">
        <f t="shared" si="14"/>
        <v>100</v>
      </c>
      <c r="X40" s="1355"/>
      <c r="Y40" s="377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72"/>
      <c r="Q41" s="1352" t="str">
        <f t="shared" si="11"/>
        <v>层高</v>
      </c>
      <c r="R41" s="705" t="s">
        <v>14</v>
      </c>
      <c r="S41" s="706">
        <f t="shared" si="12"/>
        <v>100</v>
      </c>
      <c r="T41" s="705" t="s">
        <v>14</v>
      </c>
      <c r="U41" s="706">
        <f t="shared" si="13"/>
        <v>100</v>
      </c>
      <c r="V41" s="705" t="s">
        <v>14</v>
      </c>
      <c r="W41" s="706">
        <f t="shared" si="14"/>
        <v>100</v>
      </c>
      <c r="X41" s="1355"/>
      <c r="Y41" s="377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72"/>
      <c r="Q42" s="707" t="str">
        <f t="shared" si="11"/>
        <v>单套建筑面积</v>
      </c>
      <c r="R42" s="708" t="s">
        <v>14</v>
      </c>
      <c r="S42" s="709">
        <f t="shared" si="12"/>
        <v>100</v>
      </c>
      <c r="T42" s="708" t="s">
        <v>14</v>
      </c>
      <c r="U42" s="709">
        <f t="shared" si="13"/>
        <v>100</v>
      </c>
      <c r="V42" s="708" t="s">
        <v>14</v>
      </c>
      <c r="W42" s="709">
        <f t="shared" si="14"/>
        <v>100</v>
      </c>
      <c r="X42" s="710"/>
      <c r="Y42" s="377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72"/>
      <c r="Q43" s="1352" t="str">
        <f t="shared" si="11"/>
        <v>内部装修</v>
      </c>
      <c r="R43" s="705" t="s">
        <v>14</v>
      </c>
      <c r="S43" s="706">
        <f t="shared" si="12"/>
        <v>100</v>
      </c>
      <c r="T43" s="705" t="s">
        <v>14</v>
      </c>
      <c r="U43" s="706">
        <f t="shared" si="13"/>
        <v>100</v>
      </c>
      <c r="V43" s="705" t="s">
        <v>14</v>
      </c>
      <c r="W43" s="706">
        <f t="shared" si="14"/>
        <v>100</v>
      </c>
      <c r="X43" s="1355"/>
      <c r="Y43" s="377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72"/>
      <c r="Q44" s="1352" t="str">
        <f t="shared" si="11"/>
        <v>内部装修维护情况</v>
      </c>
      <c r="R44" s="705" t="s">
        <v>14</v>
      </c>
      <c r="S44" s="706">
        <f t="shared" si="12"/>
        <v>100</v>
      </c>
      <c r="T44" s="705" t="s">
        <v>14</v>
      </c>
      <c r="U44" s="706">
        <f t="shared" si="13"/>
        <v>100</v>
      </c>
      <c r="V44" s="705" t="s">
        <v>14</v>
      </c>
      <c r="W44" s="706">
        <f t="shared" si="14"/>
        <v>100</v>
      </c>
      <c r="X44" s="1355"/>
      <c r="Y44" s="377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72"/>
      <c r="Q45" s="1343">
        <f t="shared" si="11"/>
        <v>111</v>
      </c>
      <c r="R45" s="701" t="s">
        <v>14</v>
      </c>
      <c r="S45" s="702">
        <f t="shared" si="12"/>
        <v>100</v>
      </c>
      <c r="T45" s="701" t="s">
        <v>14</v>
      </c>
      <c r="U45" s="702">
        <f t="shared" si="13"/>
        <v>100</v>
      </c>
      <c r="V45" s="701" t="s">
        <v>14</v>
      </c>
      <c r="W45" s="702">
        <f t="shared" si="14"/>
        <v>100</v>
      </c>
      <c r="X45" s="703"/>
      <c r="Y45" s="377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72"/>
      <c r="Q46" s="1352">
        <f t="shared" si="11"/>
        <v>111</v>
      </c>
      <c r="R46" s="705" t="s">
        <v>14</v>
      </c>
      <c r="S46" s="706">
        <f t="shared" si="12"/>
        <v>100</v>
      </c>
      <c r="T46" s="705" t="s">
        <v>14</v>
      </c>
      <c r="U46" s="706">
        <f t="shared" si="13"/>
        <v>100</v>
      </c>
      <c r="V46" s="705" t="s">
        <v>14</v>
      </c>
      <c r="W46" s="706">
        <f t="shared" si="14"/>
        <v>100</v>
      </c>
      <c r="X46" s="1355"/>
      <c r="Y46" s="377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73"/>
      <c r="Q47" s="1352">
        <f t="shared" si="11"/>
        <v>111</v>
      </c>
      <c r="R47" s="705" t="s">
        <v>14</v>
      </c>
      <c r="S47" s="706">
        <f t="shared" si="12"/>
        <v>100</v>
      </c>
      <c r="T47" s="705" t="s">
        <v>14</v>
      </c>
      <c r="U47" s="706">
        <f t="shared" si="13"/>
        <v>100</v>
      </c>
      <c r="V47" s="705" t="s">
        <v>14</v>
      </c>
      <c r="W47" s="706">
        <f t="shared" si="14"/>
        <v>100</v>
      </c>
      <c r="X47" s="1355"/>
      <c r="Y47" s="377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49" t="str">
        <f>A48</f>
        <v>成交单价（元/平方米）</v>
      </c>
      <c r="Q48" s="3767"/>
      <c r="R48" s="3768">
        <f>E48</f>
        <v>0</v>
      </c>
      <c r="S48" s="3768"/>
      <c r="T48" s="3768">
        <f>G48</f>
        <v>0</v>
      </c>
      <c r="U48" s="3768"/>
      <c r="V48" s="3768">
        <f>I48</f>
        <v>0</v>
      </c>
      <c r="W48" s="376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49" t="str">
        <f>A49</f>
        <v>比较价值（元/平方米）</v>
      </c>
      <c r="Q49" s="3767"/>
      <c r="R49" s="3768" t="e">
        <f>IF(F1="售价",ROUND(PRODUCT(R48,AA7:AA47),0),ROUND(PRODUCT(R48,AA7:AA47),1))</f>
        <v>#DIV/0!</v>
      </c>
      <c r="S49" s="3768"/>
      <c r="T49" s="3768" t="e">
        <f>IF(F1="售价",ROUND(PRODUCT(T48,AB7:AB47),0),ROUND(PRODUCT(T48,AB7:AB47),1))</f>
        <v>#DIV/0!</v>
      </c>
      <c r="U49" s="3768"/>
      <c r="V49" s="3768" t="e">
        <f>IF(F1="售价",ROUND(PRODUCT(V48,AC7:AC47),0),ROUND(PRODUCT(V48,AC7:AC47),1))</f>
        <v>#DIV/0!</v>
      </c>
      <c r="W49" s="376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90" t="str">
        <f>A50</f>
        <v>估价对象XX用房的比较价值（楼面单价，元/平方米）</v>
      </c>
      <c r="Q50" s="3791"/>
      <c r="R50" s="3792" t="e">
        <f>IF(F1="售价",ROUND(IF(D49="简单平均",AVERAGE(R49:V49),R49*F49+T49*H49+V49*J49),0),ROUND(IF(D49="简单平均",AVERAGE(R49:V49),R49*F49+T49*H49+V49*J49),1))</f>
        <v>#DIV/0!</v>
      </c>
      <c r="S50" s="3792"/>
      <c r="T50" s="3792"/>
      <c r="U50" s="3792"/>
      <c r="V50" s="3792"/>
      <c r="W50" s="379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23576.310000000005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50" t="s">
        <v>1770</v>
      </c>
      <c r="D4" s="3751"/>
      <c r="E4" s="3752" t="s">
        <v>1771</v>
      </c>
      <c r="F4" s="3753"/>
      <c r="G4" s="3750" t="s">
        <v>1772</v>
      </c>
      <c r="H4" s="3751"/>
      <c r="I4" s="3750" t="s">
        <v>1773</v>
      </c>
      <c r="J4" s="3751"/>
      <c r="K4" s="559" t="s">
        <v>1774</v>
      </c>
      <c r="L4" s="913"/>
      <c r="M4" s="914"/>
      <c r="N4" s="914"/>
      <c r="O4" s="914"/>
      <c r="P4" s="3754" t="s">
        <v>1775</v>
      </c>
      <c r="Q4" s="3755"/>
      <c r="R4" s="3737" t="s">
        <v>1771</v>
      </c>
      <c r="S4" s="3738"/>
      <c r="T4" s="3737" t="s">
        <v>1772</v>
      </c>
      <c r="U4" s="3738"/>
      <c r="V4" s="3762" t="s">
        <v>1773</v>
      </c>
      <c r="W4" s="3762"/>
      <c r="X4" s="1355"/>
      <c r="Y4" s="3737" t="s">
        <v>1775</v>
      </c>
      <c r="Z4" s="3738"/>
      <c r="AA4" s="3732" t="s">
        <v>1771</v>
      </c>
      <c r="AB4" s="3733" t="s">
        <v>1772</v>
      </c>
      <c r="AC4" s="3732" t="s">
        <v>1773</v>
      </c>
    </row>
    <row r="5" spans="1:29" ht="15">
      <c r="A5" s="358"/>
      <c r="B5" s="359"/>
      <c r="C5" s="3743" t="s">
        <v>1673</v>
      </c>
      <c r="D5" s="3744"/>
      <c r="E5" s="3741" t="s">
        <v>1674</v>
      </c>
      <c r="F5" s="3742"/>
      <c r="G5" s="3743" t="s">
        <v>1675</v>
      </c>
      <c r="H5" s="3744"/>
      <c r="I5" s="3743" t="s">
        <v>1676</v>
      </c>
      <c r="J5" s="3744"/>
      <c r="K5" s="559"/>
      <c r="L5" s="913"/>
      <c r="M5" s="914"/>
      <c r="N5" s="914"/>
      <c r="O5" s="914"/>
      <c r="P5" s="3756"/>
      <c r="Q5" s="3757"/>
      <c r="R5" s="3739"/>
      <c r="S5" s="3740"/>
      <c r="T5" s="3739"/>
      <c r="U5" s="3740"/>
      <c r="V5" s="3762"/>
      <c r="W5" s="3762"/>
      <c r="X5" s="1355"/>
      <c r="Y5" s="3739"/>
      <c r="Z5" s="3740"/>
      <c r="AA5" s="3733"/>
      <c r="AB5" s="3733"/>
      <c r="AC5" s="3733"/>
    </row>
    <row r="6" spans="1:29" ht="15.75" thickBot="1">
      <c r="A6" s="360"/>
      <c r="B6" s="361"/>
      <c r="C6" s="3745" t="s">
        <v>1677</v>
      </c>
      <c r="D6" s="3746"/>
      <c r="E6" s="3747" t="s">
        <v>1677</v>
      </c>
      <c r="F6" s="3748"/>
      <c r="G6" s="3745" t="s">
        <v>1677</v>
      </c>
      <c r="H6" s="3746"/>
      <c r="I6" s="3745" t="s">
        <v>1677</v>
      </c>
      <c r="J6" s="3746"/>
      <c r="K6" s="559" t="s">
        <v>1678</v>
      </c>
      <c r="L6" s="913"/>
      <c r="M6" s="914"/>
      <c r="N6" s="914"/>
      <c r="O6" s="914"/>
      <c r="P6" s="3758"/>
      <c r="Q6" s="3759"/>
      <c r="R6" s="3739"/>
      <c r="S6" s="3740"/>
      <c r="T6" s="3760"/>
      <c r="U6" s="3761"/>
      <c r="V6" s="3762"/>
      <c r="W6" s="3762"/>
      <c r="X6" s="1355"/>
      <c r="Y6" s="3760"/>
      <c r="Z6" s="3761"/>
      <c r="AA6" s="3734"/>
      <c r="AB6" s="3734"/>
      <c r="AC6" s="3734"/>
    </row>
    <row r="7" spans="1:29" s="108" customFormat="1" ht="15.75" thickBot="1">
      <c r="A7" s="362" t="s">
        <v>1679</v>
      </c>
      <c r="B7" s="363"/>
      <c r="C7" s="364">
        <f>'数据-取费表'!B2</f>
        <v>45183</v>
      </c>
      <c r="D7" s="365">
        <v>100</v>
      </c>
      <c r="E7" s="366"/>
      <c r="F7" s="367">
        <f>SUMIF(52:52,YEAR(E7)&amp;"-"&amp;MONTH(E7),53:53)</f>
        <v>0</v>
      </c>
      <c r="G7" s="366"/>
      <c r="H7" s="365">
        <f>SUMIF(52:52,YEAR(G7)&amp;"-"&amp;MONTH(G7),53:53)</f>
        <v>0</v>
      </c>
      <c r="I7" s="366"/>
      <c r="J7" s="365">
        <f>SUMIF(52:52,YEAR(I7)&amp;"-"&amp;MONTH(I7),53:53)</f>
        <v>0</v>
      </c>
      <c r="K7" s="560"/>
      <c r="L7" s="915"/>
      <c r="M7" s="916"/>
      <c r="N7" s="916"/>
      <c r="O7" s="916"/>
      <c r="P7" s="3735" t="s">
        <v>1680</v>
      </c>
      <c r="Q7" s="3763"/>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5" t="s">
        <v>1683</v>
      </c>
      <c r="Q8" s="3736"/>
      <c r="R8" s="701" t="s">
        <v>14</v>
      </c>
      <c r="S8" s="702">
        <f t="shared" si="0"/>
        <v>100</v>
      </c>
      <c r="T8" s="701" t="s">
        <v>14</v>
      </c>
      <c r="U8" s="702">
        <f t="shared" si="1"/>
        <v>100</v>
      </c>
      <c r="V8" s="701" t="s">
        <v>14</v>
      </c>
      <c r="W8" s="702">
        <f t="shared" si="2"/>
        <v>100</v>
      </c>
      <c r="X8" s="703"/>
      <c r="Y8" s="3735" t="s">
        <v>1683</v>
      </c>
      <c r="Z8" s="373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67" t="s">
        <v>1686</v>
      </c>
      <c r="Q9" s="1343" t="str">
        <f t="shared" ref="Q9:Q15" si="6">B9</f>
        <v>用途</v>
      </c>
      <c r="R9" s="701" t="s">
        <v>14</v>
      </c>
      <c r="S9" s="702">
        <f t="shared" si="0"/>
        <v>100</v>
      </c>
      <c r="T9" s="701" t="s">
        <v>14</v>
      </c>
      <c r="U9" s="702">
        <f t="shared" si="1"/>
        <v>100</v>
      </c>
      <c r="V9" s="701" t="s">
        <v>14</v>
      </c>
      <c r="W9" s="702">
        <f t="shared" si="2"/>
        <v>100</v>
      </c>
      <c r="X9" s="703"/>
      <c r="Y9" s="367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67"/>
      <c r="Q10" s="1343"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67"/>
      <c r="Q11" s="1343" t="str">
        <f t="shared" si="6"/>
        <v>容积率</v>
      </c>
      <c r="R11" s="701" t="s">
        <v>14</v>
      </c>
      <c r="S11" s="702">
        <f t="shared" si="0"/>
        <v>100</v>
      </c>
      <c r="T11" s="701" t="s">
        <v>14</v>
      </c>
      <c r="U11" s="702">
        <f t="shared" si="1"/>
        <v>100</v>
      </c>
      <c r="V11" s="701" t="s">
        <v>14</v>
      </c>
      <c r="W11" s="702">
        <f t="shared" si="2"/>
        <v>100</v>
      </c>
      <c r="X11" s="703"/>
      <c r="Y11" s="367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67"/>
      <c r="Q12" s="1343">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67"/>
      <c r="Q13" s="1343">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67"/>
      <c r="Q14" s="1343">
        <f t="shared" si="6"/>
        <v>111</v>
      </c>
      <c r="R14" s="701" t="s">
        <v>14</v>
      </c>
      <c r="S14" s="702">
        <f t="shared" si="0"/>
        <v>100</v>
      </c>
      <c r="T14" s="701" t="s">
        <v>14</v>
      </c>
      <c r="U14" s="702">
        <f t="shared" si="1"/>
        <v>100</v>
      </c>
      <c r="V14" s="701" t="s">
        <v>14</v>
      </c>
      <c r="W14" s="702">
        <f t="shared" si="2"/>
        <v>100</v>
      </c>
      <c r="X14" s="703"/>
      <c r="Y14" s="367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69" t="s">
        <v>1691</v>
      </c>
      <c r="Q15" s="1352" t="str">
        <f t="shared" si="6"/>
        <v>产业集聚程度</v>
      </c>
      <c r="R15" s="705" t="s">
        <v>14</v>
      </c>
      <c r="S15" s="706">
        <f t="shared" si="0"/>
        <v>100</v>
      </c>
      <c r="T15" s="705" t="s">
        <v>14</v>
      </c>
      <c r="U15" s="706">
        <f t="shared" si="1"/>
        <v>100</v>
      </c>
      <c r="V15" s="705" t="s">
        <v>14</v>
      </c>
      <c r="W15" s="706">
        <f t="shared" si="2"/>
        <v>100</v>
      </c>
      <c r="X15" s="1355"/>
      <c r="Y15" s="376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70"/>
      <c r="Q16" s="1352"/>
      <c r="R16" s="705"/>
      <c r="S16" s="706"/>
      <c r="T16" s="705"/>
      <c r="U16" s="706"/>
      <c r="V16" s="705"/>
      <c r="W16" s="706"/>
      <c r="X16" s="1355"/>
      <c r="Y16" s="377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70"/>
      <c r="Q17" s="1352" t="str">
        <f>B17</f>
        <v>交通便捷度</v>
      </c>
      <c r="R17" s="705" t="s">
        <v>14</v>
      </c>
      <c r="S17" s="706">
        <f>F17</f>
        <v>100</v>
      </c>
      <c r="T17" s="705" t="s">
        <v>14</v>
      </c>
      <c r="U17" s="706">
        <f>H17</f>
        <v>100</v>
      </c>
      <c r="V17" s="705" t="s">
        <v>14</v>
      </c>
      <c r="W17" s="706">
        <f>J17</f>
        <v>100</v>
      </c>
      <c r="X17" s="1355"/>
      <c r="Y17" s="377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70"/>
      <c r="Q18" s="1352"/>
      <c r="R18" s="705"/>
      <c r="S18" s="706"/>
      <c r="T18" s="705"/>
      <c r="U18" s="706"/>
      <c r="V18" s="705"/>
      <c r="W18" s="706"/>
      <c r="X18" s="1355"/>
      <c r="Y18" s="377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70"/>
      <c r="Q19" s="1352" t="str">
        <f>B19</f>
        <v>公共配套设施</v>
      </c>
      <c r="R19" s="705" t="s">
        <v>14</v>
      </c>
      <c r="S19" s="706">
        <f>F19</f>
        <v>100</v>
      </c>
      <c r="T19" s="705" t="s">
        <v>14</v>
      </c>
      <c r="U19" s="706">
        <f>H19</f>
        <v>100</v>
      </c>
      <c r="V19" s="705" t="s">
        <v>14</v>
      </c>
      <c r="W19" s="706">
        <f>J19</f>
        <v>100</v>
      </c>
      <c r="X19" s="1355"/>
      <c r="Y19" s="377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70"/>
      <c r="Q20" s="1352"/>
      <c r="R20" s="705"/>
      <c r="S20" s="706"/>
      <c r="T20" s="705"/>
      <c r="U20" s="706"/>
      <c r="V20" s="705"/>
      <c r="W20" s="706"/>
      <c r="X20" s="1355"/>
      <c r="Y20" s="377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70"/>
      <c r="Q21" s="1352" t="str">
        <f>B21</f>
        <v>基础设施水平</v>
      </c>
      <c r="R21" s="705" t="s">
        <v>14</v>
      </c>
      <c r="S21" s="706">
        <f>F21</f>
        <v>100</v>
      </c>
      <c r="T21" s="705" t="s">
        <v>14</v>
      </c>
      <c r="U21" s="706">
        <f>H21</f>
        <v>100</v>
      </c>
      <c r="V21" s="705" t="s">
        <v>14</v>
      </c>
      <c r="W21" s="706">
        <f>J21</f>
        <v>100</v>
      </c>
      <c r="X21" s="1355"/>
      <c r="Y21" s="37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70"/>
      <c r="Q22" s="1352"/>
      <c r="R22" s="705"/>
      <c r="S22" s="706"/>
      <c r="T22" s="705"/>
      <c r="U22" s="706"/>
      <c r="V22" s="705"/>
      <c r="W22" s="706"/>
      <c r="X22" s="1355"/>
      <c r="Y22" s="377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70"/>
      <c r="Q23" s="1352" t="str">
        <f>B23</f>
        <v>环境质量</v>
      </c>
      <c r="R23" s="705" t="s">
        <v>14</v>
      </c>
      <c r="S23" s="706">
        <f>F23</f>
        <v>100</v>
      </c>
      <c r="T23" s="705" t="s">
        <v>14</v>
      </c>
      <c r="U23" s="706">
        <f>H23</f>
        <v>100</v>
      </c>
      <c r="V23" s="705" t="s">
        <v>14</v>
      </c>
      <c r="W23" s="706">
        <f>J23</f>
        <v>100</v>
      </c>
      <c r="X23" s="1355"/>
      <c r="Y23" s="377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70"/>
      <c r="Q24" s="1352"/>
      <c r="R24" s="705"/>
      <c r="S24" s="706"/>
      <c r="T24" s="705"/>
      <c r="U24" s="706"/>
      <c r="V24" s="705"/>
      <c r="W24" s="706"/>
      <c r="X24" s="1355"/>
      <c r="Y24" s="377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70"/>
      <c r="Q25" s="1352">
        <f>B25</f>
        <v>111</v>
      </c>
      <c r="R25" s="705" t="s">
        <v>14</v>
      </c>
      <c r="S25" s="706">
        <f>F25</f>
        <v>100</v>
      </c>
      <c r="T25" s="705" t="s">
        <v>14</v>
      </c>
      <c r="U25" s="706">
        <f>H25</f>
        <v>100</v>
      </c>
      <c r="V25" s="705" t="s">
        <v>14</v>
      </c>
      <c r="W25" s="706">
        <f>J25</f>
        <v>100</v>
      </c>
      <c r="X25" s="1355"/>
      <c r="Y25" s="377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70"/>
      <c r="Q26" s="1352">
        <f t="shared" ref="Q26:Q40" si="11">B26</f>
        <v>111</v>
      </c>
      <c r="R26" s="705" t="s">
        <v>14</v>
      </c>
      <c r="S26" s="706">
        <f>F26</f>
        <v>100</v>
      </c>
      <c r="T26" s="705" t="s">
        <v>14</v>
      </c>
      <c r="U26" s="706">
        <f>H26</f>
        <v>100</v>
      </c>
      <c r="V26" s="705" t="s">
        <v>14</v>
      </c>
      <c r="W26" s="706">
        <f>J26</f>
        <v>100</v>
      </c>
      <c r="X26" s="1355"/>
      <c r="Y26" s="377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70"/>
      <c r="Q27" s="1343">
        <f t="shared" si="11"/>
        <v>111</v>
      </c>
      <c r="R27" s="701" t="s">
        <v>14</v>
      </c>
      <c r="S27" s="702">
        <f>F27</f>
        <v>100</v>
      </c>
      <c r="T27" s="701" t="s">
        <v>14</v>
      </c>
      <c r="U27" s="702">
        <f>H27</f>
        <v>100</v>
      </c>
      <c r="V27" s="701" t="s">
        <v>14</v>
      </c>
      <c r="W27" s="702">
        <f>J27</f>
        <v>100</v>
      </c>
      <c r="X27" s="703"/>
      <c r="Y27" s="377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70"/>
      <c r="Q28" s="1352">
        <f t="shared" si="11"/>
        <v>111</v>
      </c>
      <c r="R28" s="705" t="s">
        <v>14</v>
      </c>
      <c r="S28" s="706">
        <f t="shared" ref="S28:S40" si="12">F28</f>
        <v>100</v>
      </c>
      <c r="T28" s="705" t="s">
        <v>14</v>
      </c>
      <c r="U28" s="706">
        <f t="shared" ref="U28:U40" si="13">H28</f>
        <v>100</v>
      </c>
      <c r="V28" s="705" t="s">
        <v>14</v>
      </c>
      <c r="W28" s="706">
        <f t="shared" ref="W28:W40" si="14">J28</f>
        <v>100</v>
      </c>
      <c r="X28" s="1355"/>
      <c r="Y28" s="377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93" t="s">
        <v>1696</v>
      </c>
      <c r="Q29" s="1352" t="str">
        <f t="shared" si="11"/>
        <v>建筑类型</v>
      </c>
      <c r="R29" s="705" t="s">
        <v>14</v>
      </c>
      <c r="S29" s="706">
        <f t="shared" si="12"/>
        <v>100</v>
      </c>
      <c r="T29" s="705" t="s">
        <v>14</v>
      </c>
      <c r="U29" s="706">
        <f t="shared" si="13"/>
        <v>100</v>
      </c>
      <c r="V29" s="705" t="s">
        <v>14</v>
      </c>
      <c r="W29" s="706">
        <f t="shared" si="14"/>
        <v>100</v>
      </c>
      <c r="X29" s="1355"/>
      <c r="Y29" s="377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74"/>
      <c r="Q30" s="707" t="str">
        <f t="shared" si="11"/>
        <v>项目建筑规模</v>
      </c>
      <c r="R30" s="708" t="s">
        <v>14</v>
      </c>
      <c r="S30" s="709" t="e">
        <f t="shared" si="12"/>
        <v>#N/A</v>
      </c>
      <c r="T30" s="708" t="s">
        <v>14</v>
      </c>
      <c r="U30" s="709" t="e">
        <f t="shared" si="13"/>
        <v>#N/A</v>
      </c>
      <c r="V30" s="708" t="s">
        <v>14</v>
      </c>
      <c r="W30" s="709" t="e">
        <f t="shared" si="14"/>
        <v>#N/A</v>
      </c>
      <c r="X30" s="710"/>
      <c r="Y30" s="377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74"/>
      <c r="Q31" s="1352" t="str">
        <f t="shared" si="11"/>
        <v>建筑结构</v>
      </c>
      <c r="R31" s="705" t="s">
        <v>14</v>
      </c>
      <c r="S31" s="706">
        <f t="shared" si="12"/>
        <v>100</v>
      </c>
      <c r="T31" s="705" t="s">
        <v>14</v>
      </c>
      <c r="U31" s="706">
        <f t="shared" si="13"/>
        <v>100</v>
      </c>
      <c r="V31" s="705" t="s">
        <v>14</v>
      </c>
      <c r="W31" s="706">
        <f t="shared" si="14"/>
        <v>100</v>
      </c>
      <c r="X31" s="1355"/>
      <c r="Y31" s="377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74"/>
      <c r="Q32" s="1352" t="str">
        <f t="shared" si="11"/>
        <v>公共部分装修</v>
      </c>
      <c r="R32" s="705" t="s">
        <v>14</v>
      </c>
      <c r="S32" s="706">
        <f t="shared" si="12"/>
        <v>100</v>
      </c>
      <c r="T32" s="705" t="s">
        <v>14</v>
      </c>
      <c r="U32" s="706">
        <f t="shared" si="13"/>
        <v>100</v>
      </c>
      <c r="V32" s="705" t="s">
        <v>14</v>
      </c>
      <c r="W32" s="706">
        <f t="shared" si="14"/>
        <v>100</v>
      </c>
      <c r="X32" s="1355"/>
      <c r="Y32" s="377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74"/>
      <c r="Q33" s="1352" t="str">
        <f t="shared" si="11"/>
        <v>成新度</v>
      </c>
      <c r="R33" s="705" t="s">
        <v>14</v>
      </c>
      <c r="S33" s="706" t="e">
        <f t="shared" si="12"/>
        <v>#N/A</v>
      </c>
      <c r="T33" s="705" t="s">
        <v>14</v>
      </c>
      <c r="U33" s="706" t="e">
        <f t="shared" si="13"/>
        <v>#N/A</v>
      </c>
      <c r="V33" s="705" t="s">
        <v>14</v>
      </c>
      <c r="W33" s="706" t="e">
        <f t="shared" si="14"/>
        <v>#N/A</v>
      </c>
      <c r="X33" s="1355"/>
      <c r="Y33" s="377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74"/>
      <c r="Q34" s="1343" t="str">
        <f t="shared" si="11"/>
        <v>物业管理</v>
      </c>
      <c r="R34" s="701" t="s">
        <v>14</v>
      </c>
      <c r="S34" s="702">
        <f t="shared" si="12"/>
        <v>100</v>
      </c>
      <c r="T34" s="701" t="s">
        <v>14</v>
      </c>
      <c r="U34" s="702">
        <f t="shared" si="13"/>
        <v>100</v>
      </c>
      <c r="V34" s="701" t="s">
        <v>14</v>
      </c>
      <c r="W34" s="702">
        <f t="shared" si="14"/>
        <v>100</v>
      </c>
      <c r="X34" s="703"/>
      <c r="Y34" s="377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74" t="s">
        <v>1696</v>
      </c>
      <c r="Q35" s="1352" t="str">
        <f t="shared" si="11"/>
        <v>市政基础设施</v>
      </c>
      <c r="R35" s="705" t="s">
        <v>14</v>
      </c>
      <c r="S35" s="706">
        <f t="shared" si="12"/>
        <v>100</v>
      </c>
      <c r="T35" s="705" t="s">
        <v>14</v>
      </c>
      <c r="U35" s="706">
        <f t="shared" si="13"/>
        <v>100</v>
      </c>
      <c r="V35" s="705" t="s">
        <v>14</v>
      </c>
      <c r="W35" s="706">
        <f t="shared" si="14"/>
        <v>100</v>
      </c>
      <c r="X35" s="1355"/>
      <c r="Y35" s="377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74"/>
      <c r="Q36" s="1352" t="str">
        <f t="shared" si="11"/>
        <v>内部装修</v>
      </c>
      <c r="R36" s="705" t="s">
        <v>14</v>
      </c>
      <c r="S36" s="706">
        <f t="shared" si="12"/>
        <v>100</v>
      </c>
      <c r="T36" s="705" t="s">
        <v>14</v>
      </c>
      <c r="U36" s="706">
        <f t="shared" si="13"/>
        <v>100</v>
      </c>
      <c r="V36" s="705" t="s">
        <v>14</v>
      </c>
      <c r="W36" s="706">
        <f t="shared" si="14"/>
        <v>100</v>
      </c>
      <c r="X36" s="1355"/>
      <c r="Y36" s="377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74"/>
      <c r="Q37" s="1352" t="str">
        <f t="shared" si="11"/>
        <v>内部装修状况</v>
      </c>
      <c r="R37" s="705" t="s">
        <v>14</v>
      </c>
      <c r="S37" s="706">
        <f t="shared" si="12"/>
        <v>100</v>
      </c>
      <c r="T37" s="705" t="s">
        <v>14</v>
      </c>
      <c r="U37" s="706">
        <f t="shared" si="13"/>
        <v>100</v>
      </c>
      <c r="V37" s="705" t="s">
        <v>14</v>
      </c>
      <c r="W37" s="706">
        <f t="shared" si="14"/>
        <v>100</v>
      </c>
      <c r="X37" s="1355"/>
      <c r="Y37" s="377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74"/>
      <c r="Q38" s="707">
        <f t="shared" si="11"/>
        <v>111</v>
      </c>
      <c r="R38" s="708" t="s">
        <v>14</v>
      </c>
      <c r="S38" s="709">
        <f t="shared" si="12"/>
        <v>100</v>
      </c>
      <c r="T38" s="708" t="s">
        <v>14</v>
      </c>
      <c r="U38" s="709">
        <f t="shared" si="13"/>
        <v>100</v>
      </c>
      <c r="V38" s="708" t="s">
        <v>14</v>
      </c>
      <c r="W38" s="709">
        <f t="shared" si="14"/>
        <v>100</v>
      </c>
      <c r="X38" s="710"/>
      <c r="Y38" s="377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74"/>
      <c r="Q39" s="1352">
        <f t="shared" si="11"/>
        <v>111</v>
      </c>
      <c r="R39" s="705" t="s">
        <v>14</v>
      </c>
      <c r="S39" s="706">
        <f t="shared" si="12"/>
        <v>100</v>
      </c>
      <c r="T39" s="705" t="s">
        <v>14</v>
      </c>
      <c r="U39" s="706">
        <f t="shared" si="13"/>
        <v>100</v>
      </c>
      <c r="V39" s="705" t="s">
        <v>14</v>
      </c>
      <c r="W39" s="706">
        <f t="shared" si="14"/>
        <v>100</v>
      </c>
      <c r="X39" s="1355"/>
      <c r="Y39" s="377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5"/>
      <c r="Q40" s="1352">
        <f t="shared" si="11"/>
        <v>111</v>
      </c>
      <c r="R40" s="705" t="s">
        <v>14</v>
      </c>
      <c r="S40" s="706">
        <f t="shared" si="12"/>
        <v>100</v>
      </c>
      <c r="T40" s="705" t="s">
        <v>14</v>
      </c>
      <c r="U40" s="706">
        <f t="shared" si="13"/>
        <v>100</v>
      </c>
      <c r="V40" s="705" t="s">
        <v>14</v>
      </c>
      <c r="W40" s="706">
        <f t="shared" si="14"/>
        <v>100</v>
      </c>
      <c r="X40" s="1355"/>
      <c r="Y40" s="377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67" t="str">
        <f>A41</f>
        <v>成交单价（元/平方米）</v>
      </c>
      <c r="Q41" s="3767"/>
      <c r="R41" s="3768">
        <f>E41</f>
        <v>0</v>
      </c>
      <c r="S41" s="3768"/>
      <c r="T41" s="3768">
        <f>G41</f>
        <v>0</v>
      </c>
      <c r="U41" s="3768"/>
      <c r="V41" s="3768">
        <f>I41</f>
        <v>0</v>
      </c>
      <c r="W41" s="376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67" t="str">
        <f>A42</f>
        <v>比较价值（元/平方米）</v>
      </c>
      <c r="Q42" s="3767"/>
      <c r="R42" s="3768" t="e">
        <f>IF(F1="售价",ROUND(PRODUCT(R41,AA7:AA40),0),ROUND(PRODUCT(R41,AA7:AA40),1))</f>
        <v>#DIV/0!</v>
      </c>
      <c r="S42" s="3768"/>
      <c r="T42" s="3768" t="e">
        <f>IF(F1="售价",ROUND(PRODUCT(T41,AB7:AB40),0),ROUND(PRODUCT(T41,AB7:AB40),1))</f>
        <v>#DIV/0!</v>
      </c>
      <c r="U42" s="3768"/>
      <c r="V42" s="3768" t="e">
        <f>IF(F1="售价",ROUND(PRODUCT(V41,AC7:AC40),0),ROUND(PRODUCT(V41,AC7:AC40),1))</f>
        <v>#DIV/0!</v>
      </c>
      <c r="W42" s="376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64" t="str">
        <f>A43</f>
        <v>估价对象XX用房的比较价值（楼面单价，元/平方米）</v>
      </c>
      <c r="Q43" s="3765"/>
      <c r="R43" s="3766" t="e">
        <f>IF(F1="售价",ROUND(IF(D42="简单平均",AVERAGE(R42:V42),R42*F42+T42*H42+V42*J42),0),ROUND(IF(D42="简单平均",AVERAGE(R42:V42),R42*F42+T42*H42+V42*J42),1))</f>
        <v>#DIV/0!</v>
      </c>
      <c r="S43" s="3766"/>
      <c r="T43" s="3766"/>
      <c r="U43" s="3766"/>
      <c r="V43" s="3766"/>
      <c r="W43" s="376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50" t="s">
        <v>1770</v>
      </c>
      <c r="D4" s="3751"/>
      <c r="E4" s="3752" t="s">
        <v>1771</v>
      </c>
      <c r="F4" s="3753"/>
      <c r="G4" s="3750" t="s">
        <v>1772</v>
      </c>
      <c r="H4" s="3751"/>
      <c r="I4" s="3750" t="s">
        <v>1773</v>
      </c>
      <c r="J4" s="3751"/>
      <c r="K4" s="559" t="s">
        <v>1774</v>
      </c>
      <c r="L4" s="2715"/>
      <c r="M4" s="2716"/>
      <c r="N4" s="2716"/>
      <c r="O4" s="2716"/>
      <c r="P4" s="3754" t="s">
        <v>1775</v>
      </c>
      <c r="Q4" s="3755"/>
      <c r="R4" s="3737" t="s">
        <v>1771</v>
      </c>
      <c r="S4" s="3738"/>
      <c r="T4" s="3737" t="s">
        <v>1772</v>
      </c>
      <c r="U4" s="3738"/>
      <c r="V4" s="3762" t="s">
        <v>1773</v>
      </c>
      <c r="W4" s="3762"/>
      <c r="X4" s="1355"/>
      <c r="Y4" s="3737" t="s">
        <v>1775</v>
      </c>
      <c r="Z4" s="3738"/>
      <c r="AA4" s="3732" t="s">
        <v>1771</v>
      </c>
      <c r="AB4" s="3733" t="s">
        <v>1772</v>
      </c>
      <c r="AC4" s="3732" t="s">
        <v>1773</v>
      </c>
    </row>
    <row r="5" spans="1:29" ht="15">
      <c r="A5" s="358"/>
      <c r="B5" s="359"/>
      <c r="C5" s="3743" t="s">
        <v>1673</v>
      </c>
      <c r="D5" s="3744"/>
      <c r="E5" s="3741" t="s">
        <v>1674</v>
      </c>
      <c r="F5" s="3742"/>
      <c r="G5" s="3743" t="s">
        <v>1675</v>
      </c>
      <c r="H5" s="3744"/>
      <c r="I5" s="3743" t="s">
        <v>1676</v>
      </c>
      <c r="J5" s="3744"/>
      <c r="K5" s="559"/>
      <c r="L5" s="2715"/>
      <c r="M5" s="2716"/>
      <c r="N5" s="2716"/>
      <c r="O5" s="2716"/>
      <c r="P5" s="3756"/>
      <c r="Q5" s="3757"/>
      <c r="R5" s="3739"/>
      <c r="S5" s="3740"/>
      <c r="T5" s="3739"/>
      <c r="U5" s="3740"/>
      <c r="V5" s="3762"/>
      <c r="W5" s="3762"/>
      <c r="X5" s="1355"/>
      <c r="Y5" s="3739"/>
      <c r="Z5" s="3740"/>
      <c r="AA5" s="3733"/>
      <c r="AB5" s="3733"/>
      <c r="AC5" s="3733"/>
    </row>
    <row r="6" spans="1:29" ht="15.75" thickBot="1">
      <c r="A6" s="360"/>
      <c r="B6" s="361"/>
      <c r="C6" s="3745" t="s">
        <v>1677</v>
      </c>
      <c r="D6" s="3746"/>
      <c r="E6" s="3747" t="s">
        <v>1677</v>
      </c>
      <c r="F6" s="3748"/>
      <c r="G6" s="3745" t="s">
        <v>1677</v>
      </c>
      <c r="H6" s="3746"/>
      <c r="I6" s="3745" t="s">
        <v>1677</v>
      </c>
      <c r="J6" s="3746"/>
      <c r="K6" s="559" t="s">
        <v>1678</v>
      </c>
      <c r="L6" s="2715"/>
      <c r="M6" s="2716"/>
      <c r="N6" s="2716"/>
      <c r="O6" s="2716"/>
      <c r="P6" s="3758"/>
      <c r="Q6" s="3759"/>
      <c r="R6" s="3739"/>
      <c r="S6" s="3740"/>
      <c r="T6" s="3760"/>
      <c r="U6" s="3761"/>
      <c r="V6" s="3762"/>
      <c r="W6" s="3762"/>
      <c r="X6" s="1355"/>
      <c r="Y6" s="3760"/>
      <c r="Z6" s="3761"/>
      <c r="AA6" s="3734"/>
      <c r="AB6" s="3734"/>
      <c r="AC6" s="3734"/>
    </row>
    <row r="7" spans="1:29" s="108" customFormat="1" ht="15.75" thickBot="1">
      <c r="A7" s="362" t="s">
        <v>1679</v>
      </c>
      <c r="B7" s="363"/>
      <c r="C7" s="364">
        <f>'数据-取费表'!B2</f>
        <v>45183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5" t="s">
        <v>1680</v>
      </c>
      <c r="Q7" s="3763"/>
      <c r="R7" s="701" t="s">
        <v>14</v>
      </c>
      <c r="S7" s="702">
        <f t="shared" ref="S7:S14" si="0">F7</f>
        <v>0</v>
      </c>
      <c r="T7" s="701" t="s">
        <v>14</v>
      </c>
      <c r="U7" s="702">
        <f t="shared" ref="U7:U14" si="1">H7</f>
        <v>0</v>
      </c>
      <c r="V7" s="701" t="s">
        <v>14</v>
      </c>
      <c r="W7" s="702">
        <f t="shared" ref="W7:W14"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5" t="s">
        <v>1683</v>
      </c>
      <c r="Q8" s="3736"/>
      <c r="R8" s="701" t="s">
        <v>14</v>
      </c>
      <c r="S8" s="702">
        <f t="shared" si="0"/>
        <v>100</v>
      </c>
      <c r="T8" s="701" t="s">
        <v>14</v>
      </c>
      <c r="U8" s="702">
        <f t="shared" si="1"/>
        <v>100</v>
      </c>
      <c r="V8" s="701" t="s">
        <v>14</v>
      </c>
      <c r="W8" s="702">
        <f t="shared" si="2"/>
        <v>100</v>
      </c>
      <c r="X8" s="703"/>
      <c r="Y8" s="3735" t="s">
        <v>1683</v>
      </c>
      <c r="Z8" s="373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67" t="s">
        <v>1686</v>
      </c>
      <c r="Q9" s="1343" t="str">
        <f t="shared" ref="Q9:Q14" si="6">B9</f>
        <v>用途</v>
      </c>
      <c r="R9" s="701" t="s">
        <v>14</v>
      </c>
      <c r="S9" s="702">
        <f t="shared" si="0"/>
        <v>100</v>
      </c>
      <c r="T9" s="701" t="s">
        <v>14</v>
      </c>
      <c r="U9" s="702">
        <f t="shared" si="1"/>
        <v>100</v>
      </c>
      <c r="V9" s="701" t="s">
        <v>14</v>
      </c>
      <c r="W9" s="702">
        <f t="shared" si="2"/>
        <v>100</v>
      </c>
      <c r="X9" s="703"/>
      <c r="Y9" s="367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67"/>
      <c r="Q10" s="1343"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67"/>
      <c r="Q11" s="1343">
        <f t="shared" si="6"/>
        <v>111</v>
      </c>
      <c r="R11" s="701" t="s">
        <v>14</v>
      </c>
      <c r="S11" s="702">
        <f t="shared" si="0"/>
        <v>100</v>
      </c>
      <c r="T11" s="701" t="s">
        <v>14</v>
      </c>
      <c r="U11" s="702">
        <f t="shared" si="1"/>
        <v>100</v>
      </c>
      <c r="V11" s="701" t="s">
        <v>14</v>
      </c>
      <c r="W11" s="702">
        <f t="shared" si="2"/>
        <v>100</v>
      </c>
      <c r="X11" s="703"/>
      <c r="Y11" s="367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67"/>
      <c r="Q12" s="1343">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67"/>
      <c r="Q13" s="1343">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69" t="s">
        <v>1691</v>
      </c>
      <c r="Q14" s="1352" t="str">
        <f t="shared" si="6"/>
        <v>交通便捷度</v>
      </c>
      <c r="R14" s="705" t="s">
        <v>14</v>
      </c>
      <c r="S14" s="706">
        <f t="shared" si="0"/>
        <v>100</v>
      </c>
      <c r="T14" s="705" t="s">
        <v>14</v>
      </c>
      <c r="U14" s="706">
        <f t="shared" si="1"/>
        <v>100</v>
      </c>
      <c r="V14" s="705" t="s">
        <v>14</v>
      </c>
      <c r="W14" s="706">
        <f t="shared" si="2"/>
        <v>100</v>
      </c>
      <c r="X14" s="1355"/>
      <c r="Y14" s="376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70"/>
      <c r="Q15" s="1352"/>
      <c r="R15" s="705"/>
      <c r="S15" s="706"/>
      <c r="T15" s="705"/>
      <c r="U15" s="706"/>
      <c r="V15" s="705"/>
      <c r="W15" s="706"/>
      <c r="X15" s="1355"/>
      <c r="Y15" s="377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70"/>
      <c r="Q16" s="1352" t="str">
        <f>B16</f>
        <v>公共配套设施</v>
      </c>
      <c r="R16" s="705" t="s">
        <v>14</v>
      </c>
      <c r="S16" s="706">
        <f>F16</f>
        <v>100</v>
      </c>
      <c r="T16" s="705" t="s">
        <v>14</v>
      </c>
      <c r="U16" s="706">
        <f>H16</f>
        <v>100</v>
      </c>
      <c r="V16" s="705" t="s">
        <v>14</v>
      </c>
      <c r="W16" s="706">
        <f>J16</f>
        <v>100</v>
      </c>
      <c r="X16" s="1355"/>
      <c r="Y16" s="377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70"/>
      <c r="Q17" s="1352"/>
      <c r="R17" s="705"/>
      <c r="S17" s="706"/>
      <c r="T17" s="705"/>
      <c r="U17" s="706"/>
      <c r="V17" s="705"/>
      <c r="W17" s="706"/>
      <c r="X17" s="1355"/>
      <c r="Y17" s="377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70"/>
      <c r="Q18" s="1352" t="str">
        <f>B18</f>
        <v>基础设施水平</v>
      </c>
      <c r="R18" s="705" t="s">
        <v>14</v>
      </c>
      <c r="S18" s="706">
        <f>F18</f>
        <v>100</v>
      </c>
      <c r="T18" s="705" t="s">
        <v>14</v>
      </c>
      <c r="U18" s="706">
        <f>H18</f>
        <v>100</v>
      </c>
      <c r="V18" s="705" t="s">
        <v>14</v>
      </c>
      <c r="W18" s="706">
        <f>J18</f>
        <v>100</v>
      </c>
      <c r="X18" s="1355"/>
      <c r="Y18" s="377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70"/>
      <c r="Q19" s="1352"/>
      <c r="R19" s="705"/>
      <c r="S19" s="706"/>
      <c r="T19" s="705"/>
      <c r="U19" s="706"/>
      <c r="V19" s="705"/>
      <c r="W19" s="706"/>
      <c r="X19" s="1355"/>
      <c r="Y19" s="377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70"/>
      <c r="Q20" s="1352" t="str">
        <f>B20</f>
        <v>自然及人文环境</v>
      </c>
      <c r="R20" s="705" t="s">
        <v>14</v>
      </c>
      <c r="S20" s="706">
        <f>F20</f>
        <v>100</v>
      </c>
      <c r="T20" s="705" t="s">
        <v>14</v>
      </c>
      <c r="U20" s="706">
        <f>H20</f>
        <v>100</v>
      </c>
      <c r="V20" s="705" t="s">
        <v>14</v>
      </c>
      <c r="W20" s="706">
        <f>J20</f>
        <v>100</v>
      </c>
      <c r="X20" s="1355"/>
      <c r="Y20" s="377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70"/>
      <c r="Q21" s="1352"/>
      <c r="R21" s="705"/>
      <c r="S21" s="706"/>
      <c r="T21" s="705"/>
      <c r="U21" s="706"/>
      <c r="V21" s="705"/>
      <c r="W21" s="706"/>
      <c r="X21" s="1355"/>
      <c r="Y21" s="377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70"/>
      <c r="Q22" s="1352" t="str">
        <f>B22</f>
        <v>楼层</v>
      </c>
      <c r="R22" s="705" t="s">
        <v>14</v>
      </c>
      <c r="S22" s="706">
        <f>F22</f>
        <v>100</v>
      </c>
      <c r="T22" s="705" t="s">
        <v>14</v>
      </c>
      <c r="U22" s="706">
        <f>H22</f>
        <v>100</v>
      </c>
      <c r="V22" s="705" t="s">
        <v>14</v>
      </c>
      <c r="W22" s="706">
        <f>J22</f>
        <v>100</v>
      </c>
      <c r="X22" s="1355"/>
      <c r="Y22" s="377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70"/>
      <c r="Q23" s="1352">
        <f>B23</f>
        <v>111</v>
      </c>
      <c r="R23" s="705" t="s">
        <v>14</v>
      </c>
      <c r="S23" s="706">
        <f>F23</f>
        <v>100</v>
      </c>
      <c r="T23" s="705" t="s">
        <v>14</v>
      </c>
      <c r="U23" s="706">
        <f>H23</f>
        <v>100</v>
      </c>
      <c r="V23" s="705" t="s">
        <v>14</v>
      </c>
      <c r="W23" s="706">
        <f>J23</f>
        <v>100</v>
      </c>
      <c r="X23" s="1355"/>
      <c r="Y23" s="377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70"/>
      <c r="Q24" s="1352">
        <f t="shared" ref="Q24:Q36" si="11">B24</f>
        <v>111</v>
      </c>
      <c r="R24" s="705" t="s">
        <v>14</v>
      </c>
      <c r="S24" s="706">
        <f>F24</f>
        <v>100</v>
      </c>
      <c r="T24" s="705" t="s">
        <v>14</v>
      </c>
      <c r="U24" s="706">
        <f>H24</f>
        <v>100</v>
      </c>
      <c r="V24" s="705" t="s">
        <v>14</v>
      </c>
      <c r="W24" s="706">
        <f>J24</f>
        <v>100</v>
      </c>
      <c r="X24" s="1355"/>
      <c r="Y24" s="377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70"/>
      <c r="Q25" s="1343">
        <f t="shared" si="11"/>
        <v>111</v>
      </c>
      <c r="R25" s="701" t="s">
        <v>14</v>
      </c>
      <c r="S25" s="702">
        <f>F25</f>
        <v>100</v>
      </c>
      <c r="T25" s="701" t="s">
        <v>14</v>
      </c>
      <c r="U25" s="702">
        <f>H25</f>
        <v>100</v>
      </c>
      <c r="V25" s="701" t="s">
        <v>14</v>
      </c>
      <c r="W25" s="702">
        <f>J25</f>
        <v>100</v>
      </c>
      <c r="X25" s="703"/>
      <c r="Y25" s="377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9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7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74"/>
      <c r="Q27" s="707" t="str">
        <f t="shared" si="11"/>
        <v>项目停车位配比</v>
      </c>
      <c r="R27" s="708" t="s">
        <v>14</v>
      </c>
      <c r="S27" s="709">
        <f t="shared" si="12"/>
        <v>100</v>
      </c>
      <c r="T27" s="708" t="s">
        <v>14</v>
      </c>
      <c r="U27" s="709">
        <f t="shared" si="13"/>
        <v>100</v>
      </c>
      <c r="V27" s="708" t="s">
        <v>14</v>
      </c>
      <c r="W27" s="709">
        <f t="shared" si="14"/>
        <v>100</v>
      </c>
      <c r="X27" s="710"/>
      <c r="Y27" s="377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74"/>
      <c r="Q28" s="1352" t="str">
        <f t="shared" si="11"/>
        <v>公共部分装修</v>
      </c>
      <c r="R28" s="705" t="s">
        <v>14</v>
      </c>
      <c r="S28" s="706">
        <f t="shared" si="12"/>
        <v>100</v>
      </c>
      <c r="T28" s="705" t="s">
        <v>14</v>
      </c>
      <c r="U28" s="706">
        <f t="shared" si="13"/>
        <v>100</v>
      </c>
      <c r="V28" s="705" t="s">
        <v>14</v>
      </c>
      <c r="W28" s="706">
        <f t="shared" si="14"/>
        <v>100</v>
      </c>
      <c r="X28" s="1355"/>
      <c r="Y28" s="377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74"/>
      <c r="Q29" s="1352" t="str">
        <f t="shared" si="11"/>
        <v>成新率</v>
      </c>
      <c r="R29" s="705" t="s">
        <v>14</v>
      </c>
      <c r="S29" s="706" t="e">
        <f t="shared" si="12"/>
        <v>#N/A</v>
      </c>
      <c r="T29" s="705" t="s">
        <v>14</v>
      </c>
      <c r="U29" s="706" t="e">
        <f t="shared" si="13"/>
        <v>#N/A</v>
      </c>
      <c r="V29" s="705" t="s">
        <v>14</v>
      </c>
      <c r="W29" s="706" t="e">
        <f t="shared" si="14"/>
        <v>#N/A</v>
      </c>
      <c r="X29" s="1355"/>
      <c r="Y29" s="377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74"/>
      <c r="Q30" s="1352" t="str">
        <f t="shared" si="11"/>
        <v>物业等级</v>
      </c>
      <c r="R30" s="705" t="s">
        <v>14</v>
      </c>
      <c r="S30" s="706">
        <f t="shared" si="12"/>
        <v>100</v>
      </c>
      <c r="T30" s="705" t="s">
        <v>14</v>
      </c>
      <c r="U30" s="706">
        <f t="shared" si="13"/>
        <v>100</v>
      </c>
      <c r="V30" s="705" t="s">
        <v>14</v>
      </c>
      <c r="W30" s="706">
        <f t="shared" si="14"/>
        <v>100</v>
      </c>
      <c r="X30" s="1355"/>
      <c r="Y30" s="377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74"/>
      <c r="Q31" s="1343" t="str">
        <f t="shared" si="11"/>
        <v>停车位面积</v>
      </c>
      <c r="R31" s="701" t="s">
        <v>14</v>
      </c>
      <c r="S31" s="702" t="e">
        <f t="shared" si="12"/>
        <v>#N/A</v>
      </c>
      <c r="T31" s="701" t="s">
        <v>14</v>
      </c>
      <c r="U31" s="702" t="e">
        <f t="shared" si="13"/>
        <v>#N/A</v>
      </c>
      <c r="V31" s="701" t="s">
        <v>14</v>
      </c>
      <c r="W31" s="702" t="e">
        <f t="shared" si="14"/>
        <v>#N/A</v>
      </c>
      <c r="X31" s="703"/>
      <c r="Y31" s="377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74" t="s">
        <v>1696</v>
      </c>
      <c r="Q32" s="1352" t="str">
        <f t="shared" si="11"/>
        <v>车位类型</v>
      </c>
      <c r="R32" s="705" t="s">
        <v>14</v>
      </c>
      <c r="S32" s="706">
        <f t="shared" si="12"/>
        <v>100</v>
      </c>
      <c r="T32" s="705" t="s">
        <v>14</v>
      </c>
      <c r="U32" s="706">
        <f t="shared" si="13"/>
        <v>100</v>
      </c>
      <c r="V32" s="705" t="s">
        <v>14</v>
      </c>
      <c r="W32" s="706">
        <f t="shared" si="14"/>
        <v>100</v>
      </c>
      <c r="X32" s="1355"/>
      <c r="Y32" s="377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74"/>
      <c r="Q33" s="1352" t="str">
        <f t="shared" si="11"/>
        <v>是否直接入户</v>
      </c>
      <c r="R33" s="705" t="s">
        <v>14</v>
      </c>
      <c r="S33" s="706">
        <f t="shared" si="12"/>
        <v>100</v>
      </c>
      <c r="T33" s="705" t="s">
        <v>14</v>
      </c>
      <c r="U33" s="706">
        <f t="shared" si="13"/>
        <v>100</v>
      </c>
      <c r="V33" s="705" t="s">
        <v>14</v>
      </c>
      <c r="W33" s="706">
        <f t="shared" si="14"/>
        <v>100</v>
      </c>
      <c r="X33" s="1355"/>
      <c r="Y33" s="377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74"/>
      <c r="Q34" s="1352">
        <f t="shared" si="11"/>
        <v>111</v>
      </c>
      <c r="R34" s="705" t="s">
        <v>14</v>
      </c>
      <c r="S34" s="706">
        <f t="shared" si="12"/>
        <v>100</v>
      </c>
      <c r="T34" s="705" t="s">
        <v>14</v>
      </c>
      <c r="U34" s="706">
        <f t="shared" si="13"/>
        <v>100</v>
      </c>
      <c r="V34" s="705" t="s">
        <v>14</v>
      </c>
      <c r="W34" s="706">
        <f t="shared" si="14"/>
        <v>100</v>
      </c>
      <c r="X34" s="1355"/>
      <c r="Y34" s="377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74"/>
      <c r="Q35" s="707">
        <f t="shared" si="11"/>
        <v>111</v>
      </c>
      <c r="R35" s="708" t="s">
        <v>14</v>
      </c>
      <c r="S35" s="709">
        <f t="shared" si="12"/>
        <v>100</v>
      </c>
      <c r="T35" s="708" t="s">
        <v>14</v>
      </c>
      <c r="U35" s="709">
        <f t="shared" si="13"/>
        <v>100</v>
      </c>
      <c r="V35" s="708" t="s">
        <v>14</v>
      </c>
      <c r="W35" s="709">
        <f t="shared" si="14"/>
        <v>100</v>
      </c>
      <c r="X35" s="710"/>
      <c r="Y35" s="377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74"/>
      <c r="Q36" s="1352">
        <f t="shared" si="11"/>
        <v>111</v>
      </c>
      <c r="R36" s="705" t="s">
        <v>14</v>
      </c>
      <c r="S36" s="706">
        <f t="shared" si="12"/>
        <v>100</v>
      </c>
      <c r="T36" s="705" t="s">
        <v>14</v>
      </c>
      <c r="U36" s="706">
        <f t="shared" si="13"/>
        <v>100</v>
      </c>
      <c r="V36" s="705" t="s">
        <v>14</v>
      </c>
      <c r="W36" s="706">
        <f t="shared" si="14"/>
        <v>100</v>
      </c>
      <c r="X36" s="1355"/>
      <c r="Y36" s="3774"/>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67" t="str">
        <f>A37</f>
        <v>成交单价</v>
      </c>
      <c r="Q37" s="3767"/>
      <c r="R37" s="3768">
        <f>E37</f>
        <v>0</v>
      </c>
      <c r="S37" s="3768"/>
      <c r="T37" s="3768">
        <f>G37</f>
        <v>0</v>
      </c>
      <c r="U37" s="3768"/>
      <c r="V37" s="3768">
        <f>I37</f>
        <v>0</v>
      </c>
      <c r="W37" s="376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67" t="str">
        <f>A38</f>
        <v>比较价值（元/平方米）</v>
      </c>
      <c r="Q38" s="3767"/>
      <c r="R38" s="3768" t="e">
        <f>IF(F1="售价",ROUND(PRODUCT(R37,AA7:AA36),0),ROUND(PRODUCT(R37,AA7:AA36),1))</f>
        <v>#DIV/0!</v>
      </c>
      <c r="S38" s="3768"/>
      <c r="T38" s="3768" t="e">
        <f>IF(F1="售价",ROUND(PRODUCT(T37,AB7:AB36),0),ROUND(PRODUCT(T37,AB7:AB36),1))</f>
        <v>#DIV/0!</v>
      </c>
      <c r="U38" s="3768"/>
      <c r="V38" s="3768" t="e">
        <f>IF(F1="售价",ROUND(PRODUCT(V37,AC7:AC36),0),ROUND(PRODUCT(V37,AC7:AC36),1))</f>
        <v>#DIV/0!</v>
      </c>
      <c r="W38" s="376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64" t="str">
        <f>A39</f>
        <v>估价对象XX用房的比较价值（楼面单价，元/平方米）</v>
      </c>
      <c r="Q39" s="3765"/>
      <c r="R39" s="3794" t="e">
        <f>IF(F1="售价",ROUND(IF(D38="简单平均",AVERAGE(R38:W38),R38*F38+T38*H38+V38*J38),0),ROUND(IF(D38="简单平均",AVERAGE(R38:V38),R38*F38+T38*H38+V38*J38),1))</f>
        <v>#DIV/0!</v>
      </c>
      <c r="S39" s="3794"/>
      <c r="T39" s="3794"/>
      <c r="U39" s="3794"/>
      <c r="V39" s="3794"/>
      <c r="W39" s="379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50" t="s">
        <v>1770</v>
      </c>
      <c r="D4" s="3751"/>
      <c r="E4" s="3752" t="s">
        <v>1771</v>
      </c>
      <c r="F4" s="3753"/>
      <c r="G4" s="3750" t="s">
        <v>1772</v>
      </c>
      <c r="H4" s="3751"/>
      <c r="I4" s="3750" t="s">
        <v>1773</v>
      </c>
      <c r="J4" s="3751"/>
      <c r="K4" s="559" t="s">
        <v>1774</v>
      </c>
      <c r="L4" s="2715"/>
      <c r="M4" s="2716"/>
      <c r="N4" s="2716"/>
      <c r="O4" s="2716"/>
      <c r="P4" s="3754" t="s">
        <v>1775</v>
      </c>
      <c r="Q4" s="3755"/>
      <c r="R4" s="3737" t="s">
        <v>1771</v>
      </c>
      <c r="S4" s="3738"/>
      <c r="T4" s="3737" t="s">
        <v>1772</v>
      </c>
      <c r="U4" s="3738"/>
      <c r="V4" s="3762" t="s">
        <v>1773</v>
      </c>
      <c r="W4" s="3762"/>
      <c r="X4" s="1355"/>
      <c r="Y4" s="3737" t="s">
        <v>1775</v>
      </c>
      <c r="Z4" s="3738"/>
      <c r="AA4" s="3732" t="s">
        <v>1771</v>
      </c>
      <c r="AB4" s="3733" t="s">
        <v>1772</v>
      </c>
      <c r="AC4" s="3732" t="s">
        <v>1773</v>
      </c>
    </row>
    <row r="5" spans="1:29" ht="15">
      <c r="A5" s="358"/>
      <c r="B5" s="359"/>
      <c r="C5" s="3743" t="s">
        <v>1673</v>
      </c>
      <c r="D5" s="3744"/>
      <c r="E5" s="3741" t="s">
        <v>1674</v>
      </c>
      <c r="F5" s="3742"/>
      <c r="G5" s="3743" t="s">
        <v>1675</v>
      </c>
      <c r="H5" s="3744"/>
      <c r="I5" s="3743" t="s">
        <v>1676</v>
      </c>
      <c r="J5" s="3744"/>
      <c r="K5" s="559"/>
      <c r="L5" s="2715"/>
      <c r="M5" s="2716"/>
      <c r="N5" s="2716"/>
      <c r="O5" s="2716"/>
      <c r="P5" s="3756"/>
      <c r="Q5" s="3757"/>
      <c r="R5" s="3739"/>
      <c r="S5" s="3740"/>
      <c r="T5" s="3739"/>
      <c r="U5" s="3740"/>
      <c r="V5" s="3762"/>
      <c r="W5" s="3762"/>
      <c r="X5" s="1355"/>
      <c r="Y5" s="3739"/>
      <c r="Z5" s="3740"/>
      <c r="AA5" s="3733"/>
      <c r="AB5" s="3733"/>
      <c r="AC5" s="3733"/>
    </row>
    <row r="6" spans="1:29" ht="15.75" thickBot="1">
      <c r="A6" s="360"/>
      <c r="B6" s="361"/>
      <c r="C6" s="3745" t="s">
        <v>1677</v>
      </c>
      <c r="D6" s="3746"/>
      <c r="E6" s="3747" t="s">
        <v>1677</v>
      </c>
      <c r="F6" s="3748"/>
      <c r="G6" s="3745" t="s">
        <v>1677</v>
      </c>
      <c r="H6" s="3746"/>
      <c r="I6" s="3745" t="s">
        <v>1677</v>
      </c>
      <c r="J6" s="3746"/>
      <c r="K6" s="559" t="s">
        <v>1678</v>
      </c>
      <c r="L6" s="2715"/>
      <c r="M6" s="2716"/>
      <c r="N6" s="2716"/>
      <c r="O6" s="2716"/>
      <c r="P6" s="3758"/>
      <c r="Q6" s="3759"/>
      <c r="R6" s="3739"/>
      <c r="S6" s="3740"/>
      <c r="T6" s="3760"/>
      <c r="U6" s="3761"/>
      <c r="V6" s="3762"/>
      <c r="W6" s="3762"/>
      <c r="X6" s="1355"/>
      <c r="Y6" s="3760"/>
      <c r="Z6" s="3761"/>
      <c r="AA6" s="3734"/>
      <c r="AB6" s="3734"/>
      <c r="AC6" s="3734"/>
    </row>
    <row r="7" spans="1:29" s="108" customFormat="1" ht="15.75" thickBot="1">
      <c r="A7" s="362" t="s">
        <v>1679</v>
      </c>
      <c r="B7" s="363"/>
      <c r="C7" s="364">
        <f>'数据-取费表'!B2</f>
        <v>45183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5" t="s">
        <v>1680</v>
      </c>
      <c r="Q7" s="3763"/>
      <c r="R7" s="701" t="s">
        <v>14</v>
      </c>
      <c r="S7" s="702">
        <f t="shared" ref="S7:S14" si="0">F7</f>
        <v>0</v>
      </c>
      <c r="T7" s="701" t="s">
        <v>14</v>
      </c>
      <c r="U7" s="702">
        <f t="shared" ref="U7:U14" si="1">H7</f>
        <v>0</v>
      </c>
      <c r="V7" s="701" t="s">
        <v>14</v>
      </c>
      <c r="W7" s="702">
        <f t="shared" ref="W7:W14"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5" t="s">
        <v>1683</v>
      </c>
      <c r="Q8" s="3736"/>
      <c r="R8" s="701" t="s">
        <v>14</v>
      </c>
      <c r="S8" s="702">
        <f t="shared" si="0"/>
        <v>100</v>
      </c>
      <c r="T8" s="701" t="s">
        <v>14</v>
      </c>
      <c r="U8" s="702">
        <f t="shared" si="1"/>
        <v>100</v>
      </c>
      <c r="V8" s="701" t="s">
        <v>14</v>
      </c>
      <c r="W8" s="702">
        <f t="shared" si="2"/>
        <v>100</v>
      </c>
      <c r="X8" s="703"/>
      <c r="Y8" s="3735" t="s">
        <v>1683</v>
      </c>
      <c r="Z8" s="373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67" t="s">
        <v>1686</v>
      </c>
      <c r="Q9" s="1343" t="str">
        <f t="shared" ref="Q9:Q14" si="6">B9</f>
        <v>用途</v>
      </c>
      <c r="R9" s="701" t="s">
        <v>14</v>
      </c>
      <c r="S9" s="702">
        <f t="shared" si="0"/>
        <v>100</v>
      </c>
      <c r="T9" s="701" t="s">
        <v>14</v>
      </c>
      <c r="U9" s="702">
        <f t="shared" si="1"/>
        <v>100</v>
      </c>
      <c r="V9" s="701" t="s">
        <v>14</v>
      </c>
      <c r="W9" s="702">
        <f t="shared" si="2"/>
        <v>100</v>
      </c>
      <c r="X9" s="703"/>
      <c r="Y9" s="367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67"/>
      <c r="Q10" s="1343"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67"/>
      <c r="Q11" s="1343">
        <f t="shared" si="6"/>
        <v>111</v>
      </c>
      <c r="R11" s="701" t="s">
        <v>14</v>
      </c>
      <c r="S11" s="702">
        <f t="shared" si="0"/>
        <v>100</v>
      </c>
      <c r="T11" s="701" t="s">
        <v>14</v>
      </c>
      <c r="U11" s="702">
        <f t="shared" si="1"/>
        <v>100</v>
      </c>
      <c r="V11" s="701" t="s">
        <v>14</v>
      </c>
      <c r="W11" s="702">
        <f t="shared" si="2"/>
        <v>100</v>
      </c>
      <c r="X11" s="703"/>
      <c r="Y11" s="367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67"/>
      <c r="Q12" s="1343">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67"/>
      <c r="Q13" s="1343">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69" t="s">
        <v>1691</v>
      </c>
      <c r="Q14" s="1352" t="str">
        <f t="shared" si="6"/>
        <v>交通便捷度</v>
      </c>
      <c r="R14" s="705" t="s">
        <v>14</v>
      </c>
      <c r="S14" s="706">
        <f t="shared" si="0"/>
        <v>100</v>
      </c>
      <c r="T14" s="705" t="s">
        <v>14</v>
      </c>
      <c r="U14" s="706">
        <f t="shared" si="1"/>
        <v>100</v>
      </c>
      <c r="V14" s="705" t="s">
        <v>14</v>
      </c>
      <c r="W14" s="706">
        <f t="shared" si="2"/>
        <v>100</v>
      </c>
      <c r="X14" s="1355"/>
      <c r="Y14" s="376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70"/>
      <c r="Q15" s="1352"/>
      <c r="R15" s="705"/>
      <c r="S15" s="706"/>
      <c r="T15" s="705"/>
      <c r="U15" s="706"/>
      <c r="V15" s="705"/>
      <c r="W15" s="706"/>
      <c r="X15" s="1355"/>
      <c r="Y15" s="377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70"/>
      <c r="Q16" s="1352" t="str">
        <f>B16</f>
        <v>公共配套设施</v>
      </c>
      <c r="R16" s="705" t="s">
        <v>14</v>
      </c>
      <c r="S16" s="706">
        <f>F16</f>
        <v>100</v>
      </c>
      <c r="T16" s="705" t="s">
        <v>14</v>
      </c>
      <c r="U16" s="706">
        <f>H16</f>
        <v>100</v>
      </c>
      <c r="V16" s="705" t="s">
        <v>14</v>
      </c>
      <c r="W16" s="706">
        <f>J16</f>
        <v>100</v>
      </c>
      <c r="X16" s="1355"/>
      <c r="Y16" s="377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70"/>
      <c r="Q17" s="1352"/>
      <c r="R17" s="705"/>
      <c r="S17" s="706"/>
      <c r="T17" s="705"/>
      <c r="U17" s="706"/>
      <c r="V17" s="705"/>
      <c r="W17" s="706"/>
      <c r="X17" s="1355"/>
      <c r="Y17" s="377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70"/>
      <c r="Q18" s="1352" t="str">
        <f>B18</f>
        <v>基础设施水平</v>
      </c>
      <c r="R18" s="705" t="s">
        <v>14</v>
      </c>
      <c r="S18" s="706">
        <f>F18</f>
        <v>100</v>
      </c>
      <c r="T18" s="705" t="s">
        <v>14</v>
      </c>
      <c r="U18" s="706">
        <f>H18</f>
        <v>100</v>
      </c>
      <c r="V18" s="705" t="s">
        <v>14</v>
      </c>
      <c r="W18" s="706">
        <f>J18</f>
        <v>100</v>
      </c>
      <c r="X18" s="1355"/>
      <c r="Y18" s="377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70"/>
      <c r="Q19" s="1352"/>
      <c r="R19" s="705"/>
      <c r="S19" s="706"/>
      <c r="T19" s="705"/>
      <c r="U19" s="706"/>
      <c r="V19" s="705"/>
      <c r="W19" s="706"/>
      <c r="X19" s="1355"/>
      <c r="Y19" s="377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70"/>
      <c r="Q20" s="1352" t="str">
        <f>B20</f>
        <v>自然及人文环境</v>
      </c>
      <c r="R20" s="705" t="s">
        <v>14</v>
      </c>
      <c r="S20" s="706">
        <f>F20</f>
        <v>100</v>
      </c>
      <c r="T20" s="705" t="s">
        <v>14</v>
      </c>
      <c r="U20" s="706">
        <f>H20</f>
        <v>100</v>
      </c>
      <c r="V20" s="705" t="s">
        <v>14</v>
      </c>
      <c r="W20" s="706">
        <f>J20</f>
        <v>100</v>
      </c>
      <c r="X20" s="1355"/>
      <c r="Y20" s="377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70"/>
      <c r="Q21" s="1352"/>
      <c r="R21" s="705"/>
      <c r="S21" s="706"/>
      <c r="T21" s="705"/>
      <c r="U21" s="706"/>
      <c r="V21" s="705"/>
      <c r="W21" s="706"/>
      <c r="X21" s="1355"/>
      <c r="Y21" s="377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70"/>
      <c r="Q22" s="1352" t="str">
        <f>B22</f>
        <v>楼层</v>
      </c>
      <c r="R22" s="705" t="s">
        <v>14</v>
      </c>
      <c r="S22" s="706">
        <f>F22</f>
        <v>100</v>
      </c>
      <c r="T22" s="705" t="s">
        <v>14</v>
      </c>
      <c r="U22" s="706">
        <f>H22</f>
        <v>100</v>
      </c>
      <c r="V22" s="705" t="s">
        <v>14</v>
      </c>
      <c r="W22" s="706">
        <f>J22</f>
        <v>100</v>
      </c>
      <c r="X22" s="1355"/>
      <c r="Y22" s="377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70"/>
      <c r="Q23" s="1352">
        <f>B23</f>
        <v>111</v>
      </c>
      <c r="R23" s="705" t="s">
        <v>14</v>
      </c>
      <c r="S23" s="706">
        <f>F23</f>
        <v>100</v>
      </c>
      <c r="T23" s="705" t="s">
        <v>14</v>
      </c>
      <c r="U23" s="706">
        <f>H23</f>
        <v>100</v>
      </c>
      <c r="V23" s="705" t="s">
        <v>14</v>
      </c>
      <c r="W23" s="706">
        <f>J23</f>
        <v>100</v>
      </c>
      <c r="X23" s="1355"/>
      <c r="Y23" s="377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70"/>
      <c r="Q24" s="1352">
        <f t="shared" ref="Q24:Q34" si="11">B24</f>
        <v>111</v>
      </c>
      <c r="R24" s="705" t="s">
        <v>14</v>
      </c>
      <c r="S24" s="706">
        <f>F24</f>
        <v>100</v>
      </c>
      <c r="T24" s="705" t="s">
        <v>14</v>
      </c>
      <c r="U24" s="706">
        <f>H24</f>
        <v>100</v>
      </c>
      <c r="V24" s="705" t="s">
        <v>14</v>
      </c>
      <c r="W24" s="706">
        <f>J24</f>
        <v>100</v>
      </c>
      <c r="X24" s="1355"/>
      <c r="Y24" s="377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70"/>
      <c r="Q25" s="1343">
        <f t="shared" si="11"/>
        <v>111</v>
      </c>
      <c r="R25" s="701" t="s">
        <v>14</v>
      </c>
      <c r="S25" s="702">
        <f>F25</f>
        <v>100</v>
      </c>
      <c r="T25" s="701" t="s">
        <v>14</v>
      </c>
      <c r="U25" s="702">
        <f>H25</f>
        <v>100</v>
      </c>
      <c r="V25" s="701" t="s">
        <v>14</v>
      </c>
      <c r="W25" s="702">
        <f>J25</f>
        <v>100</v>
      </c>
      <c r="X25" s="703"/>
      <c r="Y25" s="377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9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7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74"/>
      <c r="Q27" s="707" t="str">
        <f t="shared" si="11"/>
        <v>成新率</v>
      </c>
      <c r="R27" s="708" t="s">
        <v>14</v>
      </c>
      <c r="S27" s="709" t="e">
        <f t="shared" si="12"/>
        <v>#N/A</v>
      </c>
      <c r="T27" s="708" t="s">
        <v>14</v>
      </c>
      <c r="U27" s="709" t="e">
        <f t="shared" si="13"/>
        <v>#N/A</v>
      </c>
      <c r="V27" s="708" t="s">
        <v>14</v>
      </c>
      <c r="W27" s="709" t="e">
        <f t="shared" si="14"/>
        <v>#N/A</v>
      </c>
      <c r="X27" s="710"/>
      <c r="Y27" s="377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74"/>
      <c r="Q28" s="1352" t="str">
        <f t="shared" si="11"/>
        <v>物业等级</v>
      </c>
      <c r="R28" s="705" t="s">
        <v>14</v>
      </c>
      <c r="S28" s="706">
        <f t="shared" si="12"/>
        <v>100</v>
      </c>
      <c r="T28" s="705" t="s">
        <v>14</v>
      </c>
      <c r="U28" s="706">
        <f t="shared" si="13"/>
        <v>100</v>
      </c>
      <c r="V28" s="705" t="s">
        <v>14</v>
      </c>
      <c r="W28" s="706">
        <f t="shared" si="14"/>
        <v>100</v>
      </c>
      <c r="X28" s="1355"/>
      <c r="Y28" s="377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74"/>
      <c r="Q29" s="1352" t="str">
        <f t="shared" si="11"/>
        <v>有无电梯</v>
      </c>
      <c r="R29" s="705" t="s">
        <v>14</v>
      </c>
      <c r="S29" s="706">
        <f t="shared" si="12"/>
        <v>100</v>
      </c>
      <c r="T29" s="705" t="s">
        <v>14</v>
      </c>
      <c r="U29" s="706">
        <f t="shared" si="13"/>
        <v>100</v>
      </c>
      <c r="V29" s="705" t="s">
        <v>14</v>
      </c>
      <c r="W29" s="706">
        <f t="shared" si="14"/>
        <v>100</v>
      </c>
      <c r="X29" s="1355"/>
      <c r="Y29" s="377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74"/>
      <c r="Q30" s="1352" t="str">
        <f t="shared" si="11"/>
        <v>建筑面积</v>
      </c>
      <c r="R30" s="705" t="s">
        <v>14</v>
      </c>
      <c r="S30" s="706" t="e">
        <f t="shared" si="12"/>
        <v>#N/A</v>
      </c>
      <c r="T30" s="705" t="s">
        <v>14</v>
      </c>
      <c r="U30" s="706" t="e">
        <f t="shared" si="13"/>
        <v>#N/A</v>
      </c>
      <c r="V30" s="705" t="s">
        <v>14</v>
      </c>
      <c r="W30" s="706" t="e">
        <f t="shared" si="14"/>
        <v>#N/A</v>
      </c>
      <c r="X30" s="1355"/>
      <c r="Y30" s="377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74"/>
      <c r="Q31" s="1343" t="str">
        <f t="shared" si="11"/>
        <v>是否封闭</v>
      </c>
      <c r="R31" s="701" t="s">
        <v>14</v>
      </c>
      <c r="S31" s="702">
        <f t="shared" si="12"/>
        <v>100</v>
      </c>
      <c r="T31" s="701" t="s">
        <v>14</v>
      </c>
      <c r="U31" s="702">
        <f t="shared" si="13"/>
        <v>100</v>
      </c>
      <c r="V31" s="701" t="s">
        <v>14</v>
      </c>
      <c r="W31" s="702">
        <f t="shared" si="14"/>
        <v>100</v>
      </c>
      <c r="X31" s="703"/>
      <c r="Y31" s="377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74" t="s">
        <v>1696</v>
      </c>
      <c r="Q32" s="1352">
        <f t="shared" si="11"/>
        <v>111</v>
      </c>
      <c r="R32" s="705" t="s">
        <v>14</v>
      </c>
      <c r="S32" s="706">
        <f t="shared" si="12"/>
        <v>100</v>
      </c>
      <c r="T32" s="705" t="s">
        <v>14</v>
      </c>
      <c r="U32" s="706">
        <f t="shared" si="13"/>
        <v>100</v>
      </c>
      <c r="V32" s="705" t="s">
        <v>14</v>
      </c>
      <c r="W32" s="706">
        <f t="shared" si="14"/>
        <v>100</v>
      </c>
      <c r="X32" s="1355"/>
      <c r="Y32" s="377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74"/>
      <c r="Q33" s="1352">
        <f t="shared" si="11"/>
        <v>111</v>
      </c>
      <c r="R33" s="705" t="s">
        <v>14</v>
      </c>
      <c r="S33" s="706">
        <f t="shared" si="12"/>
        <v>100</v>
      </c>
      <c r="T33" s="705" t="s">
        <v>14</v>
      </c>
      <c r="U33" s="706">
        <f t="shared" si="13"/>
        <v>100</v>
      </c>
      <c r="V33" s="705" t="s">
        <v>14</v>
      </c>
      <c r="W33" s="706">
        <f t="shared" si="14"/>
        <v>100</v>
      </c>
      <c r="X33" s="1355"/>
      <c r="Y33" s="377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74"/>
      <c r="Q34" s="1352">
        <f t="shared" si="11"/>
        <v>111</v>
      </c>
      <c r="R34" s="705" t="s">
        <v>14</v>
      </c>
      <c r="S34" s="706">
        <f t="shared" si="12"/>
        <v>100</v>
      </c>
      <c r="T34" s="705" t="s">
        <v>14</v>
      </c>
      <c r="U34" s="706">
        <f t="shared" si="13"/>
        <v>100</v>
      </c>
      <c r="V34" s="705" t="s">
        <v>14</v>
      </c>
      <c r="W34" s="706">
        <f t="shared" si="14"/>
        <v>100</v>
      </c>
      <c r="X34" s="1355"/>
      <c r="Y34" s="377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67" t="str">
        <f>A35</f>
        <v>成交单价（元/平方米）</v>
      </c>
      <c r="Q35" s="3767"/>
      <c r="R35" s="3768">
        <f>E35</f>
        <v>0</v>
      </c>
      <c r="S35" s="3768"/>
      <c r="T35" s="3768">
        <f>G35</f>
        <v>0</v>
      </c>
      <c r="U35" s="3768"/>
      <c r="V35" s="3768">
        <f>I35</f>
        <v>0</v>
      </c>
      <c r="W35" s="376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67" t="str">
        <f>A36</f>
        <v>比较价值（元/平方米）</v>
      </c>
      <c r="Q36" s="3767"/>
      <c r="R36" s="3768" t="e">
        <f>IF(F1="售价",ROUND(PRODUCT(R35,AA7:AA34),0),ROUND(PRODUCT(R35,AA7:AA34),1))</f>
        <v>#DIV/0!</v>
      </c>
      <c r="S36" s="3768"/>
      <c r="T36" s="3768" t="e">
        <f>IF(F1="售价",ROUND(PRODUCT(T35,AB7:AB34),0),ROUND(PRODUCT(T35,AB7:AB34),1))</f>
        <v>#DIV/0!</v>
      </c>
      <c r="U36" s="3768"/>
      <c r="V36" s="3768" t="e">
        <f>IF(F1="售价",ROUND(PRODUCT(V35,AC7:AC34),0),ROUND(PRODUCT(V35,AC7:AC34),1))</f>
        <v>#DIV/0!</v>
      </c>
      <c r="W36" s="376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64" t="str">
        <f>A37</f>
        <v>估价对象XX用房的比较价值（楼面单价，元/平方米）</v>
      </c>
      <c r="Q37" s="3765"/>
      <c r="R37" s="3794" t="e">
        <f>IF(F1="售价",ROUND(IF(D36="简单平均",AVERAGE(R36:W36),R36*F36+T36*H36+V36*J36),0),ROUND(IF(D36="简单平均",AVERAGE(R36:V36),R36*F36+T36*H36+V36*J36),1))</f>
        <v>#DIV/0!</v>
      </c>
      <c r="S37" s="3794"/>
      <c r="T37" s="3794"/>
      <c r="U37" s="3794"/>
      <c r="V37" s="3794"/>
      <c r="W37" s="379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50" t="s">
        <v>1770</v>
      </c>
      <c r="D4" s="3751"/>
      <c r="E4" s="3752" t="s">
        <v>1771</v>
      </c>
      <c r="F4" s="3753"/>
      <c r="G4" s="3750" t="s">
        <v>1772</v>
      </c>
      <c r="H4" s="3751"/>
      <c r="I4" s="3750" t="s">
        <v>1773</v>
      </c>
      <c r="J4" s="3751"/>
      <c r="K4" s="559" t="s">
        <v>1774</v>
      </c>
      <c r="L4" s="2715"/>
      <c r="M4" s="2716"/>
      <c r="N4" s="2716"/>
      <c r="O4" s="2716"/>
      <c r="P4" s="3754" t="s">
        <v>1775</v>
      </c>
      <c r="Q4" s="3755"/>
      <c r="R4" s="3737" t="s">
        <v>1771</v>
      </c>
      <c r="S4" s="3738"/>
      <c r="T4" s="3737" t="s">
        <v>1772</v>
      </c>
      <c r="U4" s="3738"/>
      <c r="V4" s="3762" t="s">
        <v>1773</v>
      </c>
      <c r="W4" s="3762"/>
      <c r="X4" s="1355"/>
      <c r="Y4" s="3737" t="s">
        <v>1775</v>
      </c>
      <c r="Z4" s="3738"/>
      <c r="AA4" s="3732" t="s">
        <v>1771</v>
      </c>
      <c r="AB4" s="3733" t="s">
        <v>1772</v>
      </c>
      <c r="AC4" s="3732" t="s">
        <v>1773</v>
      </c>
    </row>
    <row r="5" spans="1:30" ht="15">
      <c r="A5" s="358"/>
      <c r="B5" s="359"/>
      <c r="C5" s="3743" t="s">
        <v>1673</v>
      </c>
      <c r="D5" s="3744"/>
      <c r="E5" s="3741" t="s">
        <v>1674</v>
      </c>
      <c r="F5" s="3742"/>
      <c r="G5" s="3743" t="s">
        <v>1675</v>
      </c>
      <c r="H5" s="3744"/>
      <c r="I5" s="3743" t="s">
        <v>1676</v>
      </c>
      <c r="J5" s="3744"/>
      <c r="K5" s="559"/>
      <c r="L5" s="2715"/>
      <c r="M5" s="2716"/>
      <c r="N5" s="2716"/>
      <c r="O5" s="2716"/>
      <c r="P5" s="3756"/>
      <c r="Q5" s="3757"/>
      <c r="R5" s="3739"/>
      <c r="S5" s="3740"/>
      <c r="T5" s="3739"/>
      <c r="U5" s="3740"/>
      <c r="V5" s="3762"/>
      <c r="W5" s="3762"/>
      <c r="X5" s="1355"/>
      <c r="Y5" s="3739"/>
      <c r="Z5" s="3740"/>
      <c r="AA5" s="3733"/>
      <c r="AB5" s="3733"/>
      <c r="AC5" s="3733"/>
    </row>
    <row r="6" spans="1:30" ht="15.75" thickBot="1">
      <c r="A6" s="360"/>
      <c r="B6" s="361"/>
      <c r="C6" s="3745" t="s">
        <v>1677</v>
      </c>
      <c r="D6" s="3746"/>
      <c r="E6" s="3747" t="s">
        <v>1677</v>
      </c>
      <c r="F6" s="3748"/>
      <c r="G6" s="3745" t="s">
        <v>1677</v>
      </c>
      <c r="H6" s="3746"/>
      <c r="I6" s="3745" t="s">
        <v>1677</v>
      </c>
      <c r="J6" s="3746"/>
      <c r="K6" s="559" t="s">
        <v>1678</v>
      </c>
      <c r="L6" s="2715"/>
      <c r="M6" s="2716"/>
      <c r="N6" s="2716"/>
      <c r="O6" s="2716"/>
      <c r="P6" s="3758"/>
      <c r="Q6" s="3759"/>
      <c r="R6" s="3739"/>
      <c r="S6" s="3740"/>
      <c r="T6" s="3760"/>
      <c r="U6" s="3761"/>
      <c r="V6" s="3762"/>
      <c r="W6" s="3762"/>
      <c r="X6" s="1355"/>
      <c r="Y6" s="3760"/>
      <c r="Z6" s="3761"/>
      <c r="AA6" s="3734"/>
      <c r="AB6" s="3734"/>
      <c r="AC6" s="3734"/>
    </row>
    <row r="7" spans="1:30" s="108" customFormat="1" ht="15.75" thickBot="1">
      <c r="A7" s="362" t="s">
        <v>1679</v>
      </c>
      <c r="B7" s="363"/>
      <c r="C7" s="364">
        <f>'数据-取费表'!B2</f>
        <v>45183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5" t="s">
        <v>1680</v>
      </c>
      <c r="Q7" s="3763"/>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5" t="s">
        <v>1683</v>
      </c>
      <c r="Q8" s="3736"/>
      <c r="R8" s="701" t="s">
        <v>14</v>
      </c>
      <c r="S8" s="702">
        <f t="shared" si="0"/>
        <v>0</v>
      </c>
      <c r="T8" s="701" t="s">
        <v>14</v>
      </c>
      <c r="U8" s="702">
        <f t="shared" si="1"/>
        <v>0</v>
      </c>
      <c r="V8" s="701" t="s">
        <v>14</v>
      </c>
      <c r="W8" s="702">
        <f t="shared" si="2"/>
        <v>0</v>
      </c>
      <c r="X8" s="703"/>
      <c r="Y8" s="3735" t="s">
        <v>1683</v>
      </c>
      <c r="Z8" s="373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67" t="s">
        <v>1686</v>
      </c>
      <c r="Q9" s="1343" t="str">
        <f t="shared" ref="Q9:Q15" si="6">B9</f>
        <v>用途</v>
      </c>
      <c r="R9" s="701" t="s">
        <v>14</v>
      </c>
      <c r="S9" s="702">
        <f t="shared" si="0"/>
        <v>100</v>
      </c>
      <c r="T9" s="701" t="s">
        <v>14</v>
      </c>
      <c r="U9" s="702">
        <f t="shared" si="1"/>
        <v>100</v>
      </c>
      <c r="V9" s="701" t="s">
        <v>14</v>
      </c>
      <c r="W9" s="702">
        <f t="shared" si="2"/>
        <v>100</v>
      </c>
      <c r="X9" s="703"/>
      <c r="Y9" s="367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142</v>
      </c>
      <c r="G10" s="414"/>
      <c r="H10" s="127">
        <f>ROUND(100/'数据-取费表'!G16,0)</f>
        <v>142</v>
      </c>
      <c r="I10" s="414"/>
      <c r="J10" s="127">
        <f>ROUND(100/'数据-取费表'!G16,0)</f>
        <v>142</v>
      </c>
      <c r="K10" s="620"/>
      <c r="L10" s="2719"/>
      <c r="M10" s="2720"/>
      <c r="N10" s="2720"/>
      <c r="O10" s="2773"/>
      <c r="P10" s="3767"/>
      <c r="Q10" s="1343" t="str">
        <f t="shared" si="6"/>
        <v>土地使用年限（年）</v>
      </c>
      <c r="R10" s="701" t="s">
        <v>14</v>
      </c>
      <c r="S10" s="702">
        <f t="shared" si="0"/>
        <v>142</v>
      </c>
      <c r="T10" s="701" t="s">
        <v>14</v>
      </c>
      <c r="U10" s="702">
        <f t="shared" si="1"/>
        <v>142</v>
      </c>
      <c r="V10" s="701" t="s">
        <v>14</v>
      </c>
      <c r="W10" s="702">
        <f t="shared" si="2"/>
        <v>142</v>
      </c>
      <c r="X10" s="703"/>
      <c r="Y10" s="3679"/>
      <c r="Z10" s="52" t="str">
        <f t="shared" si="7"/>
        <v>土地使用年限（年）</v>
      </c>
      <c r="AA10" s="704">
        <f t="shared" si="3"/>
        <v>0.70422535211267601</v>
      </c>
      <c r="AB10" s="704">
        <f t="shared" si="4"/>
        <v>0.70422535211267601</v>
      </c>
      <c r="AC10" s="704">
        <f t="shared" si="5"/>
        <v>0.70422535211267601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67"/>
      <c r="Q11" s="1343" t="str">
        <f t="shared" si="6"/>
        <v>容积率</v>
      </c>
      <c r="R11" s="701" t="s">
        <v>14</v>
      </c>
      <c r="S11" s="702" t="e">
        <f t="shared" si="0"/>
        <v>#N/A</v>
      </c>
      <c r="T11" s="701" t="s">
        <v>14</v>
      </c>
      <c r="U11" s="702" t="e">
        <f t="shared" si="1"/>
        <v>#N/A</v>
      </c>
      <c r="V11" s="701" t="s">
        <v>14</v>
      </c>
      <c r="W11" s="702" t="e">
        <f t="shared" si="2"/>
        <v>#N/A</v>
      </c>
      <c r="X11" s="703"/>
      <c r="Y11" s="367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67"/>
      <c r="Q12" s="1343" t="str">
        <f t="shared" si="6"/>
        <v>配建</v>
      </c>
      <c r="R12" s="701" t="s">
        <v>14</v>
      </c>
      <c r="S12" s="702">
        <f t="shared" si="0"/>
        <v>100</v>
      </c>
      <c r="T12" s="701" t="s">
        <v>14</v>
      </c>
      <c r="U12" s="702">
        <f t="shared" si="1"/>
        <v>100</v>
      </c>
      <c r="V12" s="701" t="s">
        <v>14</v>
      </c>
      <c r="W12" s="702">
        <f t="shared" si="2"/>
        <v>100</v>
      </c>
      <c r="X12" s="703"/>
      <c r="Y12" s="367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67"/>
      <c r="Q13" s="1343">
        <f t="shared" si="6"/>
        <v>111</v>
      </c>
      <c r="R13" s="701" t="s">
        <v>14</v>
      </c>
      <c r="S13" s="702">
        <f t="shared" si="0"/>
        <v>100</v>
      </c>
      <c r="T13" s="701" t="s">
        <v>14</v>
      </c>
      <c r="U13" s="702">
        <f t="shared" si="1"/>
        <v>100</v>
      </c>
      <c r="V13" s="701" t="s">
        <v>14</v>
      </c>
      <c r="W13" s="702">
        <f t="shared" si="2"/>
        <v>100</v>
      </c>
      <c r="X13" s="703"/>
      <c r="Y13" s="367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67"/>
      <c r="Q14" s="1343">
        <f t="shared" si="6"/>
        <v>111</v>
      </c>
      <c r="R14" s="701" t="s">
        <v>14</v>
      </c>
      <c r="S14" s="702">
        <f t="shared" si="0"/>
        <v>100</v>
      </c>
      <c r="T14" s="701" t="s">
        <v>14</v>
      </c>
      <c r="U14" s="702">
        <f t="shared" si="1"/>
        <v>100</v>
      </c>
      <c r="V14" s="701" t="s">
        <v>14</v>
      </c>
      <c r="W14" s="702">
        <f t="shared" si="2"/>
        <v>100</v>
      </c>
      <c r="X14" s="703"/>
      <c r="Y14" s="367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69" t="s">
        <v>1691</v>
      </c>
      <c r="Q15" s="1352" t="str">
        <f t="shared" si="6"/>
        <v>居住社区成熟度</v>
      </c>
      <c r="R15" s="705" t="s">
        <v>14</v>
      </c>
      <c r="S15" s="706">
        <f t="shared" si="0"/>
        <v>100</v>
      </c>
      <c r="T15" s="705" t="s">
        <v>14</v>
      </c>
      <c r="U15" s="706">
        <f t="shared" si="1"/>
        <v>100</v>
      </c>
      <c r="V15" s="705" t="s">
        <v>14</v>
      </c>
      <c r="W15" s="706">
        <f t="shared" si="2"/>
        <v>100</v>
      </c>
      <c r="X15" s="1355"/>
      <c r="Y15" s="376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70"/>
      <c r="Q16" s="1352"/>
      <c r="R16" s="705"/>
      <c r="S16" s="706"/>
      <c r="T16" s="705"/>
      <c r="U16" s="706"/>
      <c r="V16" s="705"/>
      <c r="W16" s="706"/>
      <c r="X16" s="1355"/>
      <c r="Y16" s="377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70"/>
      <c r="Q17" s="1352" t="str">
        <f>B17</f>
        <v>商业繁华度</v>
      </c>
      <c r="R17" s="705" t="s">
        <v>14</v>
      </c>
      <c r="S17" s="706">
        <f>F17</f>
        <v>100</v>
      </c>
      <c r="T17" s="705" t="s">
        <v>14</v>
      </c>
      <c r="U17" s="706">
        <f>H17</f>
        <v>100</v>
      </c>
      <c r="V17" s="705" t="s">
        <v>14</v>
      </c>
      <c r="W17" s="706">
        <f>J17</f>
        <v>100</v>
      </c>
      <c r="X17" s="1355"/>
      <c r="Y17" s="377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70"/>
      <c r="Q18" s="1352"/>
      <c r="R18" s="705"/>
      <c r="S18" s="706"/>
      <c r="T18" s="705"/>
      <c r="U18" s="706"/>
      <c r="V18" s="705"/>
      <c r="W18" s="706"/>
      <c r="X18" s="1355"/>
      <c r="Y18" s="377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70"/>
      <c r="Q19" s="1352" t="str">
        <f>B19</f>
        <v>办公集聚程度</v>
      </c>
      <c r="R19" s="705" t="s">
        <v>14</v>
      </c>
      <c r="S19" s="706">
        <f>F19</f>
        <v>100</v>
      </c>
      <c r="T19" s="705" t="s">
        <v>14</v>
      </c>
      <c r="U19" s="706">
        <f>H19</f>
        <v>100</v>
      </c>
      <c r="V19" s="705" t="s">
        <v>14</v>
      </c>
      <c r="W19" s="706">
        <f>J19</f>
        <v>100</v>
      </c>
      <c r="X19" s="1355"/>
      <c r="Y19" s="377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70"/>
      <c r="Q20" s="1352"/>
      <c r="R20" s="705"/>
      <c r="S20" s="706"/>
      <c r="T20" s="705"/>
      <c r="U20" s="706"/>
      <c r="V20" s="705"/>
      <c r="W20" s="706"/>
      <c r="X20" s="1355"/>
      <c r="Y20" s="377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70"/>
      <c r="Q21" s="1352" t="str">
        <f>B21</f>
        <v>交通便捷度</v>
      </c>
      <c r="R21" s="705" t="s">
        <v>14</v>
      </c>
      <c r="S21" s="706">
        <f>F21</f>
        <v>100</v>
      </c>
      <c r="T21" s="705" t="s">
        <v>14</v>
      </c>
      <c r="U21" s="706">
        <f>H21</f>
        <v>100</v>
      </c>
      <c r="V21" s="705" t="s">
        <v>14</v>
      </c>
      <c r="W21" s="706">
        <f>J21</f>
        <v>100</v>
      </c>
      <c r="X21" s="1355"/>
      <c r="Y21" s="377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70"/>
      <c r="Q22" s="1352"/>
      <c r="R22" s="705"/>
      <c r="S22" s="706"/>
      <c r="T22" s="705"/>
      <c r="U22" s="706"/>
      <c r="V22" s="705"/>
      <c r="W22" s="706"/>
      <c r="X22" s="1355"/>
      <c r="Y22" s="377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70"/>
      <c r="Q23" s="1352" t="str">
        <f t="shared" ref="Q23:Q37" si="8">B23</f>
        <v>区域土地利用方向</v>
      </c>
      <c r="R23" s="705" t="s">
        <v>14</v>
      </c>
      <c r="S23" s="706">
        <f>F23</f>
        <v>100</v>
      </c>
      <c r="T23" s="705" t="s">
        <v>14</v>
      </c>
      <c r="U23" s="706">
        <f>H23</f>
        <v>100</v>
      </c>
      <c r="V23" s="705" t="s">
        <v>14</v>
      </c>
      <c r="W23" s="706">
        <f>J23</f>
        <v>100</v>
      </c>
      <c r="X23" s="1355"/>
      <c r="Y23" s="377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70"/>
      <c r="Q24" s="1352"/>
      <c r="R24" s="705"/>
      <c r="S24" s="706"/>
      <c r="T24" s="705"/>
      <c r="U24" s="706"/>
      <c r="V24" s="705"/>
      <c r="W24" s="706"/>
      <c r="X24" s="1355"/>
      <c r="Y24" s="377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70"/>
      <c r="Q25" s="1352" t="str">
        <f t="shared" si="8"/>
        <v>自然及人文环境状况</v>
      </c>
      <c r="R25" s="705" t="s">
        <v>14</v>
      </c>
      <c r="S25" s="706">
        <f>F25</f>
        <v>100</v>
      </c>
      <c r="T25" s="705" t="s">
        <v>14</v>
      </c>
      <c r="U25" s="706">
        <f>H25</f>
        <v>100</v>
      </c>
      <c r="V25" s="705" t="s">
        <v>14</v>
      </c>
      <c r="W25" s="706">
        <f>J25</f>
        <v>100</v>
      </c>
      <c r="X25" s="1355"/>
      <c r="Y25" s="377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70"/>
      <c r="Q26" s="1352"/>
      <c r="R26" s="705"/>
      <c r="S26" s="706"/>
      <c r="T26" s="705"/>
      <c r="U26" s="706"/>
      <c r="V26" s="705"/>
      <c r="W26" s="706"/>
      <c r="X26" s="1355"/>
      <c r="Y26" s="377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70"/>
      <c r="Q27" s="1343" t="str">
        <f t="shared" si="8"/>
        <v>公共配套设施</v>
      </c>
      <c r="R27" s="701" t="s">
        <v>14</v>
      </c>
      <c r="S27" s="702">
        <f>F27</f>
        <v>100</v>
      </c>
      <c r="T27" s="701" t="s">
        <v>14</v>
      </c>
      <c r="U27" s="702">
        <f>H27</f>
        <v>100</v>
      </c>
      <c r="V27" s="701" t="s">
        <v>14</v>
      </c>
      <c r="W27" s="702">
        <f>J27</f>
        <v>100</v>
      </c>
      <c r="X27" s="703"/>
      <c r="Y27" s="377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70"/>
      <c r="Q28" s="1343"/>
      <c r="R28" s="701"/>
      <c r="S28" s="702"/>
      <c r="T28" s="701"/>
      <c r="U28" s="702"/>
      <c r="V28" s="701"/>
      <c r="W28" s="702"/>
      <c r="X28" s="703"/>
      <c r="Y28" s="377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70"/>
      <c r="Q29" s="1343" t="str">
        <f t="shared" ref="Q29" si="9">B29</f>
        <v>基础设施水平</v>
      </c>
      <c r="R29" s="701" t="s">
        <v>14</v>
      </c>
      <c r="S29" s="702">
        <f>F29</f>
        <v>100</v>
      </c>
      <c r="T29" s="701" t="s">
        <v>14</v>
      </c>
      <c r="U29" s="702">
        <f>H29</f>
        <v>100</v>
      </c>
      <c r="V29" s="701" t="s">
        <v>14</v>
      </c>
      <c r="W29" s="702">
        <f>J29</f>
        <v>100</v>
      </c>
      <c r="X29" s="703"/>
      <c r="Y29" s="377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70"/>
      <c r="Q30" s="1343"/>
      <c r="R30" s="701"/>
      <c r="S30" s="702"/>
      <c r="T30" s="701"/>
      <c r="U30" s="702"/>
      <c r="V30" s="701"/>
      <c r="W30" s="702"/>
      <c r="X30" s="703"/>
      <c r="Y30" s="377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7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7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70"/>
      <c r="Q32" s="1352" t="str">
        <f t="shared" si="8"/>
        <v>毗邻道路的类型与等级</v>
      </c>
      <c r="R32" s="705" t="s">
        <v>14</v>
      </c>
      <c r="S32" s="706">
        <f t="shared" si="10"/>
        <v>100</v>
      </c>
      <c r="T32" s="705" t="s">
        <v>14</v>
      </c>
      <c r="U32" s="706">
        <f t="shared" si="11"/>
        <v>100</v>
      </c>
      <c r="V32" s="705" t="s">
        <v>14</v>
      </c>
      <c r="W32" s="706">
        <f t="shared" si="12"/>
        <v>100</v>
      </c>
      <c r="X32" s="1355"/>
      <c r="Y32" s="377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70"/>
      <c r="Q33" s="1352"/>
      <c r="R33" s="705"/>
      <c r="S33" s="706"/>
      <c r="T33" s="705"/>
      <c r="U33" s="706"/>
      <c r="V33" s="705"/>
      <c r="W33" s="706"/>
      <c r="X33" s="1355"/>
      <c r="Y33" s="377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70"/>
      <c r="Q34" s="1352" t="str">
        <f t="shared" si="8"/>
        <v>土地级别</v>
      </c>
      <c r="R34" s="705" t="s">
        <v>14</v>
      </c>
      <c r="S34" s="706">
        <f t="shared" si="10"/>
        <v>100</v>
      </c>
      <c r="T34" s="705" t="s">
        <v>14</v>
      </c>
      <c r="U34" s="706">
        <f t="shared" si="11"/>
        <v>100</v>
      </c>
      <c r="V34" s="705" t="s">
        <v>14</v>
      </c>
      <c r="W34" s="706">
        <f t="shared" si="12"/>
        <v>100</v>
      </c>
      <c r="X34" s="1355"/>
      <c r="Y34" s="377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70"/>
      <c r="Q35" s="1352">
        <f t="shared" si="8"/>
        <v>111</v>
      </c>
      <c r="R35" s="705" t="s">
        <v>14</v>
      </c>
      <c r="S35" s="706">
        <f t="shared" si="10"/>
        <v>100</v>
      </c>
      <c r="T35" s="705" t="s">
        <v>14</v>
      </c>
      <c r="U35" s="706">
        <f t="shared" si="11"/>
        <v>100</v>
      </c>
      <c r="V35" s="705" t="s">
        <v>14</v>
      </c>
      <c r="W35" s="706">
        <f t="shared" si="12"/>
        <v>100</v>
      </c>
      <c r="X35" s="1355"/>
      <c r="Y35" s="377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93" t="s">
        <v>1696</v>
      </c>
      <c r="Q36" s="1352">
        <f t="shared" si="8"/>
        <v>111</v>
      </c>
      <c r="R36" s="705" t="s">
        <v>14</v>
      </c>
      <c r="S36" s="706">
        <f t="shared" si="10"/>
        <v>100</v>
      </c>
      <c r="T36" s="705" t="s">
        <v>14</v>
      </c>
      <c r="U36" s="706">
        <f t="shared" si="11"/>
        <v>100</v>
      </c>
      <c r="V36" s="705" t="s">
        <v>14</v>
      </c>
      <c r="W36" s="706">
        <f t="shared" si="12"/>
        <v>100</v>
      </c>
      <c r="X36" s="1355"/>
      <c r="Y36" s="377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74"/>
      <c r="Q37" s="1352">
        <f t="shared" si="8"/>
        <v>111</v>
      </c>
      <c r="R37" s="708" t="s">
        <v>14</v>
      </c>
      <c r="S37" s="709">
        <f t="shared" si="10"/>
        <v>100</v>
      </c>
      <c r="T37" s="708" t="s">
        <v>14</v>
      </c>
      <c r="U37" s="709">
        <f t="shared" si="11"/>
        <v>100</v>
      </c>
      <c r="V37" s="708" t="s">
        <v>14</v>
      </c>
      <c r="W37" s="709">
        <f t="shared" si="12"/>
        <v>100</v>
      </c>
      <c r="X37" s="710"/>
      <c r="Y37" s="377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74"/>
      <c r="Q38" s="1352" t="str">
        <f>B38</f>
        <v>宗地面积</v>
      </c>
      <c r="R38" s="705" t="s">
        <v>14</v>
      </c>
      <c r="S38" s="706" t="e">
        <f t="shared" si="10"/>
        <v>#N/A</v>
      </c>
      <c r="T38" s="705" t="s">
        <v>14</v>
      </c>
      <c r="U38" s="706" t="e">
        <f t="shared" si="11"/>
        <v>#N/A</v>
      </c>
      <c r="V38" s="705" t="s">
        <v>14</v>
      </c>
      <c r="W38" s="706" t="e">
        <f t="shared" si="12"/>
        <v>#N/A</v>
      </c>
      <c r="X38" s="1355"/>
      <c r="Y38" s="377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74"/>
      <c r="Q39" s="1352" t="str">
        <f t="shared" ref="Q39:Q45" si="14">B39</f>
        <v>宗地形状</v>
      </c>
      <c r="R39" s="705" t="s">
        <v>14</v>
      </c>
      <c r="S39" s="706">
        <f t="shared" si="10"/>
        <v>100</v>
      </c>
      <c r="T39" s="705" t="s">
        <v>14</v>
      </c>
      <c r="U39" s="706">
        <f t="shared" si="11"/>
        <v>100</v>
      </c>
      <c r="V39" s="705" t="s">
        <v>14</v>
      </c>
      <c r="W39" s="706">
        <f t="shared" si="12"/>
        <v>100</v>
      </c>
      <c r="X39" s="1355"/>
      <c r="Y39" s="377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74"/>
      <c r="Q40" s="1352" t="str">
        <f t="shared" si="14"/>
        <v>临街宽度及深度</v>
      </c>
      <c r="R40" s="705" t="s">
        <v>14</v>
      </c>
      <c r="S40" s="706">
        <f t="shared" si="10"/>
        <v>100</v>
      </c>
      <c r="T40" s="705" t="s">
        <v>14</v>
      </c>
      <c r="U40" s="706">
        <f t="shared" si="11"/>
        <v>100</v>
      </c>
      <c r="V40" s="705" t="s">
        <v>14</v>
      </c>
      <c r="W40" s="706">
        <f t="shared" si="12"/>
        <v>100</v>
      </c>
      <c r="X40" s="1355"/>
      <c r="Y40" s="377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74"/>
      <c r="Q41" s="1352" t="str">
        <f t="shared" si="14"/>
        <v>宗地开发程度</v>
      </c>
      <c r="R41" s="701" t="s">
        <v>14</v>
      </c>
      <c r="S41" s="702">
        <f t="shared" si="10"/>
        <v>100</v>
      </c>
      <c r="T41" s="701" t="s">
        <v>14</v>
      </c>
      <c r="U41" s="702">
        <f t="shared" si="11"/>
        <v>100</v>
      </c>
      <c r="V41" s="701" t="s">
        <v>14</v>
      </c>
      <c r="W41" s="702">
        <f t="shared" si="12"/>
        <v>100</v>
      </c>
      <c r="X41" s="703"/>
      <c r="Y41" s="377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74" t="s">
        <v>1696</v>
      </c>
      <c r="Q42" s="1352" t="str">
        <f t="shared" si="14"/>
        <v>工程地质条件</v>
      </c>
      <c r="R42" s="705" t="s">
        <v>14</v>
      </c>
      <c r="S42" s="706">
        <f t="shared" si="10"/>
        <v>100</v>
      </c>
      <c r="T42" s="705" t="s">
        <v>14</v>
      </c>
      <c r="U42" s="706">
        <f t="shared" si="11"/>
        <v>100</v>
      </c>
      <c r="V42" s="705" t="s">
        <v>14</v>
      </c>
      <c r="W42" s="706">
        <f t="shared" si="12"/>
        <v>100</v>
      </c>
      <c r="X42" s="1355"/>
      <c r="Y42" s="377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74"/>
      <c r="Q43" s="1352">
        <f t="shared" si="14"/>
        <v>111</v>
      </c>
      <c r="R43" s="705" t="s">
        <v>14</v>
      </c>
      <c r="S43" s="706">
        <f t="shared" si="10"/>
        <v>100</v>
      </c>
      <c r="T43" s="705" t="s">
        <v>14</v>
      </c>
      <c r="U43" s="706">
        <f t="shared" si="11"/>
        <v>100</v>
      </c>
      <c r="V43" s="705" t="s">
        <v>14</v>
      </c>
      <c r="W43" s="706">
        <f t="shared" si="12"/>
        <v>100</v>
      </c>
      <c r="X43" s="1355"/>
      <c r="Y43" s="377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74"/>
      <c r="Q44" s="1352">
        <f t="shared" si="14"/>
        <v>111</v>
      </c>
      <c r="R44" s="705" t="s">
        <v>14</v>
      </c>
      <c r="S44" s="706">
        <f t="shared" si="10"/>
        <v>100</v>
      </c>
      <c r="T44" s="705" t="s">
        <v>14</v>
      </c>
      <c r="U44" s="706">
        <f t="shared" si="11"/>
        <v>100</v>
      </c>
      <c r="V44" s="705" t="s">
        <v>14</v>
      </c>
      <c r="W44" s="706">
        <f t="shared" si="12"/>
        <v>100</v>
      </c>
      <c r="X44" s="1355"/>
      <c r="Y44" s="377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74"/>
      <c r="Q45" s="1352">
        <f t="shared" si="14"/>
        <v>111</v>
      </c>
      <c r="R45" s="708" t="s">
        <v>14</v>
      </c>
      <c r="S45" s="709">
        <f t="shared" si="10"/>
        <v>100</v>
      </c>
      <c r="T45" s="708" t="s">
        <v>14</v>
      </c>
      <c r="U45" s="709">
        <f t="shared" si="11"/>
        <v>100</v>
      </c>
      <c r="V45" s="708" t="s">
        <v>14</v>
      </c>
      <c r="W45" s="709">
        <f t="shared" si="12"/>
        <v>100</v>
      </c>
      <c r="X45" s="710"/>
      <c r="Y45" s="377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67" t="str">
        <f>A46</f>
        <v>成交单价</v>
      </c>
      <c r="Q46" s="3767"/>
      <c r="R46" s="3762">
        <f>E46</f>
        <v>0</v>
      </c>
      <c r="S46" s="3762"/>
      <c r="T46" s="3762">
        <f>G46</f>
        <v>0</v>
      </c>
      <c r="U46" s="3762"/>
      <c r="V46" s="3762">
        <f>I46</f>
        <v>0</v>
      </c>
      <c r="W46" s="376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67" t="str">
        <f>A47</f>
        <v>比较价值（元/平方米）</v>
      </c>
      <c r="Q47" s="3767"/>
      <c r="R47" s="3795" t="e">
        <f>ROUND(PRODUCT(R46,AA7:AA45),0)</f>
        <v>#DIV/0!</v>
      </c>
      <c r="S47" s="3795"/>
      <c r="T47" s="3795" t="e">
        <f>ROUND(PRODUCT(T46,AB7:AB45),0)</f>
        <v>#DIV/0!</v>
      </c>
      <c r="U47" s="3795"/>
      <c r="V47" s="3795" t="e">
        <f>ROUND(PRODUCT(V46,AC7:AC45),0)</f>
        <v>#DIV/0!</v>
      </c>
      <c r="W47" s="379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64" t="str">
        <f>A48</f>
        <v>估价对象XX用房的比较价值（楼面单价，元/平方米）</v>
      </c>
      <c r="Q48" s="3765"/>
      <c r="R48" s="3796" t="e">
        <f>ROUND(IF(D47="简单平均",AVERAGE(R47:W47),R47*F47+T47*H47+V47*J47),0)</f>
        <v>#DIV/0!</v>
      </c>
      <c r="S48" s="3796"/>
      <c r="T48" s="3796"/>
      <c r="U48" s="3796"/>
      <c r="V48" s="3796"/>
      <c r="W48" s="379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50" t="s">
        <v>1887</v>
      </c>
      <c r="H55" s="379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9808.4800000000014</v>
      </c>
      <c r="F56" s="886" t="e">
        <f t="shared" ref="F56:F64" si="15">ROUND(B56*E56/10000,0)</f>
        <v>#DIV/0!</v>
      </c>
      <c r="G56" s="3749"/>
      <c r="H56" s="376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三级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三级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三级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三级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三级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10112.900000000001</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三级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19921.380000000005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"北京市平均增长率"&amp;TEXT(SUMIF(基准地价修正商业!N25:N29,A70,基准地价修正商业!P25:P29),"0.00%")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50" t="s">
        <v>1770</v>
      </c>
      <c r="D4" s="3751"/>
      <c r="E4" s="3752" t="s">
        <v>1771</v>
      </c>
      <c r="F4" s="3753"/>
      <c r="G4" s="3750" t="s">
        <v>1772</v>
      </c>
      <c r="H4" s="3751"/>
      <c r="I4" s="3750" t="s">
        <v>1773</v>
      </c>
      <c r="J4" s="3751"/>
      <c r="K4" s="559" t="s">
        <v>1774</v>
      </c>
      <c r="L4" s="2715"/>
      <c r="M4" s="2716"/>
      <c r="N4" s="2716"/>
      <c r="O4" s="2716"/>
      <c r="P4" s="3754" t="s">
        <v>1775</v>
      </c>
      <c r="Q4" s="3755"/>
      <c r="R4" s="3737" t="s">
        <v>1771</v>
      </c>
      <c r="S4" s="3738"/>
      <c r="T4" s="3737" t="s">
        <v>1772</v>
      </c>
      <c r="U4" s="3738"/>
      <c r="V4" s="3762" t="s">
        <v>1773</v>
      </c>
      <c r="W4" s="3762"/>
      <c r="X4" s="1355"/>
      <c r="Y4" s="3737" t="s">
        <v>1775</v>
      </c>
      <c r="Z4" s="3738"/>
      <c r="AA4" s="3732" t="s">
        <v>1771</v>
      </c>
      <c r="AB4" s="3733" t="s">
        <v>1772</v>
      </c>
      <c r="AC4" s="3732" t="s">
        <v>1773</v>
      </c>
    </row>
    <row r="5" spans="1:29" ht="15">
      <c r="A5" s="358"/>
      <c r="B5" s="359"/>
      <c r="C5" s="3743" t="s">
        <v>1673</v>
      </c>
      <c r="D5" s="3744"/>
      <c r="E5" s="3741" t="s">
        <v>1674</v>
      </c>
      <c r="F5" s="3742"/>
      <c r="G5" s="3743" t="s">
        <v>1675</v>
      </c>
      <c r="H5" s="3744"/>
      <c r="I5" s="3743" t="s">
        <v>1676</v>
      </c>
      <c r="J5" s="3744"/>
      <c r="K5" s="559"/>
      <c r="L5" s="2715"/>
      <c r="M5" s="2716"/>
      <c r="N5" s="2716"/>
      <c r="O5" s="2716"/>
      <c r="P5" s="3756"/>
      <c r="Q5" s="3757"/>
      <c r="R5" s="3739"/>
      <c r="S5" s="3740"/>
      <c r="T5" s="3739"/>
      <c r="U5" s="3740"/>
      <c r="V5" s="3762"/>
      <c r="W5" s="3762"/>
      <c r="X5" s="1355"/>
      <c r="Y5" s="3739"/>
      <c r="Z5" s="3740"/>
      <c r="AA5" s="3733"/>
      <c r="AB5" s="3733"/>
      <c r="AC5" s="3733"/>
    </row>
    <row r="6" spans="1:29" ht="15.75" thickBot="1">
      <c r="A6" s="360"/>
      <c r="B6" s="361"/>
      <c r="C6" s="3798" t="s">
        <v>1919</v>
      </c>
      <c r="D6" s="3799"/>
      <c r="E6" s="3800" t="s">
        <v>1919</v>
      </c>
      <c r="F6" s="3801"/>
      <c r="G6" s="3798" t="s">
        <v>1919</v>
      </c>
      <c r="H6" s="3799"/>
      <c r="I6" s="3798" t="s">
        <v>1919</v>
      </c>
      <c r="J6" s="3799"/>
      <c r="K6" s="559" t="s">
        <v>1678</v>
      </c>
      <c r="L6" s="2715"/>
      <c r="M6" s="2716"/>
      <c r="N6" s="2716"/>
      <c r="O6" s="2716"/>
      <c r="P6" s="3758"/>
      <c r="Q6" s="3759"/>
      <c r="R6" s="3739"/>
      <c r="S6" s="3740"/>
      <c r="T6" s="3760"/>
      <c r="U6" s="3761"/>
      <c r="V6" s="3762"/>
      <c r="W6" s="3762"/>
      <c r="X6" s="1355"/>
      <c r="Y6" s="3760"/>
      <c r="Z6" s="3761"/>
      <c r="AA6" s="3734"/>
      <c r="AB6" s="3734"/>
      <c r="AC6" s="3734"/>
    </row>
    <row r="7" spans="1:29" s="108" customFormat="1" ht="15.75" thickBot="1">
      <c r="A7" s="362" t="s">
        <v>1679</v>
      </c>
      <c r="B7" s="363"/>
      <c r="C7" s="364">
        <f>'数据-取费表'!B2</f>
        <v>45183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5" t="s">
        <v>1680</v>
      </c>
      <c r="Q7" s="3763"/>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5" t="s">
        <v>1683</v>
      </c>
      <c r="Q8" s="3736"/>
      <c r="R8" s="701" t="s">
        <v>14</v>
      </c>
      <c r="S8" s="702">
        <f t="shared" si="0"/>
        <v>0</v>
      </c>
      <c r="T8" s="701" t="s">
        <v>14</v>
      </c>
      <c r="U8" s="702">
        <f t="shared" si="1"/>
        <v>0</v>
      </c>
      <c r="V8" s="701" t="s">
        <v>14</v>
      </c>
      <c r="W8" s="702">
        <f t="shared" si="2"/>
        <v>0</v>
      </c>
      <c r="X8" s="703"/>
      <c r="Y8" s="3735" t="s">
        <v>1683</v>
      </c>
      <c r="Z8" s="373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67" t="s">
        <v>1686</v>
      </c>
      <c r="Q9" s="1343" t="str">
        <f t="shared" ref="Q9:Q15" si="6">B9</f>
        <v>用途</v>
      </c>
      <c r="R9" s="701" t="s">
        <v>14</v>
      </c>
      <c r="S9" s="702">
        <f t="shared" si="0"/>
        <v>100</v>
      </c>
      <c r="T9" s="701" t="s">
        <v>14</v>
      </c>
      <c r="U9" s="702">
        <f t="shared" si="1"/>
        <v>100</v>
      </c>
      <c r="V9" s="701" t="s">
        <v>14</v>
      </c>
      <c r="W9" s="702">
        <f t="shared" si="2"/>
        <v>100</v>
      </c>
      <c r="X9" s="703"/>
      <c r="Y9" s="367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142</v>
      </c>
      <c r="G10" s="383"/>
      <c r="H10" s="127">
        <f>ROUND(100/'数据-取费表'!G16,0)</f>
        <v>142</v>
      </c>
      <c r="I10" s="383"/>
      <c r="J10" s="127">
        <f>ROUND(100/'数据-取费表'!G16,0)</f>
        <v>142</v>
      </c>
      <c r="K10" s="620"/>
      <c r="L10" s="2719"/>
      <c r="M10" s="2720"/>
      <c r="N10" s="2720"/>
      <c r="O10" s="2773"/>
      <c r="P10" s="3767"/>
      <c r="Q10" s="1343" t="str">
        <f t="shared" si="6"/>
        <v>土地使用年限（年）</v>
      </c>
      <c r="R10" s="701" t="s">
        <v>14</v>
      </c>
      <c r="S10" s="702">
        <f t="shared" si="0"/>
        <v>142</v>
      </c>
      <c r="T10" s="701" t="s">
        <v>14</v>
      </c>
      <c r="U10" s="702">
        <f t="shared" si="1"/>
        <v>142</v>
      </c>
      <c r="V10" s="701" t="s">
        <v>14</v>
      </c>
      <c r="W10" s="702">
        <f t="shared" si="2"/>
        <v>142</v>
      </c>
      <c r="X10" s="703"/>
      <c r="Y10" s="3679"/>
      <c r="Z10" s="52" t="str">
        <f t="shared" si="7"/>
        <v>土地使用年限（年）</v>
      </c>
      <c r="AA10" s="704">
        <f t="shared" si="3"/>
        <v>0.70422535211267601</v>
      </c>
      <c r="AB10" s="704">
        <f t="shared" si="4"/>
        <v>0.70422535211267601</v>
      </c>
      <c r="AC10" s="704">
        <f t="shared" si="5"/>
        <v>0.70422535211267601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67"/>
      <c r="Q11" s="1343" t="str">
        <f t="shared" si="6"/>
        <v>容积率</v>
      </c>
      <c r="R11" s="701" t="s">
        <v>14</v>
      </c>
      <c r="S11" s="702" t="e">
        <f t="shared" si="0"/>
        <v>#N/A</v>
      </c>
      <c r="T11" s="701" t="s">
        <v>14</v>
      </c>
      <c r="U11" s="702" t="e">
        <f t="shared" si="1"/>
        <v>#N/A</v>
      </c>
      <c r="V11" s="701" t="s">
        <v>14</v>
      </c>
      <c r="W11" s="702" t="e">
        <f t="shared" si="2"/>
        <v>#N/A</v>
      </c>
      <c r="X11" s="703"/>
      <c r="Y11" s="367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67"/>
      <c r="Q12" s="1343">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67"/>
      <c r="Q13" s="1343">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67"/>
      <c r="Q14" s="1343">
        <f t="shared" si="6"/>
        <v>111</v>
      </c>
      <c r="R14" s="701" t="s">
        <v>14</v>
      </c>
      <c r="S14" s="702">
        <f t="shared" si="0"/>
        <v>100</v>
      </c>
      <c r="T14" s="701" t="s">
        <v>14</v>
      </c>
      <c r="U14" s="702">
        <f t="shared" si="1"/>
        <v>100</v>
      </c>
      <c r="V14" s="701" t="s">
        <v>14</v>
      </c>
      <c r="W14" s="702">
        <f t="shared" si="2"/>
        <v>100</v>
      </c>
      <c r="X14" s="703"/>
      <c r="Y14" s="367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69" t="s">
        <v>1691</v>
      </c>
      <c r="Q15" s="1352" t="str">
        <f t="shared" si="6"/>
        <v>产业集聚程度</v>
      </c>
      <c r="R15" s="705" t="s">
        <v>14</v>
      </c>
      <c r="S15" s="706">
        <f t="shared" si="0"/>
        <v>100</v>
      </c>
      <c r="T15" s="705" t="s">
        <v>14</v>
      </c>
      <c r="U15" s="706">
        <f t="shared" si="1"/>
        <v>100</v>
      </c>
      <c r="V15" s="705" t="s">
        <v>14</v>
      </c>
      <c r="W15" s="706">
        <f t="shared" si="2"/>
        <v>100</v>
      </c>
      <c r="X15" s="1355"/>
      <c r="Y15" s="376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70"/>
      <c r="Q16" s="1352"/>
      <c r="R16" s="705"/>
      <c r="S16" s="706"/>
      <c r="T16" s="705"/>
      <c r="U16" s="706"/>
      <c r="V16" s="705"/>
      <c r="W16" s="706"/>
      <c r="X16" s="1355"/>
      <c r="Y16" s="377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70"/>
      <c r="Q17" s="1352" t="str">
        <f>B17</f>
        <v>交通便捷度</v>
      </c>
      <c r="R17" s="705" t="s">
        <v>14</v>
      </c>
      <c r="S17" s="706">
        <f>F17</f>
        <v>100</v>
      </c>
      <c r="T17" s="705" t="s">
        <v>14</v>
      </c>
      <c r="U17" s="706">
        <f>H17</f>
        <v>100</v>
      </c>
      <c r="V17" s="705" t="s">
        <v>14</v>
      </c>
      <c r="W17" s="706">
        <f>J17</f>
        <v>100</v>
      </c>
      <c r="X17" s="1355"/>
      <c r="Y17" s="377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70"/>
      <c r="Q18" s="1352"/>
      <c r="R18" s="705"/>
      <c r="S18" s="706"/>
      <c r="T18" s="705"/>
      <c r="U18" s="706"/>
      <c r="V18" s="705"/>
      <c r="W18" s="706"/>
      <c r="X18" s="1355"/>
      <c r="Y18" s="377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70"/>
      <c r="Q19" s="1352" t="str">
        <f t="shared" ref="Q19:Q33" si="8">B19</f>
        <v>区域土地利用方向</v>
      </c>
      <c r="R19" s="705" t="s">
        <v>14</v>
      </c>
      <c r="S19" s="706">
        <f>F19</f>
        <v>100</v>
      </c>
      <c r="T19" s="705" t="s">
        <v>14</v>
      </c>
      <c r="U19" s="706">
        <f>H19</f>
        <v>100</v>
      </c>
      <c r="V19" s="705" t="s">
        <v>14</v>
      </c>
      <c r="W19" s="706">
        <f>J19</f>
        <v>100</v>
      </c>
      <c r="X19" s="1355"/>
      <c r="Y19" s="377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70"/>
      <c r="Q20" s="1352"/>
      <c r="R20" s="705"/>
      <c r="S20" s="706"/>
      <c r="T20" s="705"/>
      <c r="U20" s="706"/>
      <c r="V20" s="705"/>
      <c r="W20" s="706"/>
      <c r="X20" s="1355"/>
      <c r="Y20" s="377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70"/>
      <c r="Q21" s="1352" t="str">
        <f t="shared" si="8"/>
        <v>环境状况</v>
      </c>
      <c r="R21" s="705" t="s">
        <v>14</v>
      </c>
      <c r="S21" s="706">
        <f>F21</f>
        <v>100</v>
      </c>
      <c r="T21" s="705" t="s">
        <v>14</v>
      </c>
      <c r="U21" s="706">
        <f>H21</f>
        <v>100</v>
      </c>
      <c r="V21" s="705" t="s">
        <v>14</v>
      </c>
      <c r="W21" s="706">
        <f>J21</f>
        <v>100</v>
      </c>
      <c r="X21" s="1355"/>
      <c r="Y21" s="377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70"/>
      <c r="Q22" s="1352"/>
      <c r="R22" s="705"/>
      <c r="S22" s="706"/>
      <c r="T22" s="705"/>
      <c r="U22" s="706"/>
      <c r="V22" s="705"/>
      <c r="W22" s="706"/>
      <c r="X22" s="1355"/>
      <c r="Y22" s="377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70"/>
      <c r="Q23" s="1343" t="str">
        <f t="shared" si="8"/>
        <v>公共配套设施</v>
      </c>
      <c r="R23" s="701" t="s">
        <v>14</v>
      </c>
      <c r="S23" s="702">
        <f>F23</f>
        <v>100</v>
      </c>
      <c r="T23" s="701" t="s">
        <v>14</v>
      </c>
      <c r="U23" s="702">
        <f>H23</f>
        <v>100</v>
      </c>
      <c r="V23" s="701" t="s">
        <v>14</v>
      </c>
      <c r="W23" s="702">
        <f>J23</f>
        <v>100</v>
      </c>
      <c r="X23" s="703"/>
      <c r="Y23" s="377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70"/>
      <c r="Q24" s="1343"/>
      <c r="R24" s="701"/>
      <c r="S24" s="702"/>
      <c r="T24" s="701"/>
      <c r="U24" s="702"/>
      <c r="V24" s="701"/>
      <c r="W24" s="702"/>
      <c r="X24" s="703"/>
      <c r="Y24" s="377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70"/>
      <c r="Q25" s="1343" t="str">
        <f t="shared" ref="Q25" si="9">B25</f>
        <v>基础设施水平</v>
      </c>
      <c r="R25" s="701" t="s">
        <v>14</v>
      </c>
      <c r="S25" s="702">
        <f>F25</f>
        <v>100</v>
      </c>
      <c r="T25" s="701" t="s">
        <v>14</v>
      </c>
      <c r="U25" s="702">
        <f>H25</f>
        <v>100</v>
      </c>
      <c r="V25" s="701" t="s">
        <v>14</v>
      </c>
      <c r="W25" s="702">
        <f>J25</f>
        <v>100</v>
      </c>
      <c r="X25" s="703"/>
      <c r="Y25" s="377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70"/>
      <c r="Q26" s="1343"/>
      <c r="R26" s="701"/>
      <c r="S26" s="702"/>
      <c r="T26" s="701"/>
      <c r="U26" s="702"/>
      <c r="V26" s="701"/>
      <c r="W26" s="702"/>
      <c r="X26" s="703"/>
      <c r="Y26" s="377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7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7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70"/>
      <c r="Q28" s="1352" t="str">
        <f t="shared" si="8"/>
        <v>毗邻道路的类型与等级</v>
      </c>
      <c r="R28" s="705" t="s">
        <v>14</v>
      </c>
      <c r="S28" s="706">
        <f t="shared" si="10"/>
        <v>100</v>
      </c>
      <c r="T28" s="705" t="s">
        <v>14</v>
      </c>
      <c r="U28" s="706">
        <f t="shared" si="11"/>
        <v>100</v>
      </c>
      <c r="V28" s="705" t="s">
        <v>14</v>
      </c>
      <c r="W28" s="706">
        <f t="shared" si="12"/>
        <v>100</v>
      </c>
      <c r="X28" s="1355"/>
      <c r="Y28" s="377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70"/>
      <c r="Q29" s="1352"/>
      <c r="R29" s="705"/>
      <c r="S29" s="706"/>
      <c r="T29" s="705"/>
      <c r="U29" s="706"/>
      <c r="V29" s="705"/>
      <c r="W29" s="706"/>
      <c r="X29" s="1355"/>
      <c r="Y29" s="377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70"/>
      <c r="Q30" s="1352" t="str">
        <f t="shared" si="8"/>
        <v>土地级别</v>
      </c>
      <c r="R30" s="705" t="s">
        <v>14</v>
      </c>
      <c r="S30" s="706">
        <f t="shared" si="10"/>
        <v>100</v>
      </c>
      <c r="T30" s="705" t="s">
        <v>14</v>
      </c>
      <c r="U30" s="706">
        <f t="shared" si="11"/>
        <v>100</v>
      </c>
      <c r="V30" s="705" t="s">
        <v>14</v>
      </c>
      <c r="W30" s="706">
        <f t="shared" si="12"/>
        <v>100</v>
      </c>
      <c r="X30" s="1355"/>
      <c r="Y30" s="377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70"/>
      <c r="Q31" s="1352">
        <f t="shared" si="8"/>
        <v>111</v>
      </c>
      <c r="R31" s="705" t="s">
        <v>14</v>
      </c>
      <c r="S31" s="706">
        <f t="shared" si="10"/>
        <v>100</v>
      </c>
      <c r="T31" s="705" t="s">
        <v>14</v>
      </c>
      <c r="U31" s="706">
        <f t="shared" si="11"/>
        <v>100</v>
      </c>
      <c r="V31" s="705" t="s">
        <v>14</v>
      </c>
      <c r="W31" s="706">
        <f t="shared" si="12"/>
        <v>100</v>
      </c>
      <c r="X31" s="1355"/>
      <c r="Y31" s="377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93" t="s">
        <v>1696</v>
      </c>
      <c r="Q32" s="1352">
        <f t="shared" si="8"/>
        <v>111</v>
      </c>
      <c r="R32" s="705" t="s">
        <v>14</v>
      </c>
      <c r="S32" s="706">
        <f t="shared" si="10"/>
        <v>100</v>
      </c>
      <c r="T32" s="705" t="s">
        <v>14</v>
      </c>
      <c r="U32" s="706">
        <f t="shared" si="11"/>
        <v>100</v>
      </c>
      <c r="V32" s="705" t="s">
        <v>14</v>
      </c>
      <c r="W32" s="706">
        <f t="shared" si="12"/>
        <v>100</v>
      </c>
      <c r="X32" s="1355"/>
      <c r="Y32" s="377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74"/>
      <c r="Q33" s="1352">
        <f t="shared" si="8"/>
        <v>111</v>
      </c>
      <c r="R33" s="708" t="s">
        <v>14</v>
      </c>
      <c r="S33" s="709">
        <f t="shared" si="10"/>
        <v>100</v>
      </c>
      <c r="T33" s="708" t="s">
        <v>14</v>
      </c>
      <c r="U33" s="709">
        <f t="shared" si="11"/>
        <v>100</v>
      </c>
      <c r="V33" s="708" t="s">
        <v>14</v>
      </c>
      <c r="W33" s="709">
        <f t="shared" si="12"/>
        <v>100</v>
      </c>
      <c r="X33" s="710"/>
      <c r="Y33" s="377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74"/>
      <c r="Q34" s="1352" t="str">
        <f>B34</f>
        <v>宗地面积</v>
      </c>
      <c r="R34" s="705" t="s">
        <v>14</v>
      </c>
      <c r="S34" s="706" t="e">
        <f t="shared" si="10"/>
        <v>#N/A</v>
      </c>
      <c r="T34" s="705" t="s">
        <v>14</v>
      </c>
      <c r="U34" s="706" t="e">
        <f t="shared" si="11"/>
        <v>#N/A</v>
      </c>
      <c r="V34" s="705" t="s">
        <v>14</v>
      </c>
      <c r="W34" s="706" t="e">
        <f t="shared" si="12"/>
        <v>#N/A</v>
      </c>
      <c r="X34" s="1355"/>
      <c r="Y34" s="377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74"/>
      <c r="Q35" s="1352" t="str">
        <f t="shared" ref="Q35:Q40" si="14">B35</f>
        <v>宗地形状</v>
      </c>
      <c r="R35" s="705" t="s">
        <v>14</v>
      </c>
      <c r="S35" s="706">
        <f t="shared" si="10"/>
        <v>100</v>
      </c>
      <c r="T35" s="705" t="s">
        <v>14</v>
      </c>
      <c r="U35" s="706">
        <f t="shared" si="11"/>
        <v>100</v>
      </c>
      <c r="V35" s="705" t="s">
        <v>14</v>
      </c>
      <c r="W35" s="706">
        <f t="shared" si="12"/>
        <v>100</v>
      </c>
      <c r="X35" s="1355"/>
      <c r="Y35" s="377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74"/>
      <c r="Q36" s="1352" t="str">
        <f t="shared" si="14"/>
        <v>宗地开发程度</v>
      </c>
      <c r="R36" s="701" t="s">
        <v>14</v>
      </c>
      <c r="S36" s="702">
        <f t="shared" si="10"/>
        <v>100</v>
      </c>
      <c r="T36" s="701" t="s">
        <v>14</v>
      </c>
      <c r="U36" s="702">
        <f t="shared" si="11"/>
        <v>100</v>
      </c>
      <c r="V36" s="701" t="s">
        <v>14</v>
      </c>
      <c r="W36" s="702">
        <f t="shared" si="12"/>
        <v>100</v>
      </c>
      <c r="X36" s="703"/>
      <c r="Y36" s="377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74" t="s">
        <v>1696</v>
      </c>
      <c r="Q37" s="1352" t="str">
        <f t="shared" si="14"/>
        <v>工程地质条件</v>
      </c>
      <c r="R37" s="705" t="s">
        <v>14</v>
      </c>
      <c r="S37" s="706">
        <f t="shared" si="10"/>
        <v>100</v>
      </c>
      <c r="T37" s="705" t="s">
        <v>14</v>
      </c>
      <c r="U37" s="706">
        <f t="shared" si="11"/>
        <v>100</v>
      </c>
      <c r="V37" s="705" t="s">
        <v>14</v>
      </c>
      <c r="W37" s="706">
        <f t="shared" si="12"/>
        <v>100</v>
      </c>
      <c r="X37" s="1355"/>
      <c r="Y37" s="377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74"/>
      <c r="Q38" s="1352">
        <f t="shared" si="14"/>
        <v>111</v>
      </c>
      <c r="R38" s="705" t="s">
        <v>14</v>
      </c>
      <c r="S38" s="706">
        <f t="shared" si="10"/>
        <v>100</v>
      </c>
      <c r="T38" s="705" t="s">
        <v>14</v>
      </c>
      <c r="U38" s="706">
        <f t="shared" si="11"/>
        <v>100</v>
      </c>
      <c r="V38" s="705" t="s">
        <v>14</v>
      </c>
      <c r="W38" s="706">
        <f t="shared" si="12"/>
        <v>100</v>
      </c>
      <c r="X38" s="1355"/>
      <c r="Y38" s="377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74"/>
      <c r="Q39" s="1352">
        <f t="shared" si="14"/>
        <v>111</v>
      </c>
      <c r="R39" s="705" t="s">
        <v>14</v>
      </c>
      <c r="S39" s="706">
        <f t="shared" si="10"/>
        <v>100</v>
      </c>
      <c r="T39" s="705" t="s">
        <v>14</v>
      </c>
      <c r="U39" s="706">
        <f t="shared" si="11"/>
        <v>100</v>
      </c>
      <c r="V39" s="705" t="s">
        <v>14</v>
      </c>
      <c r="W39" s="706">
        <f t="shared" si="12"/>
        <v>100</v>
      </c>
      <c r="X39" s="1355"/>
      <c r="Y39" s="377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74"/>
      <c r="Q40" s="1352">
        <f t="shared" si="14"/>
        <v>111</v>
      </c>
      <c r="R40" s="708" t="s">
        <v>14</v>
      </c>
      <c r="S40" s="709">
        <f t="shared" si="10"/>
        <v>100</v>
      </c>
      <c r="T40" s="708" t="s">
        <v>14</v>
      </c>
      <c r="U40" s="709">
        <f t="shared" si="11"/>
        <v>100</v>
      </c>
      <c r="V40" s="708" t="s">
        <v>14</v>
      </c>
      <c r="W40" s="709">
        <f t="shared" si="12"/>
        <v>100</v>
      </c>
      <c r="X40" s="710"/>
      <c r="Y40" s="377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67" t="str">
        <f>A41</f>
        <v>成交单价</v>
      </c>
      <c r="Q41" s="3767"/>
      <c r="R41" s="3762">
        <f>E41</f>
        <v>0</v>
      </c>
      <c r="S41" s="3762"/>
      <c r="T41" s="3762">
        <f>G41</f>
        <v>0</v>
      </c>
      <c r="U41" s="3762"/>
      <c r="V41" s="3762">
        <f>I41</f>
        <v>0</v>
      </c>
      <c r="W41" s="376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67" t="str">
        <f>A42</f>
        <v>比较价值（元/平方米）</v>
      </c>
      <c r="Q42" s="3767"/>
      <c r="R42" s="3795" t="e">
        <f>ROUND(PRODUCT(R41,AA7:AA40),0)</f>
        <v>#DIV/0!</v>
      </c>
      <c r="S42" s="3795"/>
      <c r="T42" s="3795" t="e">
        <f>ROUND(PRODUCT(T41,AB7:AB40),0)</f>
        <v>#DIV/0!</v>
      </c>
      <c r="U42" s="3795"/>
      <c r="V42" s="3795" t="e">
        <f>ROUND(PRODUCT(V41,AC7:AC40),0)</f>
        <v>#DIV/0!</v>
      </c>
      <c r="W42" s="379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64" t="str">
        <f>A43</f>
        <v>估价对象XX用房的比较价值（楼面单价，元/平方米）</v>
      </c>
      <c r="Q43" s="3765"/>
      <c r="R43" s="3796" t="e">
        <f>ROUND(IF(D42="简单平均",AVERAGE(R42:W42),R42*F42+T42*H42+V42*J42),0)</f>
        <v>#DIV/0!</v>
      </c>
      <c r="S43" s="3796"/>
      <c r="T43" s="3796"/>
      <c r="U43" s="3796"/>
      <c r="V43" s="3796"/>
      <c r="W43" s="379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50" t="s">
        <v>1887</v>
      </c>
      <c r="H50" s="379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9808.4800000000014</v>
      </c>
      <c r="F51" s="639" t="e">
        <f t="shared" ref="F51:F60" si="15">ROUND(B51*E51/10000,0)</f>
        <v>#DIV/0!</v>
      </c>
      <c r="G51" s="3749"/>
      <c r="H51" s="376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三级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三级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三级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三级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三级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10112.900000000001</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三级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2435.9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"北京市平均增长率"&amp;TEXT(基准地价修正商业!P28,"0.00%")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5" t="s">
        <v>2084</v>
      </c>
      <c r="D1" s="3806"/>
      <c r="E1" s="3806"/>
      <c r="F1" s="3806"/>
      <c r="G1" s="3806"/>
      <c r="H1" s="3806"/>
      <c r="I1" s="3806"/>
      <c r="J1" s="3806"/>
      <c r="K1" s="3806"/>
      <c r="L1" s="3806"/>
      <c r="M1" s="3806"/>
      <c r="N1" s="3806"/>
      <c r="O1" s="3806"/>
      <c r="P1" s="3806"/>
      <c r="Q1" s="3806"/>
      <c r="R1" s="3806"/>
      <c r="S1" s="380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02" t="s">
        <v>27</v>
      </c>
      <c r="D22" s="3803"/>
      <c r="E22" s="3803"/>
      <c r="F22" s="3803"/>
      <c r="G22" s="3803"/>
      <c r="H22" s="3803"/>
      <c r="I22" s="3803"/>
      <c r="J22" s="3803"/>
      <c r="K22" s="3803"/>
      <c r="L22" s="3803"/>
      <c r="M22" s="3803"/>
      <c r="N22" s="3803"/>
      <c r="O22" s="3803"/>
      <c r="P22" s="3803"/>
      <c r="Q22" s="380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#REF!</v>
      </c>
      <c r="C6" s="2145" t="s">
        <v>2074</v>
      </c>
      <c r="D6" s="2793"/>
      <c r="E6" s="2612" t="e">
        <f ca="1">SUMIF(INDIRECT("'"&amp;A6&amp;"'"&amp;"!C:C"),"建筑面积",INDIRECT("'"&amp;A6&amp;"'"&amp;"!D:D"))</f>
        <v>#REF!</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3" sqref="E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23576.310000000005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27745</v>
      </c>
      <c r="C2" s="1999" t="s">
        <v>1935</v>
      </c>
      <c r="D2" s="2000" t="s">
        <v>1936</v>
      </c>
      <c r="E2" s="3422"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Ⅲ—25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24495</v>
      </c>
      <c r="U2" s="1213">
        <f>面积!O6+面积!O7</f>
        <v>4250.6000000000004</v>
      </c>
      <c r="V2" s="3361">
        <f>ROUND(T2*U2/10000,0)</f>
        <v>10412</v>
      </c>
      <c r="W2" s="1216"/>
      <c r="X2" s="1216"/>
      <c r="Y2" s="1216"/>
      <c r="Z2" s="1216"/>
      <c r="AA2" s="1216"/>
      <c r="AB2" s="1216"/>
      <c r="AC2" s="1217"/>
      <c r="AD2" s="1218"/>
      <c r="AE2" s="1218"/>
      <c r="AF2" s="1218"/>
      <c r="AG2" s="1218"/>
      <c r="AH2" s="1218"/>
      <c r="AI2" s="1218"/>
      <c r="AJ2" s="1219"/>
    </row>
    <row r="3" spans="1:36" ht="15.75">
      <c r="A3" s="203" t="s">
        <v>1940</v>
      </c>
      <c r="B3" s="204">
        <f>ROUND(B2*10000/D1,0)</f>
        <v>11768</v>
      </c>
      <c r="C3" s="1999" t="s">
        <v>1941</v>
      </c>
      <c r="D3" s="2000" t="s">
        <v>1942</v>
      </c>
      <c r="E3" s="3420" t="s">
        <v>2443</v>
      </c>
      <c r="F3" s="2004" t="s">
        <v>3641</v>
      </c>
      <c r="G3" s="752">
        <f>IF(F3="宗地容积率",'数据-汇总表'!I4,IF(F3="估价对象容积率",'数据-汇总表'!I6,'数据-汇总表'!I7))</f>
        <v>4.03</v>
      </c>
      <c r="H3" s="170" t="s">
        <v>1943</v>
      </c>
      <c r="I3" s="775"/>
      <c r="J3" s="2002" t="s">
        <v>1944</v>
      </c>
      <c r="K3" s="1119"/>
      <c r="L3" s="2003" t="s">
        <v>1945</v>
      </c>
      <c r="M3" s="864">
        <f>SUMPRODUCT((区片价!B30:B54=I2)*(区片价!C3:G3=E2)*(区片价!C30:G54))</f>
        <v>22460</v>
      </c>
      <c r="N3" s="866">
        <f>SUMPRODUCT((因素修正幅度!B30:B54=I2)*(因素修正幅度!C3:G3=E2)*(因素修正幅度!C30:G54))</f>
        <v>9.6000000000000002E-2</v>
      </c>
      <c r="O3" s="1119"/>
      <c r="P3" s="1119"/>
      <c r="Q3" s="1119"/>
      <c r="R3" s="1212">
        <v>2</v>
      </c>
      <c r="S3" s="3361">
        <f>ROUND(SUMPRODUCT((B106:B110=R3)*(C105:N105=G2)*(C106:N110)),4)</f>
        <v>1.1838</v>
      </c>
      <c r="T3" s="3361">
        <f t="shared" si="0"/>
        <v>19307</v>
      </c>
      <c r="U3" s="1213">
        <f>面积!O8+面积!O9</f>
        <v>5557.88</v>
      </c>
      <c r="V3" s="3361">
        <f t="shared" ref="V3:V16" si="1">ROUND(T3*U3/10000,0)</f>
        <v>10731</v>
      </c>
      <c r="W3" s="1216"/>
      <c r="X3" s="1216"/>
      <c r="Y3" s="1216"/>
      <c r="Z3" s="1216"/>
      <c r="AA3" s="1216"/>
      <c r="AB3" s="1216"/>
      <c r="AC3" s="1217"/>
      <c r="AD3" s="1218"/>
      <c r="AE3" s="1218"/>
      <c r="AF3" s="1218"/>
      <c r="AG3" s="1218"/>
      <c r="AH3" s="1218"/>
      <c r="AI3" s="1218"/>
      <c r="AJ3" s="1219"/>
    </row>
    <row r="4" spans="1:36" ht="15.75">
      <c r="A4" s="3815"/>
      <c r="B4" s="3816"/>
      <c r="C4" s="3816"/>
      <c r="D4" s="3817"/>
      <c r="E4" s="3817"/>
      <c r="F4" s="3817"/>
      <c r="G4" s="3817"/>
      <c r="H4" s="3817"/>
      <c r="I4" s="3817"/>
      <c r="J4" s="381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16318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22460</v>
      </c>
      <c r="D5" s="1339">
        <f>ROUND(C6*C17+C20,0)</f>
        <v>22460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14392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22460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13831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4.03</v>
      </c>
      <c r="AA7" s="1216"/>
      <c r="AB7" s="1216"/>
      <c r="AC7" s="1217"/>
      <c r="AD7" s="1218"/>
      <c r="AE7" s="1218"/>
      <c r="AF7" s="1218"/>
      <c r="AG7" s="1218"/>
      <c r="AH7" s="1218"/>
      <c r="AI7" s="1218"/>
      <c r="AJ7" s="1219"/>
    </row>
    <row r="8" spans="1:36" ht="25.5">
      <c r="A8" s="3299"/>
      <c r="B8" s="170" t="s">
        <v>1957</v>
      </c>
      <c r="C8" s="2026" t="s">
        <v>3492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812" t="s">
        <v>1960</v>
      </c>
      <c r="X8" s="381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81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81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19" t="s">
        <v>3260</v>
      </c>
      <c r="B20" s="167" t="s">
        <v>1994</v>
      </c>
      <c r="C20" s="3325">
        <f>ROUND(IF(F21="与级别开发程度一致",0,(G21-E21)/C21),0)</f>
        <v>0</v>
      </c>
      <c r="D20" s="3341" t="s">
        <v>1998</v>
      </c>
      <c r="E20" s="3342"/>
      <c r="F20" s="3825" t="s">
        <v>1995</v>
      </c>
      <c r="G20" s="382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82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3493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45183</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0.66669999999999996</v>
      </c>
      <c r="D24" s="2060" t="s">
        <v>2007</v>
      </c>
      <c r="E24" s="1335">
        <f>存贷款利率!E24/100</f>
        <v>4.3499999999999997E-2</v>
      </c>
      <c r="F24" s="2060" t="s">
        <v>1999</v>
      </c>
      <c r="G24" s="768">
        <f>SUMIF(M30:Q30,E2,M33:Q33)</f>
        <v>5.5E-2</v>
      </c>
      <c r="H24" s="2060" t="s">
        <v>2008</v>
      </c>
      <c r="I24" s="769">
        <f>SUMIF('数据-取费表'!C6:C15,E2,'数据-取费表'!F6:F15)/COUNTIF('数据-取费表'!C6:C15,E2)</f>
        <v>16.579999999999998</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3494</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0.9345</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0.93540000000000001</v>
      </c>
      <c r="G26" s="752">
        <f>ROUNDUP(G3,1)</f>
        <v>4.0999999999999996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0.93240000000000001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1.0478000000000001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27745</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1650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'数据-汇总表'!F19</f>
        <v>9808.4800000000014</v>
      </c>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23"/>
      <c r="B37" s="2113" t="s">
        <v>2036</v>
      </c>
      <c r="C37" s="175">
        <f>ROUND(D5*C22*C23*C24*C28*F37,0)</f>
        <v>9786</v>
      </c>
      <c r="D37" s="2098">
        <f>面积!O5</f>
        <v>3654.93</v>
      </c>
      <c r="E37" s="171">
        <f>ROUND(C37*D37/10000,0)</f>
        <v>3577</v>
      </c>
      <c r="F37" s="171">
        <f>SUMIF(修正!A57:A68,G2,修正!B57:B68)</f>
        <v>0.6</v>
      </c>
      <c r="G37" s="171">
        <f>ROUND(IF(E2="工业",C37*$M$42,C37*$M$41),0)</f>
        <v>2447</v>
      </c>
      <c r="H37" s="171">
        <f>D37</f>
        <v>3654.93</v>
      </c>
      <c r="I37" s="171">
        <f>ROUND(G37*H37/10000,0)</f>
        <v>894</v>
      </c>
      <c r="J37" s="3012"/>
      <c r="K37" s="3359" t="s">
        <v>3272</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24"/>
      <c r="B38" s="2041" t="s">
        <v>2037</v>
      </c>
      <c r="C38" s="175">
        <f>ROUND(D5*C22*C23*C24*C28*F38,0)</f>
        <v>4893</v>
      </c>
      <c r="D38" s="2098"/>
      <c r="E38" s="171">
        <f t="shared" ref="E38:E42" si="4">ROUND(C38*D38/10000,0)</f>
        <v>0</v>
      </c>
      <c r="F38" s="171">
        <f>SUMIF(修正!A57:A68,G2,修正!C57:C68)</f>
        <v>0.3</v>
      </c>
      <c r="G38" s="171">
        <f>ROUND(IF(E2="工业",C38*$M$42,C38*$M$41),0)</f>
        <v>1223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24"/>
      <c r="B39" s="2041" t="s">
        <v>3265</v>
      </c>
      <c r="C39" s="175">
        <f>ROUND(D5*C22*C23*C24*C28*F39,0)</f>
        <v>4077</v>
      </c>
      <c r="D39" s="2098"/>
      <c r="E39" s="171">
        <f t="shared" si="4"/>
        <v>0</v>
      </c>
      <c r="F39" s="171">
        <f>SUMIF(修正!A57:A68,G2,修正!D57:D68)</f>
        <v>0.25</v>
      </c>
      <c r="G39" s="171">
        <f>ROUND(IF(E2="工业",C39*$M$42,C39*$M$41),0)</f>
        <v>1019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4077</v>
      </c>
      <c r="D40" s="2098"/>
      <c r="E40" s="171">
        <f t="shared" si="4"/>
        <v>0</v>
      </c>
      <c r="F40" s="175">
        <f>SUMIF(修正!A57:A68,G2,修正!E57:E68)</f>
        <v>0.25</v>
      </c>
      <c r="G40" s="171">
        <f>ROUND(IF(E2="工业",C40*$M$42,C40*$M$41),0)</f>
        <v>1019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4986</v>
      </c>
      <c r="D41" s="2098"/>
      <c r="E41" s="171">
        <f t="shared" si="4"/>
        <v>0</v>
      </c>
      <c r="F41" s="175">
        <f>SUMIF(修正!A57:A68,G2,修正!F57:F68)</f>
        <v>0.25</v>
      </c>
      <c r="G41" s="171">
        <f>ROUND(IF(E2="工业",C41*$M$42,C41*$M$41),0)</f>
        <v>1247</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2991</v>
      </c>
      <c r="D42" s="2103">
        <f>面积!O10+面积!O11+面积!O12</f>
        <v>10112.900000000001</v>
      </c>
      <c r="E42" s="187">
        <f t="shared" si="4"/>
        <v>3025</v>
      </c>
      <c r="F42" s="767">
        <f>SUMIF(修正!A57:A68,G2,修正!G57:G68)</f>
        <v>0.15</v>
      </c>
      <c r="G42" s="187">
        <f>ROUND(IF(E2="工业",C42*$M$42,C42*$M$41),0)</f>
        <v>748</v>
      </c>
      <c r="H42" s="187">
        <f t="shared" si="5"/>
        <v>10112.900000000001</v>
      </c>
      <c r="I42" s="187">
        <f t="shared" si="6"/>
        <v>756</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0.81520000000000004</v>
      </c>
      <c r="D44" s="171" t="s">
        <v>1999</v>
      </c>
      <c r="E44" s="2153">
        <f>G24</f>
        <v>5.5E-2</v>
      </c>
      <c r="F44" s="171" t="s">
        <v>2008</v>
      </c>
      <c r="G44" s="183">
        <f>项目基本情况!F15</f>
        <v>26.59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1.0478000000000001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3495" t="s">
        <v>3495</v>
      </c>
      <c r="D50" s="1065">
        <f t="shared" ref="D50:D58" si="7">SUMIF($J$49:$N$49,C50,J50:N50)</f>
        <v>1.44E-2</v>
      </c>
      <c r="E50" s="744">
        <f>ROUND(SUM(D50:D58),4)</f>
        <v>4.7800000000000002E-2</v>
      </c>
      <c r="F50" s="1814">
        <f>IF(E2="商业",SUMIF(L1:L12,G2,N1:N12),"——")</f>
        <v>9.6000000000000002E-2</v>
      </c>
      <c r="G50" s="1063">
        <f>H50</f>
        <v>1.44E-2</v>
      </c>
      <c r="H50" s="1066">
        <f t="shared" ref="H50:H58" si="8">IFERROR(ROUNDDOWN($F$50*I50/2,4),"——")</f>
        <v>1.44E-2</v>
      </c>
      <c r="I50" s="3367">
        <v>0.3</v>
      </c>
      <c r="J50" s="1064">
        <f t="shared" ref="J50:J58" si="9">K50+$G50</f>
        <v>2.8799999999999999E-2</v>
      </c>
      <c r="K50" s="1064">
        <f t="shared" ref="K50:K58" si="10">$L50+$G50</f>
        <v>1.44E-2</v>
      </c>
      <c r="L50" s="1064">
        <v>0</v>
      </c>
      <c r="M50" s="1064">
        <f t="shared" ref="M50:N58" si="11">L50-$G50</f>
        <v>-1.44E-2</v>
      </c>
      <c r="N50" s="1064">
        <f t="shared" si="11"/>
        <v>-2.8799999999999999E-2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3495" t="s">
        <v>3495</v>
      </c>
      <c r="D51" s="1065">
        <f t="shared" si="7"/>
        <v>1.0500000000000001E-2</v>
      </c>
      <c r="E51" s="745"/>
      <c r="F51" s="1814"/>
      <c r="G51" s="1063">
        <f t="shared" ref="G51:G58" si="12">H51</f>
        <v>1.0500000000000001E-2</v>
      </c>
      <c r="H51" s="1066">
        <f t="shared" si="8"/>
        <v>1.0500000000000001E-2</v>
      </c>
      <c r="I51" s="3367">
        <v>0.22</v>
      </c>
      <c r="J51" s="1064">
        <f t="shared" si="9"/>
        <v>2.1000000000000001E-2</v>
      </c>
      <c r="K51" s="1064">
        <f t="shared" si="10"/>
        <v>1.0500000000000001E-2</v>
      </c>
      <c r="L51" s="1064">
        <v>0</v>
      </c>
      <c r="M51" s="1064">
        <f t="shared" si="11"/>
        <v>-1.0500000000000001E-2</v>
      </c>
      <c r="N51" s="1064">
        <f t="shared" si="11"/>
        <v>-2.1000000000000001E-2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3495" t="s">
        <v>3495</v>
      </c>
      <c r="D52" s="1065">
        <f t="shared" si="7"/>
        <v>5.7000000000000002E-3</v>
      </c>
      <c r="E52" s="745"/>
      <c r="F52" s="1814"/>
      <c r="G52" s="1063">
        <f t="shared" si="12"/>
        <v>5.7000000000000002E-3</v>
      </c>
      <c r="H52" s="1066">
        <f t="shared" si="8"/>
        <v>5.7000000000000002E-3</v>
      </c>
      <c r="I52" s="3367">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2054</v>
      </c>
      <c r="B53" s="2135" t="s">
        <v>2055</v>
      </c>
      <c r="C53" s="3495" t="s">
        <v>3495</v>
      </c>
      <c r="D53" s="1065">
        <f t="shared" si="7"/>
        <v>2.3999999999999998E-3</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3495" t="s">
        <v>3496</v>
      </c>
      <c r="D54" s="1065">
        <f t="shared" si="7"/>
        <v>0</v>
      </c>
      <c r="E54" s="745"/>
      <c r="F54" s="1814"/>
      <c r="G54" s="1063">
        <f t="shared" si="12"/>
        <v>3.8E-3</v>
      </c>
      <c r="H54" s="1066">
        <f t="shared" si="8"/>
        <v>3.8E-3</v>
      </c>
      <c r="I54" s="3367">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3495" t="s">
        <v>3495</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3495" t="s">
        <v>3495</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3495" t="s">
        <v>3497</v>
      </c>
      <c r="D57" s="1065">
        <f t="shared" si="7"/>
        <v>7.6E-3</v>
      </c>
      <c r="E57" s="745"/>
      <c r="F57" s="1814"/>
      <c r="G57" s="1063">
        <f t="shared" si="12"/>
        <v>3.8E-3</v>
      </c>
      <c r="H57" s="1066">
        <f t="shared" si="8"/>
        <v>3.8E-3</v>
      </c>
      <c r="I57" s="3367">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3495" t="s">
        <v>3495</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3276</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821" t="s">
        <v>3300</v>
      </c>
      <c r="B103" s="3821"/>
      <c r="C103" s="3821"/>
      <c r="D103" s="3821"/>
      <c r="E103" s="3821"/>
      <c r="F103" s="3821"/>
      <c r="G103" s="3821"/>
      <c r="H103" s="3821"/>
      <c r="I103" s="3821"/>
      <c r="J103" s="3821"/>
      <c r="K103" s="3390"/>
      <c r="L103" s="3390"/>
      <c r="M103" s="3390"/>
      <c r="N103" s="3390"/>
    </row>
    <row r="104" spans="1:14">
      <c r="A104" s="3822" t="s">
        <v>3301</v>
      </c>
      <c r="B104" s="3822" t="s">
        <v>3302</v>
      </c>
      <c r="C104" s="3391" t="s">
        <v>3303</v>
      </c>
      <c r="D104" s="3392"/>
      <c r="E104" s="3392"/>
      <c r="F104" s="3392"/>
      <c r="G104" s="3392"/>
      <c r="H104" s="3392"/>
      <c r="I104" s="3392"/>
      <c r="J104" s="3393"/>
      <c r="K104" s="3394"/>
      <c r="L104" s="3394"/>
      <c r="M104" s="3394"/>
      <c r="N104" s="3394"/>
    </row>
    <row r="105" spans="1:14">
      <c r="A105" s="3822"/>
      <c r="B105" s="382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80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0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0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0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0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09"/>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81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811" t="s">
        <v>3317</v>
      </c>
      <c r="B113" s="3811"/>
      <c r="C113" s="3811"/>
      <c r="D113" s="3811"/>
      <c r="E113" s="3811"/>
      <c r="F113" s="3811"/>
      <c r="G113" s="3811"/>
      <c r="H113" s="3811"/>
      <c r="I113" s="3811"/>
      <c r="J113" s="381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4.03</v>
      </c>
      <c r="C116" s="3400" t="s">
        <v>3319</v>
      </c>
      <c r="D116" s="3401">
        <f>SUMPRODUCT((A118:A122=F116)*(B117:M117=H116)*B118:M122)</f>
        <v>0.89259999999999995</v>
      </c>
      <c r="E116" s="2000" t="s">
        <v>3320</v>
      </c>
      <c r="F116" s="3402" t="str">
        <f>E2</f>
        <v>商业</v>
      </c>
      <c r="G116" s="2000" t="s">
        <v>3321</v>
      </c>
      <c r="H116" s="3402" t="str">
        <f>G2</f>
        <v>三级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0.95250000000000001</v>
      </c>
      <c r="C118" s="3388">
        <f>B118</f>
        <v>0.95250000000000001</v>
      </c>
      <c r="D118" s="3388">
        <f>ROUND(0.949-0.014*B116,4)</f>
        <v>0.89259999999999995</v>
      </c>
      <c r="E118" s="3388">
        <f>D118</f>
        <v>0.89259999999999995</v>
      </c>
      <c r="F118" s="3388">
        <f>E118</f>
        <v>0.89259999999999995</v>
      </c>
      <c r="G118" s="3388">
        <f>F118</f>
        <v>0.89259999999999995</v>
      </c>
      <c r="H118" s="3388">
        <f>G118</f>
        <v>0.89259999999999995</v>
      </c>
      <c r="I118" s="3388">
        <f>ROUND(0.8486-0.018*B116,4)</f>
        <v>0.77610000000000001</v>
      </c>
      <c r="J118" s="3388">
        <f t="shared" ref="J118:M122" si="36">I118</f>
        <v>0.77610000000000001</v>
      </c>
      <c r="K118" s="3388">
        <f t="shared" si="36"/>
        <v>0.77610000000000001</v>
      </c>
      <c r="L118" s="3388">
        <f t="shared" si="36"/>
        <v>0.77610000000000001</v>
      </c>
      <c r="M118" s="3411">
        <f t="shared" si="36"/>
        <v>0.77610000000000001</v>
      </c>
      <c r="N118" s="3398"/>
    </row>
    <row r="119" spans="1:14">
      <c r="A119" s="3410" t="s">
        <v>3335</v>
      </c>
      <c r="B119" s="3388">
        <f>ROUND(0.993-0.0112*B116,4)</f>
        <v>0.94789999999999996</v>
      </c>
      <c r="C119" s="3388">
        <f>B119</f>
        <v>0.94789999999999996</v>
      </c>
      <c r="D119" s="3388">
        <f>ROUND(0.9415-0.0142*B116,4)</f>
        <v>0.88429999999999997</v>
      </c>
      <c r="E119" s="3388">
        <f t="shared" ref="E119:H120" si="37">D119</f>
        <v>0.88429999999999997</v>
      </c>
      <c r="F119" s="3388">
        <f t="shared" si="37"/>
        <v>0.88429999999999997</v>
      </c>
      <c r="G119" s="3388">
        <f t="shared" si="37"/>
        <v>0.88429999999999997</v>
      </c>
      <c r="H119" s="3388">
        <f t="shared" si="37"/>
        <v>0.88429999999999997</v>
      </c>
      <c r="I119" s="3388">
        <f>ROUND(0.838-0.0182*B116,4)</f>
        <v>0.76470000000000005</v>
      </c>
      <c r="J119" s="3388">
        <f t="shared" si="36"/>
        <v>0.76470000000000005</v>
      </c>
      <c r="K119" s="3388">
        <f t="shared" si="36"/>
        <v>0.76470000000000005</v>
      </c>
      <c r="L119" s="3388">
        <f t="shared" si="36"/>
        <v>0.76470000000000005</v>
      </c>
      <c r="M119" s="3411">
        <f t="shared" si="36"/>
        <v>0.76470000000000005</v>
      </c>
      <c r="N119" s="3398"/>
    </row>
    <row r="120" spans="1:14">
      <c r="A120" s="3410" t="s">
        <v>3336</v>
      </c>
      <c r="B120" s="3388">
        <f>ROUND(0.9448-0.0115*B116,4)</f>
        <v>0.89849999999999997</v>
      </c>
      <c r="C120" s="3388">
        <f>B120</f>
        <v>0.89849999999999997</v>
      </c>
      <c r="D120" s="3388">
        <f>ROUND(0.937-0.0145*B116,4)</f>
        <v>0.87860000000000005</v>
      </c>
      <c r="E120" s="3388">
        <f t="shared" si="37"/>
        <v>0.87860000000000005</v>
      </c>
      <c r="F120" s="3388">
        <f t="shared" si="37"/>
        <v>0.87860000000000005</v>
      </c>
      <c r="G120" s="3388">
        <f t="shared" si="37"/>
        <v>0.87860000000000005</v>
      </c>
      <c r="H120" s="3388">
        <f t="shared" si="37"/>
        <v>0.87860000000000005</v>
      </c>
      <c r="I120" s="3388">
        <f>ROUND(0.7965-0.0185*B116,4)</f>
        <v>0.72189999999999999</v>
      </c>
      <c r="J120" s="3388">
        <f t="shared" si="36"/>
        <v>0.72189999999999999</v>
      </c>
      <c r="K120" s="3388">
        <f t="shared" si="36"/>
        <v>0.72189999999999999</v>
      </c>
      <c r="L120" s="3388">
        <f t="shared" si="36"/>
        <v>0.72189999999999999</v>
      </c>
      <c r="M120" s="3411">
        <f t="shared" si="36"/>
        <v>0.72189999999999999</v>
      </c>
      <c r="N120" s="3398"/>
    </row>
    <row r="121" spans="1:14" ht="13.5" thickBot="1">
      <c r="A121" s="3412" t="s">
        <v>3337</v>
      </c>
      <c r="B121" s="3413">
        <f>ROUND(0.7836-0.012*B116,4)</f>
        <v>0.73519999999999996</v>
      </c>
      <c r="C121" s="3413">
        <f>B121</f>
        <v>0.73519999999999996</v>
      </c>
      <c r="D121" s="3413">
        <f>ROUND(0.753-0.015*B116,4)</f>
        <v>0.69259999999999999</v>
      </c>
      <c r="E121" s="3413">
        <f>D121</f>
        <v>0.69259999999999999</v>
      </c>
      <c r="F121" s="3413">
        <f>E121</f>
        <v>0.69259999999999999</v>
      </c>
      <c r="G121" s="3413">
        <f>ROUND(0.6612-0.018*B116,4)</f>
        <v>0.5887</v>
      </c>
      <c r="H121" s="3413">
        <f>G121</f>
        <v>0.5887</v>
      </c>
      <c r="I121" s="3413">
        <f>ROUND(0.5905-0.019*B116,4)</f>
        <v>0.51390000000000002</v>
      </c>
      <c r="J121" s="3413">
        <f t="shared" si="36"/>
        <v>0.51390000000000002</v>
      </c>
      <c r="K121" s="3413">
        <f t="shared" si="36"/>
        <v>0.51390000000000002</v>
      </c>
      <c r="L121" s="3413">
        <f t="shared" si="36"/>
        <v>0.51390000000000002</v>
      </c>
      <c r="M121" s="3414">
        <f t="shared" si="36"/>
        <v>0.51390000000000002</v>
      </c>
      <c r="N121" s="3398"/>
    </row>
    <row r="122" spans="1:14">
      <c r="A122" s="3415" t="s">
        <v>2616</v>
      </c>
      <c r="B122" s="3388">
        <f>ROUND(0.9404-0.0106*B116,4)</f>
        <v>0.89770000000000005</v>
      </c>
      <c r="C122" s="3388">
        <f>B122</f>
        <v>0.89770000000000005</v>
      </c>
      <c r="D122" s="3388">
        <f>ROUND(0.8955-0.0135*B116,4)</f>
        <v>0.84109999999999996</v>
      </c>
      <c r="E122" s="3388">
        <f t="shared" ref="E122:H122" si="38">D122</f>
        <v>0.84109999999999996</v>
      </c>
      <c r="F122" s="3388">
        <f t="shared" si="38"/>
        <v>0.84109999999999996</v>
      </c>
      <c r="G122" s="3388">
        <f t="shared" si="38"/>
        <v>0.84109999999999996</v>
      </c>
      <c r="H122" s="3388">
        <f t="shared" si="38"/>
        <v>0.84109999999999996</v>
      </c>
      <c r="I122" s="3388">
        <f>ROUND(0.7632-0.0166*B116,4)</f>
        <v>0.69630000000000003</v>
      </c>
      <c r="J122" s="3388">
        <f t="shared" si="36"/>
        <v>0.69630000000000003</v>
      </c>
      <c r="K122" s="3388">
        <f t="shared" si="36"/>
        <v>0.69630000000000003</v>
      </c>
      <c r="L122" s="3388">
        <f t="shared" si="36"/>
        <v>0.69630000000000003</v>
      </c>
      <c r="M122" s="3411">
        <f t="shared" si="36"/>
        <v>0.69630000000000003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0"/>
      <c r="C2" s="3520"/>
      <c r="D2" s="3520"/>
      <c r="E2" s="3520"/>
    </row>
    <row r="3" spans="1:5" ht="18">
      <c r="A3" s="3521" t="str">
        <f>IF(项目基本情况!B9="房地产市场价值","估价结果一览表（市场价值不需“结果表-1”）","估价结果一览表")</f>
        <v>估价结果一览表</v>
      </c>
      <c r="B3" s="3521"/>
      <c r="C3" s="3521"/>
      <c r="D3" s="3521"/>
      <c r="E3" s="3521"/>
    </row>
    <row r="4" spans="1:5" ht="19.5" thickBot="1">
      <c r="A4" s="1493"/>
      <c r="B4" s="3519" t="s">
        <v>917</v>
      </c>
      <c r="C4" s="3519"/>
      <c r="D4" s="3519"/>
      <c r="E4" s="1493"/>
    </row>
    <row r="5" spans="1:5" ht="16.5" thickTop="1">
      <c r="A5" s="1491"/>
      <c r="B5" s="3517" t="s">
        <v>909</v>
      </c>
      <c r="C5" s="1494" t="s">
        <v>910</v>
      </c>
      <c r="D5" s="850">
        <f ca="1">结果表!H101</f>
        <v>48085</v>
      </c>
      <c r="E5" s="1491"/>
    </row>
    <row r="6" spans="1:5" ht="15.75">
      <c r="A6" s="1491"/>
      <c r="B6" s="3517"/>
      <c r="C6" s="1494" t="s">
        <v>911</v>
      </c>
      <c r="D6" s="850" t="str">
        <f ca="1">NUMBERSTRING(INT(D5*10000),2)&amp;"元整"</f>
        <v>肆亿捌仟零捌拾伍万元整</v>
      </c>
      <c r="E6" s="1491"/>
    </row>
    <row r="7" spans="1:5" ht="15.75">
      <c r="A7" s="1491"/>
      <c r="B7" s="3522"/>
      <c r="C7" s="1495" t="s">
        <v>912</v>
      </c>
      <c r="D7" s="851">
        <f ca="1">结果表!H102</f>
        <v>20395</v>
      </c>
      <c r="E7" s="1491"/>
    </row>
    <row r="8" spans="1:5" ht="15.75">
      <c r="A8" s="1491"/>
      <c r="B8" s="3523" t="str">
        <f>结果表!E103</f>
        <v>2.估价师知悉的法定优先受偿款</v>
      </c>
      <c r="C8" s="1496" t="s">
        <v>913</v>
      </c>
      <c r="D8" s="851">
        <f>结果表!H103</f>
        <v>0</v>
      </c>
      <c r="E8" s="1491"/>
    </row>
    <row r="9" spans="1:5" ht="15.75">
      <c r="A9" s="1491"/>
      <c r="B9" s="352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16" t="str">
        <f>结果表!E107</f>
        <v>3.房地产抵押价值</v>
      </c>
      <c r="C13" s="1499" t="s">
        <v>910</v>
      </c>
      <c r="D13" s="853">
        <f ca="1">结果表!H107</f>
        <v>48085</v>
      </c>
      <c r="E13" s="1491"/>
    </row>
    <row r="14" spans="1:5" ht="15.75">
      <c r="A14" s="1491"/>
      <c r="B14" s="3517"/>
      <c r="C14" s="1494" t="s">
        <v>911</v>
      </c>
      <c r="D14" s="850" t="str">
        <f ca="1">NUMBERSTRING(INT(D13*10000),2)&amp;"元整"</f>
        <v>肆亿捌仟零捌拾伍万元整</v>
      </c>
      <c r="E14" s="1491"/>
    </row>
    <row r="15" spans="1:5" ht="15">
      <c r="A15" s="1491"/>
      <c r="B15" s="3522"/>
      <c r="C15" s="1495" t="s">
        <v>921</v>
      </c>
      <c r="D15" s="859">
        <f ca="1">结果表!H108</f>
        <v>20395</v>
      </c>
      <c r="E15" s="1491"/>
    </row>
    <row r="16" spans="1:5" ht="15">
      <c r="A16" s="1491"/>
      <c r="B16" s="3523" t="str">
        <f>结果表!E109</f>
        <v>——</v>
      </c>
      <c r="C16" s="1499" t="s">
        <v>922</v>
      </c>
      <c r="D16" s="1500" t="str">
        <f>结果表!H109</f>
        <v>——</v>
      </c>
      <c r="E16" s="1491"/>
    </row>
    <row r="17" spans="1:5" ht="15.75">
      <c r="A17" s="1491"/>
      <c r="B17" s="3524"/>
      <c r="C17" s="1494" t="s">
        <v>923</v>
      </c>
      <c r="D17" s="850" t="e">
        <f>NUMBERSTRING(INT(D16*10000),2)&amp;"元整"</f>
        <v>#VALUE!</v>
      </c>
      <c r="E17" s="1491"/>
    </row>
    <row r="18" spans="1:5" ht="15">
      <c r="A18" s="1491"/>
      <c r="B18" s="3525"/>
      <c r="C18" s="1495" t="s">
        <v>912</v>
      </c>
      <c r="D18" s="859" t="str">
        <f>结果表!H110</f>
        <v>——</v>
      </c>
      <c r="E18" s="1491"/>
    </row>
    <row r="19" spans="1:5" ht="15.75">
      <c r="A19" s="1491"/>
      <c r="B19" s="3516" t="str">
        <f>结果表!E111</f>
        <v>4.抵押净值</v>
      </c>
      <c r="C19" s="1499" t="s">
        <v>910</v>
      </c>
      <c r="D19" s="851">
        <f ca="1">结果表!H111</f>
        <v>41287</v>
      </c>
      <c r="E19" s="1491"/>
    </row>
    <row r="20" spans="1:5" ht="15.75">
      <c r="A20" s="1491"/>
      <c r="B20" s="3517"/>
      <c r="C20" s="1494" t="s">
        <v>923</v>
      </c>
      <c r="D20" s="850" t="str">
        <f ca="1">NUMBERSTRING(INT(D19*10000),2)&amp;"元整"</f>
        <v>肆亿壹仟贰佰捌拾柒万元整</v>
      </c>
      <c r="E20" s="1491"/>
    </row>
    <row r="21" spans="1:5" ht="15.75" thickBot="1">
      <c r="A21" s="1491"/>
      <c r="B21" s="3518"/>
      <c r="C21" s="1501" t="s">
        <v>921</v>
      </c>
      <c r="D21" s="860">
        <f ca="1">结果表!H112</f>
        <v>17512</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G61" sqref="G61:G6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23576.310000000005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t="s">
        <v>21</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Ⅲ—23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t="e">
        <f t="shared" ref="T2:T16" si="0">ROUND($C$5*$C$22*$C$23*$C$24*S2*$C$28,0)</f>
        <v>#DIV/0!</v>
      </c>
      <c r="U2" s="1213">
        <f>面积!O6+面积!O7</f>
        <v>4250.6000000000004</v>
      </c>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3642</v>
      </c>
      <c r="F3" s="2004" t="s">
        <v>3641</v>
      </c>
      <c r="G3" s="752">
        <f>IF(F3="宗地容积率",'数据-汇总表'!I4,IF(F3="估价对象容积率",'数据-汇总表'!I6,'数据-汇总表'!I7))</f>
        <v>4.03</v>
      </c>
      <c r="H3" s="170" t="s">
        <v>1943</v>
      </c>
      <c r="I3" s="775"/>
      <c r="J3" s="2002" t="s">
        <v>1944</v>
      </c>
      <c r="K3" s="1119"/>
      <c r="L3" s="2003" t="s">
        <v>1945</v>
      </c>
      <c r="M3" s="864">
        <f>SUMPRODUCT((区片价!B30:B54=I2)*(区片价!C3:G3=E2)*(区片价!C30:G54))</f>
        <v>22350</v>
      </c>
      <c r="N3" s="866">
        <f>SUMPRODUCT((因素修正幅度!B30:B54=I2)*(因素修正幅度!C3:G3=E2)*(因素修正幅度!C30:G54))</f>
        <v>9.6000000000000002E-2</v>
      </c>
      <c r="O3" s="1119"/>
      <c r="P3" s="1119"/>
      <c r="Q3" s="1119"/>
      <c r="R3" s="1212">
        <v>2</v>
      </c>
      <c r="S3" s="3361">
        <f>ROUND(SUMPRODUCT((B106:B110=R3)*(C105:N105=G2)*(C106:N110)),4)</f>
        <v>1.1838</v>
      </c>
      <c r="T3" s="3361" t="e">
        <f t="shared" si="0"/>
        <v>#DIV/0!</v>
      </c>
      <c r="U3" s="1213">
        <f>面积!O8+面积!O9</f>
        <v>5557.88</v>
      </c>
      <c r="V3" s="3361" t="e">
        <f t="shared" ref="V3:V16" si="1">ROUND(T3*U3/10000,0)</f>
        <v>#DIV/0!</v>
      </c>
      <c r="W3" s="1216"/>
      <c r="X3" s="1216"/>
      <c r="Y3" s="1216"/>
      <c r="Z3" s="1216"/>
      <c r="AA3" s="1216"/>
      <c r="AB3" s="1216"/>
      <c r="AC3" s="1217"/>
      <c r="AD3" s="1218"/>
      <c r="AE3" s="1218"/>
      <c r="AF3" s="1218"/>
      <c r="AG3" s="1218"/>
      <c r="AH3" s="1218"/>
      <c r="AI3" s="1218"/>
      <c r="AJ3" s="1219"/>
    </row>
    <row r="4" spans="1:36" ht="15.75">
      <c r="A4" s="3815"/>
      <c r="B4" s="3816"/>
      <c r="C4" s="3816"/>
      <c r="D4" s="3817"/>
      <c r="E4" s="3817"/>
      <c r="F4" s="3817"/>
      <c r="G4" s="3817"/>
      <c r="H4" s="3817"/>
      <c r="I4" s="3817"/>
      <c r="J4" s="381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22350</v>
      </c>
      <c r="D5" s="1339">
        <f>ROUND(C6*C17+C20,0)</f>
        <v>22350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22350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3458"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3468" t="s">
        <v>1955</v>
      </c>
      <c r="X7" s="1214" t="str">
        <f>G2</f>
        <v>三级</v>
      </c>
      <c r="Y7" s="1214" t="s">
        <v>1956</v>
      </c>
      <c r="Z7" s="1215">
        <f>G3</f>
        <v>4.03</v>
      </c>
      <c r="AA7" s="1216"/>
      <c r="AB7" s="1216"/>
      <c r="AC7" s="1217"/>
      <c r="AD7" s="1218"/>
      <c r="AE7" s="1218"/>
      <c r="AF7" s="1218"/>
      <c r="AG7" s="1218"/>
      <c r="AH7" s="1218"/>
      <c r="AI7" s="1218"/>
      <c r="AJ7" s="1219"/>
    </row>
    <row r="8" spans="1:36" ht="25.5">
      <c r="A8" s="3299"/>
      <c r="B8" s="170" t="s">
        <v>1957</v>
      </c>
      <c r="C8" s="2026" t="s">
        <v>3492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812" t="s">
        <v>1960</v>
      </c>
      <c r="X8" s="381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81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81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v>1</v>
      </c>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3456"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3457"/>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455"/>
      <c r="C18" s="3328"/>
      <c r="D18" s="3323" t="s">
        <v>3254</v>
      </c>
      <c r="E18" s="3329"/>
      <c r="F18" s="3324" t="s">
        <v>3257</v>
      </c>
      <c r="G18" s="3328">
        <f>ROUND(1-(1/(POWER(1+G24,E18))),4)</f>
        <v>0</v>
      </c>
      <c r="H18" s="3324" t="s">
        <v>3259</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19" t="s">
        <v>3260</v>
      </c>
      <c r="B20" s="167" t="s">
        <v>1994</v>
      </c>
      <c r="C20" s="3325">
        <f>ROUND(IF(F21="与级别开发程度一致",0,(G21-E21)/C21),0)</f>
        <v>0</v>
      </c>
      <c r="D20" s="3341" t="s">
        <v>1998</v>
      </c>
      <c r="E20" s="3342"/>
      <c r="F20" s="3825" t="s">
        <v>1995</v>
      </c>
      <c r="G20" s="382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82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3493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45183</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5.5E-2</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3643</v>
      </c>
      <c r="C25" s="3464">
        <f>IF(B25="容积率修正",IF(G3&lt;10,D26,J26),C27)</f>
        <v>0.91769999999999996</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3463">
        <f>IF(E26=G26,F26,IF(G3&lt;10,ROUND(F26+(H26-F26)*(G3-E26)/(G26-E26),4),"——"))</f>
        <v>0.91769999999999996</v>
      </c>
      <c r="E26" s="752">
        <f>ROUNDDOWN(G3,1)</f>
        <v>4</v>
      </c>
      <c r="F26" s="34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752">
        <f>ROUNDUP(G3,1)</f>
        <v>4.0999999999999996</v>
      </c>
      <c r="H26" s="34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0.91559999999999997</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1.0495000000000001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f>'数据-汇总表'!F19</f>
        <v>9808.4800000000014</v>
      </c>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23"/>
      <c r="B37" s="2113" t="s">
        <v>2036</v>
      </c>
      <c r="C37" s="175" t="e">
        <f>ROUND(D5*C22*C23*C24*C28*F37,0)</f>
        <v>#DIV/0!</v>
      </c>
      <c r="D37" s="2098">
        <f>面积!O5</f>
        <v>3654.93</v>
      </c>
      <c r="E37" s="171" t="e">
        <f>ROUND(C37*D37/10000,0)</f>
        <v>#DIV/0!</v>
      </c>
      <c r="F37" s="171">
        <f>SUMIF(修正!A57:A68,G2,修正!B57:B68)</f>
        <v>0.6</v>
      </c>
      <c r="G37" s="171" t="e">
        <f>ROUND(IF(E2="工业",C37*$M$42,C37*$M$41),0)</f>
        <v>#DIV/0!</v>
      </c>
      <c r="H37" s="171">
        <f>D37</f>
        <v>3654.93</v>
      </c>
      <c r="I37" s="171" t="e">
        <f>ROUND(G37*H37/10000,0)</f>
        <v>#DIV/0!</v>
      </c>
      <c r="J37" s="3012"/>
      <c r="K37" s="3359" t="s">
        <v>3272</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24"/>
      <c r="B38" s="2041" t="s">
        <v>2037</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47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24"/>
      <c r="B39" s="2041" t="s">
        <v>3265</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347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4900</v>
      </c>
      <c r="D41" s="2098"/>
      <c r="E41" s="171">
        <f t="shared" si="4"/>
        <v>0</v>
      </c>
      <c r="F41" s="175">
        <f>SUMIF(修正!A57:A68,G2,修正!F57:F68)</f>
        <v>0.25</v>
      </c>
      <c r="G41" s="171">
        <f>ROUND(IF(E2="工业",C41*$M$42,C41*$M$41),0)</f>
        <v>1225</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2940</v>
      </c>
      <c r="D42" s="2103">
        <f>面积!O10+面积!O11+面积!O12</f>
        <v>10112.900000000001</v>
      </c>
      <c r="E42" s="187">
        <f t="shared" si="4"/>
        <v>2973</v>
      </c>
      <c r="F42" s="767">
        <f>SUMIF(修正!A57:A68,G2,修正!G57:G68)</f>
        <v>0.15</v>
      </c>
      <c r="G42" s="187">
        <f>ROUND(IF(E2="工业",C42*$M$42,C42*$M$41),0)</f>
        <v>735</v>
      </c>
      <c r="H42" s="187">
        <f t="shared" si="5"/>
        <v>10112.900000000001</v>
      </c>
      <c r="I42" s="187">
        <f t="shared" si="6"/>
        <v>743</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0.81520000000000004</v>
      </c>
      <c r="D44" s="171" t="s">
        <v>1999</v>
      </c>
      <c r="E44" s="2153">
        <f>G24</f>
        <v>5.5E-2</v>
      </c>
      <c r="F44" s="171" t="s">
        <v>2008</v>
      </c>
      <c r="G44" s="183">
        <f>项目基本情况!F15</f>
        <v>26.59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t="e">
        <f>1+E50</f>
        <v>#VALUE!</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3495" t="s">
        <v>3495</v>
      </c>
      <c r="D50" s="1065" t="e">
        <f t="shared" ref="D50:D58" si="7">SUMIF($J$49:$N$49,C50,J50:N50)</f>
        <v>#VALUE!</v>
      </c>
      <c r="E50" s="744" t="e">
        <f>ROUND(SUM(D50:D58),4)</f>
        <v>#VALUE!</v>
      </c>
      <c r="F50" s="1814" t="str">
        <f>IF(E2="商业",SUMIF(L1:L12,G2,N1:N12),"——")</f>
        <v>——</v>
      </c>
      <c r="G50" s="1063" t="str">
        <f>H50</f>
        <v>——</v>
      </c>
      <c r="H50" s="1066" t="str">
        <f t="shared" ref="H50:H58" si="8">IFERROR(ROUNDDOWN($F$50*I50/2,4),"——")</f>
        <v>——</v>
      </c>
      <c r="I50" s="3367">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3495" t="s">
        <v>3495</v>
      </c>
      <c r="D51" s="1065" t="e">
        <f t="shared" si="7"/>
        <v>#VALUE!</v>
      </c>
      <c r="E51" s="745"/>
      <c r="F51" s="1814"/>
      <c r="G51" s="1063" t="str">
        <f t="shared" ref="G51:G58" si="12">H51</f>
        <v>——</v>
      </c>
      <c r="H51" s="1066" t="str">
        <f t="shared" si="8"/>
        <v>——</v>
      </c>
      <c r="I51" s="3367">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3495" t="s">
        <v>3495</v>
      </c>
      <c r="D52" s="1065" t="e">
        <f t="shared" si="7"/>
        <v>#VALUE!</v>
      </c>
      <c r="E52" s="745"/>
      <c r="F52" s="1814"/>
      <c r="G52" s="1063" t="str">
        <f t="shared" si="12"/>
        <v>——</v>
      </c>
      <c r="H52" s="1066" t="str">
        <f t="shared" si="8"/>
        <v>——</v>
      </c>
      <c r="I52" s="3367">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30" t="s">
        <v>2054</v>
      </c>
      <c r="B53" s="2135" t="s">
        <v>2055</v>
      </c>
      <c r="C53" s="3495" t="s">
        <v>3495</v>
      </c>
      <c r="D53" s="1065" t="e">
        <f t="shared" si="7"/>
        <v>#VALUE!</v>
      </c>
      <c r="E53" s="745"/>
      <c r="F53" s="1814"/>
      <c r="G53" s="1063" t="str">
        <f t="shared" si="12"/>
        <v>——</v>
      </c>
      <c r="H53" s="1066" t="str">
        <f t="shared" si="8"/>
        <v>——</v>
      </c>
      <c r="I53" s="3367">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3495" t="s">
        <v>3496</v>
      </c>
      <c r="D54" s="1065">
        <f t="shared" si="7"/>
        <v>0</v>
      </c>
      <c r="E54" s="745"/>
      <c r="F54" s="1814"/>
      <c r="G54" s="1063" t="str">
        <f t="shared" si="12"/>
        <v>——</v>
      </c>
      <c r="H54" s="1066" t="str">
        <f t="shared" si="8"/>
        <v>——</v>
      </c>
      <c r="I54" s="3367">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30" t="s">
        <v>2057</v>
      </c>
      <c r="B55" s="2136" t="s">
        <v>2058</v>
      </c>
      <c r="C55" s="3495" t="s">
        <v>3495</v>
      </c>
      <c r="D55" s="1065" t="e">
        <f t="shared" si="7"/>
        <v>#VALUE!</v>
      </c>
      <c r="E55" s="745"/>
      <c r="F55" s="1814"/>
      <c r="G55" s="1063" t="str">
        <f t="shared" si="12"/>
        <v>——</v>
      </c>
      <c r="H55" s="1066" t="str">
        <f t="shared" si="8"/>
        <v>——</v>
      </c>
      <c r="I55" s="3367">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3495" t="s">
        <v>3495</v>
      </c>
      <c r="D56" s="1065" t="e">
        <f t="shared" si="7"/>
        <v>#VALUE!</v>
      </c>
      <c r="E56" s="745"/>
      <c r="F56" s="1814"/>
      <c r="G56" s="1063" t="str">
        <f t="shared" si="12"/>
        <v>——</v>
      </c>
      <c r="H56" s="1066" t="str">
        <f t="shared" si="8"/>
        <v>——</v>
      </c>
      <c r="I56" s="3367">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3495" t="s">
        <v>3497</v>
      </c>
      <c r="D57" s="1065" t="e">
        <f t="shared" si="7"/>
        <v>#VALUE!</v>
      </c>
      <c r="E57" s="745"/>
      <c r="F57" s="1814"/>
      <c r="G57" s="1063" t="str">
        <f t="shared" si="12"/>
        <v>——</v>
      </c>
      <c r="H57" s="1066" t="str">
        <f t="shared" si="8"/>
        <v>——</v>
      </c>
      <c r="I57" s="3367">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3495" t="s">
        <v>3495</v>
      </c>
      <c r="D58" s="1065" t="e">
        <f t="shared" si="7"/>
        <v>#VALUE!</v>
      </c>
      <c r="E58" s="746"/>
      <c r="F58" s="1814"/>
      <c r="G58" s="1063" t="str">
        <f t="shared" si="12"/>
        <v>——</v>
      </c>
      <c r="H58" s="1066" t="str">
        <f t="shared" si="8"/>
        <v>——</v>
      </c>
      <c r="I58" s="3368">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6" t="s">
        <v>2062</v>
      </c>
      <c r="B59" s="2127">
        <f>1+E61</f>
        <v>1.0495000000000001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3495</v>
      </c>
      <c r="D61" s="1065">
        <f t="shared" ref="D61:D69" si="13">SUMIF($J$60:$N$60,C61,J61:N61)</f>
        <v>1.2E-2</v>
      </c>
      <c r="E61" s="744">
        <f>ROUND(SUM(D61:D69),4)</f>
        <v>4.9500000000000002E-2</v>
      </c>
      <c r="F61" s="1814">
        <f>IF(E2="办公",SUMIF(L1:L12,G2,N1:N12),"——")</f>
        <v>9.6000000000000002E-2</v>
      </c>
      <c r="G61" s="1063">
        <f>H61</f>
        <v>1.2E-2</v>
      </c>
      <c r="H61" s="1066">
        <f t="shared" ref="H61:H69" si="14">IFERROR(ROUNDDOWN($F$61*I61/2,4),"——")</f>
        <v>1.2E-2</v>
      </c>
      <c r="I61" s="3367">
        <v>0.25</v>
      </c>
      <c r="J61" s="1064">
        <f t="shared" ref="J61:J69" si="15">K61+$G61</f>
        <v>2.4E-2</v>
      </c>
      <c r="K61" s="1064">
        <f t="shared" ref="K61:K69" si="16">$L61+$G61</f>
        <v>1.2E-2</v>
      </c>
      <c r="L61" s="1064">
        <v>0</v>
      </c>
      <c r="M61" s="1064">
        <f t="shared" ref="M61:N69" si="17">L61-$G61</f>
        <v>-1.2E-2</v>
      </c>
      <c r="N61" s="1064">
        <f t="shared" si="17"/>
        <v>-2.4E-2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3495</v>
      </c>
      <c r="D62" s="1065">
        <f t="shared" si="13"/>
        <v>1.24E-2</v>
      </c>
      <c r="E62" s="745"/>
      <c r="F62" s="1814"/>
      <c r="G62" s="1063">
        <f t="shared" ref="G62:G69" si="18">H62</f>
        <v>1.24E-2</v>
      </c>
      <c r="H62" s="1066">
        <f t="shared" si="14"/>
        <v>1.24E-2</v>
      </c>
      <c r="I62" s="3367">
        <v>0.26</v>
      </c>
      <c r="J62" s="1064">
        <f t="shared" si="15"/>
        <v>2.4799999999999999E-2</v>
      </c>
      <c r="K62" s="1064">
        <f t="shared" si="16"/>
        <v>1.24E-2</v>
      </c>
      <c r="L62" s="1064">
        <v>0</v>
      </c>
      <c r="M62" s="1064">
        <f t="shared" si="17"/>
        <v>-1.24E-2</v>
      </c>
      <c r="N62" s="1064">
        <f t="shared" si="17"/>
        <v>-2.4799999999999999E-2</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t="s">
        <v>3495</v>
      </c>
      <c r="D63" s="1065">
        <f t="shared" si="13"/>
        <v>5.1999999999999998E-3</v>
      </c>
      <c r="E63" s="745"/>
      <c r="F63" s="1814"/>
      <c r="G63" s="1063">
        <f t="shared" si="18"/>
        <v>5.1999999999999998E-3</v>
      </c>
      <c r="H63" s="1066">
        <f t="shared" si="14"/>
        <v>5.1999999999999998E-3</v>
      </c>
      <c r="I63" s="3367">
        <v>0.11</v>
      </c>
      <c r="J63" s="1064">
        <f t="shared" si="15"/>
        <v>1.04E-2</v>
      </c>
      <c r="K63" s="1064">
        <f t="shared" si="16"/>
        <v>5.1999999999999998E-3</v>
      </c>
      <c r="L63" s="1064">
        <v>0</v>
      </c>
      <c r="M63" s="1064">
        <f t="shared" si="17"/>
        <v>-5.1999999999999998E-3</v>
      </c>
      <c r="N63" s="1064">
        <f t="shared" si="17"/>
        <v>-1.04E-2</v>
      </c>
      <c r="AA63" s="1120"/>
      <c r="AB63" s="1120"/>
      <c r="AC63" s="1120"/>
      <c r="AD63" s="1120"/>
      <c r="AE63" s="1120"/>
      <c r="AF63" s="1120"/>
      <c r="AG63" s="1120"/>
      <c r="AH63" s="1120"/>
      <c r="AI63" s="1120"/>
      <c r="AJ63" s="1120"/>
      <c r="AK63" s="1120"/>
    </row>
    <row r="64" spans="1:37" s="1119" customFormat="1" ht="36.75">
      <c r="A64" s="2130" t="s">
        <v>2054</v>
      </c>
      <c r="B64" s="2135" t="s">
        <v>2055</v>
      </c>
      <c r="C64" s="2044" t="s">
        <v>3495</v>
      </c>
      <c r="D64" s="1065">
        <f t="shared" si="13"/>
        <v>2.3999999999999998E-3</v>
      </c>
      <c r="E64" s="745"/>
      <c r="F64" s="1814"/>
      <c r="G64" s="1063">
        <f t="shared" si="18"/>
        <v>2.3999999999999998E-3</v>
      </c>
      <c r="H64" s="1066">
        <f t="shared" si="14"/>
        <v>2.3999999999999998E-3</v>
      </c>
      <c r="I64" s="3367">
        <v>0.05</v>
      </c>
      <c r="J64" s="1064">
        <f t="shared" si="15"/>
        <v>4.7999999999999996E-3</v>
      </c>
      <c r="K64" s="1064">
        <f t="shared" si="16"/>
        <v>2.3999999999999998E-3</v>
      </c>
      <c r="L64" s="1064">
        <v>0</v>
      </c>
      <c r="M64" s="1064">
        <f t="shared" si="17"/>
        <v>-2.3999999999999998E-3</v>
      </c>
      <c r="N64" s="1064">
        <f t="shared" si="17"/>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3496</v>
      </c>
      <c r="D65" s="1065">
        <f t="shared" si="13"/>
        <v>0</v>
      </c>
      <c r="E65" s="745"/>
      <c r="F65" s="1814"/>
      <c r="G65" s="1063">
        <f t="shared" si="18"/>
        <v>2.3999999999999998E-3</v>
      </c>
      <c r="H65" s="1066">
        <f t="shared" si="14"/>
        <v>2.3999999999999998E-3</v>
      </c>
      <c r="I65" s="3367">
        <v>0.05</v>
      </c>
      <c r="J65" s="1064">
        <f t="shared" si="15"/>
        <v>4.7999999999999996E-3</v>
      </c>
      <c r="K65" s="1064">
        <f t="shared" si="16"/>
        <v>2.3999999999999998E-3</v>
      </c>
      <c r="L65" s="1064">
        <v>0</v>
      </c>
      <c r="M65" s="1064">
        <f t="shared" si="17"/>
        <v>-2.3999999999999998E-3</v>
      </c>
      <c r="N65" s="1064">
        <f t="shared" si="17"/>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2044" t="s">
        <v>3495</v>
      </c>
      <c r="D66" s="1065">
        <f t="shared" si="13"/>
        <v>2.8E-3</v>
      </c>
      <c r="E66" s="745"/>
      <c r="F66" s="1814"/>
      <c r="G66" s="1063">
        <f t="shared" si="18"/>
        <v>2.8E-3</v>
      </c>
      <c r="H66" s="1066">
        <f t="shared" si="14"/>
        <v>2.8E-3</v>
      </c>
      <c r="I66" s="3367">
        <v>0.06</v>
      </c>
      <c r="J66" s="1064">
        <f t="shared" si="15"/>
        <v>5.5999999999999999E-3</v>
      </c>
      <c r="K66" s="1064">
        <f t="shared" si="16"/>
        <v>2.8E-3</v>
      </c>
      <c r="L66" s="1064">
        <v>0</v>
      </c>
      <c r="M66" s="1064">
        <f t="shared" si="17"/>
        <v>-2.8E-3</v>
      </c>
      <c r="N66" s="1064">
        <f t="shared" si="17"/>
        <v>-5.5999999999999999E-3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3495</v>
      </c>
      <c r="D67" s="1065">
        <f t="shared" si="13"/>
        <v>2.8E-3</v>
      </c>
      <c r="E67" s="745"/>
      <c r="F67" s="1814"/>
      <c r="G67" s="1063">
        <f t="shared" si="18"/>
        <v>2.8E-3</v>
      </c>
      <c r="H67" s="1066">
        <f t="shared" si="14"/>
        <v>2.8E-3</v>
      </c>
      <c r="I67" s="3367">
        <v>0.06</v>
      </c>
      <c r="J67" s="1064">
        <f t="shared" si="15"/>
        <v>5.5999999999999999E-3</v>
      </c>
      <c r="K67" s="1064">
        <f t="shared" si="16"/>
        <v>2.8E-3</v>
      </c>
      <c r="L67" s="1064">
        <v>0</v>
      </c>
      <c r="M67" s="1064">
        <f t="shared" si="17"/>
        <v>-2.8E-3</v>
      </c>
      <c r="N67" s="1064">
        <f t="shared" si="17"/>
        <v>-5.5999999999999999E-3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3497</v>
      </c>
      <c r="D68" s="1065">
        <f t="shared" si="13"/>
        <v>8.6E-3</v>
      </c>
      <c r="E68" s="745"/>
      <c r="F68" s="1814"/>
      <c r="G68" s="1063">
        <f t="shared" si="18"/>
        <v>4.3E-3</v>
      </c>
      <c r="H68" s="1066">
        <f t="shared" si="14"/>
        <v>4.3E-3</v>
      </c>
      <c r="I68" s="3367">
        <v>0.09</v>
      </c>
      <c r="J68" s="1064">
        <f t="shared" si="15"/>
        <v>8.6E-3</v>
      </c>
      <c r="K68" s="1064">
        <f t="shared" si="16"/>
        <v>4.3E-3</v>
      </c>
      <c r="L68" s="1064">
        <v>0</v>
      </c>
      <c r="M68" s="1064">
        <f t="shared" si="17"/>
        <v>-4.3E-3</v>
      </c>
      <c r="N68" s="1064">
        <f t="shared" si="17"/>
        <v>-8.6E-3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3495</v>
      </c>
      <c r="D69" s="1065">
        <f t="shared" si="13"/>
        <v>3.3E-3</v>
      </c>
      <c r="E69" s="746"/>
      <c r="F69" s="1814"/>
      <c r="G69" s="1063">
        <f t="shared" si="18"/>
        <v>3.3E-3</v>
      </c>
      <c r="H69" s="1066">
        <f t="shared" si="14"/>
        <v>3.3E-3</v>
      </c>
      <c r="I69" s="3368">
        <v>7.0000000000000007E-2</v>
      </c>
      <c r="J69" s="1064">
        <f t="shared" si="15"/>
        <v>6.6E-3</v>
      </c>
      <c r="K69" s="1064">
        <f t="shared" si="16"/>
        <v>3.3E-3</v>
      </c>
      <c r="L69" s="1064">
        <v>0</v>
      </c>
      <c r="M69" s="1064">
        <f t="shared" si="17"/>
        <v>-3.3E-3</v>
      </c>
      <c r="N69" s="1064">
        <f t="shared" si="17"/>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3275</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2044</v>
      </c>
      <c r="B92" s="3366"/>
      <c r="C92" s="3366" t="s">
        <v>2046</v>
      </c>
      <c r="D92" s="3366" t="s">
        <v>2047</v>
      </c>
      <c r="E92" s="3348" t="s">
        <v>2048</v>
      </c>
      <c r="F92" s="3381" t="s">
        <v>3289</v>
      </c>
      <c r="G92" s="3366" t="s">
        <v>1989</v>
      </c>
      <c r="H92" s="3388" t="s">
        <v>3293</v>
      </c>
      <c r="I92" s="3366" t="s">
        <v>2051</v>
      </c>
      <c r="J92" s="3389" t="s">
        <v>1721</v>
      </c>
      <c r="K92" s="3389" t="s">
        <v>1722</v>
      </c>
      <c r="L92" s="3389" t="s">
        <v>1723</v>
      </c>
      <c r="M92" s="3389" t="s">
        <v>1724</v>
      </c>
      <c r="N92" s="3389" t="s">
        <v>1725</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2053</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3275</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2054</v>
      </c>
      <c r="B96" s="3385" t="s">
        <v>3291</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2056</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2057</v>
      </c>
      <c r="B98" s="3386" t="s">
        <v>3292</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2059</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2060</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2061</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821" t="s">
        <v>3300</v>
      </c>
      <c r="B103" s="3821"/>
      <c r="C103" s="3821"/>
      <c r="D103" s="3821"/>
      <c r="E103" s="3821"/>
      <c r="F103" s="3821"/>
      <c r="G103" s="3821"/>
      <c r="H103" s="3821"/>
      <c r="I103" s="3821"/>
      <c r="J103" s="3821"/>
      <c r="K103" s="3469"/>
      <c r="L103" s="3469"/>
      <c r="M103" s="3469"/>
      <c r="N103" s="3469"/>
    </row>
    <row r="104" spans="1:14">
      <c r="A104" s="3822" t="s">
        <v>3301</v>
      </c>
      <c r="B104" s="3822" t="s">
        <v>3302</v>
      </c>
      <c r="C104" s="3391" t="s">
        <v>3303</v>
      </c>
      <c r="D104" s="3392"/>
      <c r="E104" s="3392"/>
      <c r="F104" s="3392"/>
      <c r="G104" s="3392"/>
      <c r="H104" s="3392"/>
      <c r="I104" s="3392"/>
      <c r="J104" s="3393"/>
      <c r="K104" s="3394"/>
      <c r="L104" s="3394"/>
      <c r="M104" s="3394"/>
      <c r="N104" s="3394"/>
    </row>
    <row r="105" spans="1:14">
      <c r="A105" s="3822"/>
      <c r="B105" s="3822"/>
      <c r="C105" s="3470" t="s">
        <v>1961</v>
      </c>
      <c r="D105" s="3470" t="s">
        <v>1962</v>
      </c>
      <c r="E105" s="3470" t="s">
        <v>1963</v>
      </c>
      <c r="F105" s="3470" t="s">
        <v>1964</v>
      </c>
      <c r="G105" s="3470" t="s">
        <v>1965</v>
      </c>
      <c r="H105" s="3470" t="s">
        <v>1966</v>
      </c>
      <c r="I105" s="3470" t="s">
        <v>1967</v>
      </c>
      <c r="J105" s="3470" t="s">
        <v>1968</v>
      </c>
      <c r="K105" s="3470" t="s">
        <v>1969</v>
      </c>
      <c r="L105" s="3470" t="s">
        <v>1970</v>
      </c>
      <c r="M105" s="3470" t="s">
        <v>1971</v>
      </c>
      <c r="N105" s="3470" t="s">
        <v>1972</v>
      </c>
    </row>
    <row r="106" spans="1:14">
      <c r="A106" s="3808" t="s">
        <v>3316</v>
      </c>
      <c r="B106" s="3470">
        <v>1</v>
      </c>
      <c r="C106" s="3470">
        <v>1.5206</v>
      </c>
      <c r="D106" s="3470">
        <v>1.5206</v>
      </c>
      <c r="E106" s="3470">
        <v>1.5019</v>
      </c>
      <c r="F106" s="3470">
        <v>1.5019</v>
      </c>
      <c r="G106" s="3470">
        <v>1.5019</v>
      </c>
      <c r="H106" s="3470">
        <v>1.5019</v>
      </c>
      <c r="I106" s="3470">
        <v>1.5019</v>
      </c>
      <c r="J106" s="3470">
        <v>1.5418000000000001</v>
      </c>
      <c r="K106" s="3470">
        <v>1.5418000000000001</v>
      </c>
      <c r="L106" s="3470">
        <v>1.5418000000000001</v>
      </c>
      <c r="M106" s="3470">
        <v>1.5418000000000001</v>
      </c>
      <c r="N106" s="3470">
        <v>1.5418000000000001</v>
      </c>
    </row>
    <row r="107" spans="1:14">
      <c r="A107" s="3809"/>
      <c r="B107" s="3470">
        <v>2</v>
      </c>
      <c r="C107" s="3470">
        <v>1.2072000000000001</v>
      </c>
      <c r="D107" s="3470">
        <v>1.2072000000000001</v>
      </c>
      <c r="E107" s="3470">
        <v>1.1838</v>
      </c>
      <c r="F107" s="3470">
        <v>1.1838</v>
      </c>
      <c r="G107" s="3470">
        <v>1.1838</v>
      </c>
      <c r="H107" s="3470">
        <v>1.1838</v>
      </c>
      <c r="I107" s="3470">
        <v>1.1838</v>
      </c>
      <c r="J107" s="3470">
        <v>1.1883999999999999</v>
      </c>
      <c r="K107" s="3470">
        <v>1.1883999999999999</v>
      </c>
      <c r="L107" s="3470">
        <v>1.1883999999999999</v>
      </c>
      <c r="M107" s="3470">
        <v>1.1883999999999999</v>
      </c>
      <c r="N107" s="3470">
        <v>1.1883999999999999</v>
      </c>
    </row>
    <row r="108" spans="1:14">
      <c r="A108" s="3809"/>
      <c r="B108" s="3470">
        <v>3</v>
      </c>
      <c r="C108" s="3470">
        <v>1.0430999999999999</v>
      </c>
      <c r="D108" s="3470">
        <v>1.0430999999999999</v>
      </c>
      <c r="E108" s="3470">
        <v>1.0004999999999999</v>
      </c>
      <c r="F108" s="3470">
        <v>1.0004999999999999</v>
      </c>
      <c r="G108" s="3470">
        <v>1.0004999999999999</v>
      </c>
      <c r="H108" s="3470">
        <v>1.0004999999999999</v>
      </c>
      <c r="I108" s="3470">
        <v>1.0004999999999999</v>
      </c>
      <c r="J108" s="3470">
        <v>0.96940000000000004</v>
      </c>
      <c r="K108" s="3470">
        <v>0.96940000000000004</v>
      </c>
      <c r="L108" s="3470">
        <v>0.96940000000000004</v>
      </c>
      <c r="M108" s="3470">
        <v>0.96940000000000004</v>
      </c>
      <c r="N108" s="3470">
        <v>0.96940000000000004</v>
      </c>
    </row>
    <row r="109" spans="1:14">
      <c r="A109" s="3809"/>
      <c r="B109" s="3470">
        <v>4</v>
      </c>
      <c r="C109" s="3470">
        <v>0.94389999999999996</v>
      </c>
      <c r="D109" s="3470">
        <v>0.94389999999999996</v>
      </c>
      <c r="E109" s="3470">
        <v>0.88239999999999996</v>
      </c>
      <c r="F109" s="3470">
        <v>0.88239999999999996</v>
      </c>
      <c r="G109" s="3470">
        <v>0.88239999999999996</v>
      </c>
      <c r="H109" s="3470">
        <v>0.88239999999999996</v>
      </c>
      <c r="I109" s="3470">
        <v>0.88239999999999996</v>
      </c>
      <c r="J109" s="3470">
        <v>0.82299999999999995</v>
      </c>
      <c r="K109" s="3470">
        <v>0.82299999999999995</v>
      </c>
      <c r="L109" s="3470">
        <v>0.82299999999999995</v>
      </c>
      <c r="M109" s="3470">
        <v>0.82299999999999995</v>
      </c>
      <c r="N109" s="3470">
        <v>0.82299999999999995</v>
      </c>
    </row>
    <row r="110" spans="1:14">
      <c r="A110" s="3809"/>
      <c r="B110" s="3470">
        <v>5</v>
      </c>
      <c r="C110" s="3470">
        <v>0.89959999999999996</v>
      </c>
      <c r="D110" s="3470">
        <v>0.89959999999999996</v>
      </c>
      <c r="E110" s="3470">
        <v>0.84799999999999998</v>
      </c>
      <c r="F110" s="3470">
        <v>0.84799999999999998</v>
      </c>
      <c r="G110" s="3470">
        <v>0.84799999999999998</v>
      </c>
      <c r="H110" s="3470">
        <v>0.84799999999999998</v>
      </c>
      <c r="I110" s="3470">
        <v>0.84799999999999998</v>
      </c>
      <c r="J110" s="3470">
        <v>0.74980000000000002</v>
      </c>
      <c r="K110" s="3470">
        <v>0.74980000000000002</v>
      </c>
      <c r="L110" s="3470">
        <v>0.74980000000000002</v>
      </c>
      <c r="M110" s="3470">
        <v>0.74980000000000002</v>
      </c>
      <c r="N110" s="3470">
        <v>0.74980000000000002</v>
      </c>
    </row>
    <row r="111" spans="1:14">
      <c r="A111" s="3809"/>
      <c r="B111" s="3470" t="s">
        <v>3274</v>
      </c>
      <c r="C111" s="3396">
        <f>$I$3</f>
        <v>0</v>
      </c>
      <c r="D111" s="3396">
        <f t="shared" ref="D111:M111" si="34">$I$3</f>
        <v>0</v>
      </c>
      <c r="E111" s="3396">
        <f t="shared" si="34"/>
        <v>0</v>
      </c>
      <c r="F111" s="3396">
        <f t="shared" si="34"/>
        <v>0</v>
      </c>
      <c r="G111" s="3396">
        <f t="shared" si="34"/>
        <v>0</v>
      </c>
      <c r="H111" s="3396">
        <f t="shared" si="34"/>
        <v>0</v>
      </c>
      <c r="I111" s="3396">
        <f t="shared" si="34"/>
        <v>0</v>
      </c>
      <c r="J111" s="3396">
        <f t="shared" si="34"/>
        <v>0</v>
      </c>
      <c r="K111" s="3396">
        <f t="shared" si="34"/>
        <v>0</v>
      </c>
      <c r="L111" s="3396">
        <f t="shared" si="34"/>
        <v>0</v>
      </c>
      <c r="M111" s="3396">
        <f t="shared" si="34"/>
        <v>0</v>
      </c>
      <c r="N111" s="3396">
        <f>$I$3</f>
        <v>0</v>
      </c>
    </row>
    <row r="112" spans="1:14">
      <c r="A112" s="3810"/>
      <c r="B112" s="3470">
        <v>6</v>
      </c>
      <c r="C112" s="3388">
        <f>(-0.5556*(C111^2)-0.2719*C111+8944)*(10^(-4))</f>
        <v>0.89440000000000008</v>
      </c>
      <c r="D112" s="3388">
        <f>(-0.5556*(D111^2)-0.2719*D111+8944)*(10^(-4))</f>
        <v>0.89440000000000008</v>
      </c>
      <c r="E112" s="3388">
        <f>(-0.7912*(E111^2)-11.3794*E111+8482)*(10^(-4))</f>
        <v>0.84820000000000007</v>
      </c>
      <c r="F112" s="3388">
        <f t="shared" ref="F112:I112" si="35">(-0.7912*(F111^2)-11.3794*F111+8482)*(10^(-4))</f>
        <v>0.84820000000000007</v>
      </c>
      <c r="G112" s="3388">
        <f t="shared" si="35"/>
        <v>0.84820000000000007</v>
      </c>
      <c r="H112" s="3388">
        <f t="shared" si="35"/>
        <v>0.84820000000000007</v>
      </c>
      <c r="I112" s="3388">
        <f t="shared" si="35"/>
        <v>0.84820000000000007</v>
      </c>
      <c r="J112" s="3388">
        <f>(-0.989*(J111^2)-63.78*J111+7771)*(10^(-4))</f>
        <v>0.77710000000000001</v>
      </c>
      <c r="K112" s="3388">
        <f t="shared" ref="K112:N112" si="36">(-0.989*(K111^2)-63.78*K111+7771)*(10^(-4))</f>
        <v>0.77710000000000001</v>
      </c>
      <c r="L112" s="3388">
        <f t="shared" si="36"/>
        <v>0.77710000000000001</v>
      </c>
      <c r="M112" s="3388">
        <f t="shared" si="36"/>
        <v>0.77710000000000001</v>
      </c>
      <c r="N112" s="3388">
        <f t="shared" si="36"/>
        <v>0.77710000000000001</v>
      </c>
    </row>
    <row r="113" spans="1:14">
      <c r="A113" s="3811" t="s">
        <v>3317</v>
      </c>
      <c r="B113" s="3811"/>
      <c r="C113" s="3811"/>
      <c r="D113" s="3811"/>
      <c r="E113" s="3811"/>
      <c r="F113" s="3811"/>
      <c r="G113" s="3811"/>
      <c r="H113" s="3811"/>
      <c r="I113" s="3811"/>
      <c r="J113" s="3811"/>
      <c r="K113" s="3467"/>
      <c r="L113" s="3467"/>
      <c r="M113" s="3467"/>
      <c r="N113" s="346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4.03</v>
      </c>
      <c r="C116" s="3400" t="s">
        <v>3319</v>
      </c>
      <c r="D116" s="3401">
        <f>SUMPRODUCT((A118:A122=F116)*(B117:M117=H116)*B118:M122)</f>
        <v>0.88429999999999997</v>
      </c>
      <c r="E116" s="2000" t="s">
        <v>1936</v>
      </c>
      <c r="F116" s="3402" t="str">
        <f>E2</f>
        <v>办公</v>
      </c>
      <c r="G116" s="2000" t="s">
        <v>1937</v>
      </c>
      <c r="H116" s="3402" t="str">
        <f>G2</f>
        <v>三级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1990</v>
      </c>
      <c r="B118" s="3388">
        <f>ROUND(0.9968-0.011*B116,4)</f>
        <v>0.95250000000000001</v>
      </c>
      <c r="C118" s="3388">
        <f>B118</f>
        <v>0.95250000000000001</v>
      </c>
      <c r="D118" s="3388">
        <f>ROUND(0.949-0.014*B116,4)</f>
        <v>0.89259999999999995</v>
      </c>
      <c r="E118" s="3388">
        <f>D118</f>
        <v>0.89259999999999995</v>
      </c>
      <c r="F118" s="3388">
        <f>E118</f>
        <v>0.89259999999999995</v>
      </c>
      <c r="G118" s="3388">
        <f>F118</f>
        <v>0.89259999999999995</v>
      </c>
      <c r="H118" s="3388">
        <f>G118</f>
        <v>0.89259999999999995</v>
      </c>
      <c r="I118" s="3388">
        <f>ROUND(0.8486-0.018*B116,4)</f>
        <v>0.77610000000000001</v>
      </c>
      <c r="J118" s="3388">
        <f t="shared" ref="J118:M122" si="37">I118</f>
        <v>0.77610000000000001</v>
      </c>
      <c r="K118" s="3388">
        <f t="shared" si="37"/>
        <v>0.77610000000000001</v>
      </c>
      <c r="L118" s="3388">
        <f t="shared" si="37"/>
        <v>0.77610000000000001</v>
      </c>
      <c r="M118" s="3411">
        <f t="shared" si="37"/>
        <v>0.77610000000000001</v>
      </c>
      <c r="N118" s="3398"/>
    </row>
    <row r="119" spans="1:14">
      <c r="A119" s="3410" t="s">
        <v>1991</v>
      </c>
      <c r="B119" s="3388">
        <f>ROUND(0.993-0.0112*B116,4)</f>
        <v>0.94789999999999996</v>
      </c>
      <c r="C119" s="3388">
        <f>B119</f>
        <v>0.94789999999999996</v>
      </c>
      <c r="D119" s="3388">
        <f>ROUND(0.9415-0.0142*B116,4)</f>
        <v>0.88429999999999997</v>
      </c>
      <c r="E119" s="3388">
        <f t="shared" ref="E119:H120" si="38">D119</f>
        <v>0.88429999999999997</v>
      </c>
      <c r="F119" s="3388">
        <f t="shared" si="38"/>
        <v>0.88429999999999997</v>
      </c>
      <c r="G119" s="3388">
        <f t="shared" si="38"/>
        <v>0.88429999999999997</v>
      </c>
      <c r="H119" s="3388">
        <f t="shared" si="38"/>
        <v>0.88429999999999997</v>
      </c>
      <c r="I119" s="3388">
        <f>ROUND(0.838-0.0182*B116,4)</f>
        <v>0.76470000000000005</v>
      </c>
      <c r="J119" s="3388">
        <f t="shared" si="37"/>
        <v>0.76470000000000005</v>
      </c>
      <c r="K119" s="3388">
        <f t="shared" si="37"/>
        <v>0.76470000000000005</v>
      </c>
      <c r="L119" s="3388">
        <f t="shared" si="37"/>
        <v>0.76470000000000005</v>
      </c>
      <c r="M119" s="3411">
        <f t="shared" si="37"/>
        <v>0.76470000000000005</v>
      </c>
      <c r="N119" s="3398"/>
    </row>
    <row r="120" spans="1:14">
      <c r="A120" s="3410" t="s">
        <v>1992</v>
      </c>
      <c r="B120" s="3388">
        <f>ROUND(0.9448-0.0115*B116,4)</f>
        <v>0.89849999999999997</v>
      </c>
      <c r="C120" s="3388">
        <f>B120</f>
        <v>0.89849999999999997</v>
      </c>
      <c r="D120" s="3388">
        <f>ROUND(0.937-0.0145*B116,4)</f>
        <v>0.87860000000000005</v>
      </c>
      <c r="E120" s="3388">
        <f t="shared" si="38"/>
        <v>0.87860000000000005</v>
      </c>
      <c r="F120" s="3388">
        <f t="shared" si="38"/>
        <v>0.87860000000000005</v>
      </c>
      <c r="G120" s="3388">
        <f t="shared" si="38"/>
        <v>0.87860000000000005</v>
      </c>
      <c r="H120" s="3388">
        <f t="shared" si="38"/>
        <v>0.87860000000000005</v>
      </c>
      <c r="I120" s="3388">
        <f>ROUND(0.7965-0.0185*B116,4)</f>
        <v>0.72189999999999999</v>
      </c>
      <c r="J120" s="3388">
        <f t="shared" si="37"/>
        <v>0.72189999999999999</v>
      </c>
      <c r="K120" s="3388">
        <f t="shared" si="37"/>
        <v>0.72189999999999999</v>
      </c>
      <c r="L120" s="3388">
        <f t="shared" si="37"/>
        <v>0.72189999999999999</v>
      </c>
      <c r="M120" s="3411">
        <f t="shared" si="37"/>
        <v>0.72189999999999999</v>
      </c>
      <c r="N120" s="3398"/>
    </row>
    <row r="121" spans="1:14" ht="13.5" thickBot="1">
      <c r="A121" s="3412" t="s">
        <v>1993</v>
      </c>
      <c r="B121" s="3413">
        <f>ROUND(0.7836-0.012*B116,4)</f>
        <v>0.73519999999999996</v>
      </c>
      <c r="C121" s="3413">
        <f>B121</f>
        <v>0.73519999999999996</v>
      </c>
      <c r="D121" s="3413">
        <f>ROUND(0.753-0.015*B116,4)</f>
        <v>0.69259999999999999</v>
      </c>
      <c r="E121" s="3413">
        <f>D121</f>
        <v>0.69259999999999999</v>
      </c>
      <c r="F121" s="3413">
        <f>E121</f>
        <v>0.69259999999999999</v>
      </c>
      <c r="G121" s="3413">
        <f>ROUND(0.6612-0.018*B116,4)</f>
        <v>0.5887</v>
      </c>
      <c r="H121" s="3413">
        <f>G121</f>
        <v>0.5887</v>
      </c>
      <c r="I121" s="3413">
        <f>ROUND(0.5905-0.019*B116,4)</f>
        <v>0.51390000000000002</v>
      </c>
      <c r="J121" s="3413">
        <f t="shared" si="37"/>
        <v>0.51390000000000002</v>
      </c>
      <c r="K121" s="3413">
        <f t="shared" si="37"/>
        <v>0.51390000000000002</v>
      </c>
      <c r="L121" s="3413">
        <f t="shared" si="37"/>
        <v>0.51390000000000002</v>
      </c>
      <c r="M121" s="3414">
        <f t="shared" si="37"/>
        <v>0.51390000000000002</v>
      </c>
      <c r="N121" s="3398"/>
    </row>
    <row r="122" spans="1:14">
      <c r="A122" s="3415" t="s">
        <v>2616</v>
      </c>
      <c r="B122" s="3388">
        <f>ROUND(0.9404-0.0106*B116,4)</f>
        <v>0.89770000000000005</v>
      </c>
      <c r="C122" s="3388">
        <f>B122</f>
        <v>0.89770000000000005</v>
      </c>
      <c r="D122" s="3388">
        <f>ROUND(0.8955-0.0135*B116,4)</f>
        <v>0.84109999999999996</v>
      </c>
      <c r="E122" s="3388">
        <f t="shared" ref="E122:H122" si="39">D122</f>
        <v>0.84109999999999996</v>
      </c>
      <c r="F122" s="3388">
        <f t="shared" si="39"/>
        <v>0.84109999999999996</v>
      </c>
      <c r="G122" s="3388">
        <f t="shared" si="39"/>
        <v>0.84109999999999996</v>
      </c>
      <c r="H122" s="3388">
        <f t="shared" si="39"/>
        <v>0.84109999999999996</v>
      </c>
      <c r="I122" s="3388">
        <f>ROUND(0.7632-0.0166*B116,4)</f>
        <v>0.69630000000000003</v>
      </c>
      <c r="J122" s="3388">
        <f t="shared" si="37"/>
        <v>0.69630000000000003</v>
      </c>
      <c r="K122" s="3388">
        <f t="shared" si="37"/>
        <v>0.69630000000000003</v>
      </c>
      <c r="L122" s="3388">
        <f t="shared" si="37"/>
        <v>0.69630000000000003</v>
      </c>
      <c r="M122" s="3411">
        <f t="shared" si="37"/>
        <v>0.69630000000000003</v>
      </c>
      <c r="N122" s="3398"/>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78"/>
  <sheetViews>
    <sheetView workbookViewId="0">
      <pane xSplit="3" ySplit="3" topLeftCell="D69" activePane="bottomRight" state="frozen"/>
      <selection pane="topRight"/>
      <selection pane="bottomLeft"/>
      <selection pane="bottomRight" activeCell="I78" sqref="I78"/>
    </sheetView>
  </sheetViews>
  <sheetFormatPr defaultColWidth="9" defaultRowHeight="13.5"/>
  <cols>
    <col min="1" max="1" width="6.5" style="3497" customWidth="1"/>
    <col min="2" max="2" width="13.625" style="3497" customWidth="1"/>
    <col min="3" max="3" width="17" style="3497" customWidth="1"/>
    <col min="4" max="4" width="11.125" style="3497" customWidth="1"/>
    <col min="5" max="5" width="17.625" style="3497" hidden="1" customWidth="1"/>
    <col min="6" max="6" width="11.25" style="3497" customWidth="1"/>
    <col min="7" max="7" width="15.125" style="3497" customWidth="1"/>
    <col min="8" max="8" width="20.125" style="3497" customWidth="1"/>
    <col min="9" max="9" width="21.5" style="3497" customWidth="1"/>
    <col min="10" max="16384" width="9" style="3497"/>
  </cols>
  <sheetData>
    <row r="1" spans="1:9" ht="42" customHeight="1">
      <c r="A1" s="3827" t="s">
        <v>3513</v>
      </c>
      <c r="B1" s="3827"/>
      <c r="C1" s="3827"/>
      <c r="D1" s="3827"/>
      <c r="E1" s="3827"/>
      <c r="F1" s="3827"/>
      <c r="G1" s="3827"/>
      <c r="H1" s="3827"/>
      <c r="I1" s="3827"/>
    </row>
    <row r="2" spans="1:9" ht="35.1" customHeight="1">
      <c r="A2" s="3498" t="s">
        <v>3514</v>
      </c>
      <c r="B2" s="3498" t="s">
        <v>3515</v>
      </c>
      <c r="C2" s="3498" t="s">
        <v>3516</v>
      </c>
      <c r="D2" s="3499" t="s">
        <v>3517</v>
      </c>
      <c r="E2" s="3498" t="s">
        <v>3518</v>
      </c>
      <c r="F2" s="3498" t="s">
        <v>3519</v>
      </c>
      <c r="G2" s="3498" t="s">
        <v>3520</v>
      </c>
      <c r="H2" s="3498" t="s">
        <v>3521</v>
      </c>
      <c r="I2" s="3498" t="s">
        <v>3522</v>
      </c>
    </row>
    <row r="3" spans="1:9" ht="30" customHeight="1">
      <c r="A3" s="3500">
        <v>1</v>
      </c>
      <c r="B3" s="3500" t="s">
        <v>3523</v>
      </c>
      <c r="C3" s="3500" t="s">
        <v>3524</v>
      </c>
      <c r="D3" s="3500">
        <v>361</v>
      </c>
      <c r="E3" s="3501">
        <v>592942.5</v>
      </c>
      <c r="F3" s="3501">
        <f>E3/D3/365</f>
        <v>4.5</v>
      </c>
      <c r="G3" s="3501" t="s">
        <v>3525</v>
      </c>
      <c r="H3" s="3501">
        <f>F3*1.08</f>
        <v>4.8600000000000003</v>
      </c>
      <c r="I3" s="3501">
        <f t="shared" ref="I3:I9" si="0">H3*D3*365</f>
        <v>640377.9</v>
      </c>
    </row>
    <row r="4" spans="1:9" ht="30" customHeight="1">
      <c r="A4" s="3500">
        <v>2</v>
      </c>
      <c r="B4" s="3500" t="s">
        <v>3523</v>
      </c>
      <c r="C4" s="3500" t="s">
        <v>3526</v>
      </c>
      <c r="D4" s="3500">
        <v>60</v>
      </c>
      <c r="E4" s="3501">
        <v>98550</v>
      </c>
      <c r="F4" s="3501">
        <f t="shared" ref="F4:F67" si="1">E4/D4/365</f>
        <v>4.5</v>
      </c>
      <c r="G4" s="3501" t="s">
        <v>3525</v>
      </c>
      <c r="H4" s="3501">
        <f>F4*1.08</f>
        <v>4.8600000000000003</v>
      </c>
      <c r="I4" s="3501">
        <f t="shared" si="0"/>
        <v>106434.00000000001</v>
      </c>
    </row>
    <row r="5" spans="1:9" ht="30" customHeight="1">
      <c r="A5" s="3500">
        <v>3</v>
      </c>
      <c r="B5" s="3500" t="s">
        <v>3523</v>
      </c>
      <c r="C5" s="3500" t="s">
        <v>3527</v>
      </c>
      <c r="D5" s="3500">
        <v>143</v>
      </c>
      <c r="E5" s="3501">
        <v>320568</v>
      </c>
      <c r="F5" s="3501">
        <f t="shared" si="1"/>
        <v>6.1417377143404535</v>
      </c>
      <c r="G5" s="3501" t="s">
        <v>3525</v>
      </c>
      <c r="H5" s="3501">
        <f>((F5*1.08)*1.08)*1.08</f>
        <v>7.7368206996072431</v>
      </c>
      <c r="I5" s="3501">
        <f t="shared" si="0"/>
        <v>403823.35641600005</v>
      </c>
    </row>
    <row r="6" spans="1:9" ht="30" customHeight="1">
      <c r="A6" s="3500">
        <v>4</v>
      </c>
      <c r="B6" s="3500" t="s">
        <v>3523</v>
      </c>
      <c r="C6" s="3500" t="s">
        <v>3528</v>
      </c>
      <c r="D6" s="3500">
        <v>226</v>
      </c>
      <c r="E6" s="3501">
        <v>522437</v>
      </c>
      <c r="F6" s="3501">
        <f t="shared" si="1"/>
        <v>6.3333373742271784</v>
      </c>
      <c r="G6" s="3501" t="s">
        <v>3525</v>
      </c>
      <c r="H6" s="3501">
        <f>((F6*1.08)*1.08)*1.08</f>
        <v>7.9781810903624697</v>
      </c>
      <c r="I6" s="3501">
        <f t="shared" si="0"/>
        <v>658120.1581440001</v>
      </c>
    </row>
    <row r="7" spans="1:9" ht="30" customHeight="1">
      <c r="A7" s="3500">
        <v>5</v>
      </c>
      <c r="B7" s="3500" t="s">
        <v>3523</v>
      </c>
      <c r="C7" s="3500" t="s">
        <v>3529</v>
      </c>
      <c r="D7" s="3500">
        <v>249.9</v>
      </c>
      <c r="E7" s="3501">
        <v>483625</v>
      </c>
      <c r="F7" s="3501">
        <f t="shared" si="1"/>
        <v>5.3021208483393352</v>
      </c>
      <c r="G7" s="3501" t="s">
        <v>3525</v>
      </c>
      <c r="H7" s="3501">
        <f>F7*1.08</f>
        <v>5.7262905162064826</v>
      </c>
      <c r="I7" s="3501">
        <f t="shared" si="0"/>
        <v>522315</v>
      </c>
    </row>
    <row r="8" spans="1:9" ht="30" customHeight="1">
      <c r="A8" s="3500">
        <v>6</v>
      </c>
      <c r="B8" s="3500" t="s">
        <v>3530</v>
      </c>
      <c r="C8" s="3500" t="s">
        <v>3531</v>
      </c>
      <c r="D8" s="3500">
        <v>242</v>
      </c>
      <c r="E8" s="3501">
        <v>450483</v>
      </c>
      <c r="F8" s="3501">
        <f t="shared" si="1"/>
        <v>5.0999999999999996</v>
      </c>
      <c r="G8" s="3501" t="s">
        <v>3525</v>
      </c>
      <c r="H8" s="3501">
        <f>F8*1.08</f>
        <v>5.508</v>
      </c>
      <c r="I8" s="3501">
        <f t="shared" si="0"/>
        <v>486521.63999999996</v>
      </c>
    </row>
    <row r="9" spans="1:9" ht="30" customHeight="1">
      <c r="A9" s="3500">
        <v>7</v>
      </c>
      <c r="B9" s="3500" t="s">
        <v>3532</v>
      </c>
      <c r="C9" s="3500" t="s">
        <v>3533</v>
      </c>
      <c r="D9" s="3500">
        <v>96</v>
      </c>
      <c r="E9" s="3501">
        <v>210240</v>
      </c>
      <c r="F9" s="3501">
        <f t="shared" si="1"/>
        <v>6</v>
      </c>
      <c r="G9" s="3501" t="s">
        <v>3525</v>
      </c>
      <c r="H9" s="3501">
        <f>(F9*1.08)*1.08</f>
        <v>6.9984000000000011</v>
      </c>
      <c r="I9" s="3501">
        <f t="shared" si="0"/>
        <v>245223.93600000005</v>
      </c>
    </row>
    <row r="10" spans="1:9" ht="30" customHeight="1">
      <c r="A10" s="3500">
        <v>8</v>
      </c>
      <c r="B10" s="3500" t="s">
        <v>3523</v>
      </c>
      <c r="C10" s="3500" t="s">
        <v>3534</v>
      </c>
      <c r="D10" s="3500">
        <v>682</v>
      </c>
      <c r="E10" s="3501">
        <v>1618045</v>
      </c>
      <c r="F10" s="3501">
        <f t="shared" si="1"/>
        <v>6.5</v>
      </c>
      <c r="G10" s="3501" t="s">
        <v>3535</v>
      </c>
      <c r="H10" s="3501">
        <f>6.5*(1+6%)*(1+6%)*(1+6%)</f>
        <v>7.7416040000000015</v>
      </c>
      <c r="I10" s="3501">
        <f>D10*H10*365</f>
        <v>1927117.4837200006</v>
      </c>
    </row>
    <row r="11" spans="1:9" ht="30" customHeight="1">
      <c r="A11" s="3500">
        <v>9</v>
      </c>
      <c r="B11" s="3500" t="s">
        <v>3536</v>
      </c>
      <c r="C11" s="3500" t="s">
        <v>3537</v>
      </c>
      <c r="D11" s="3500">
        <v>270</v>
      </c>
      <c r="E11" s="3501">
        <v>453330</v>
      </c>
      <c r="F11" s="3501">
        <f t="shared" si="1"/>
        <v>4.5999999999999996</v>
      </c>
      <c r="G11" s="3501" t="s">
        <v>3525</v>
      </c>
      <c r="H11" s="3501">
        <f>F11*1.08</f>
        <v>4.968</v>
      </c>
      <c r="I11" s="3501">
        <f t="shared" ref="I11:I18" si="2">H11*D11*365</f>
        <v>489596.39999999997</v>
      </c>
    </row>
    <row r="12" spans="1:9" ht="30" customHeight="1">
      <c r="A12" s="3500">
        <v>10</v>
      </c>
      <c r="B12" s="3500" t="s">
        <v>3538</v>
      </c>
      <c r="C12" s="3500" t="s">
        <v>3539</v>
      </c>
      <c r="D12" s="3500">
        <v>192</v>
      </c>
      <c r="E12" s="3501">
        <v>462528</v>
      </c>
      <c r="F12" s="3501">
        <f t="shared" si="1"/>
        <v>6.6</v>
      </c>
      <c r="G12" s="3501" t="s">
        <v>3525</v>
      </c>
      <c r="H12" s="3501">
        <f>F12</f>
        <v>6.6</v>
      </c>
      <c r="I12" s="3501">
        <f t="shared" si="2"/>
        <v>462527.99999999994</v>
      </c>
    </row>
    <row r="13" spans="1:9" ht="30" customHeight="1">
      <c r="A13" s="3500">
        <v>11</v>
      </c>
      <c r="B13" s="3500" t="s">
        <v>3523</v>
      </c>
      <c r="C13" s="3500" t="s">
        <v>3540</v>
      </c>
      <c r="D13" s="3500">
        <v>330</v>
      </c>
      <c r="E13" s="3501">
        <v>843150</v>
      </c>
      <c r="F13" s="3501">
        <f t="shared" si="1"/>
        <v>7</v>
      </c>
      <c r="G13" s="3501" t="s">
        <v>3525</v>
      </c>
      <c r="H13" s="3501">
        <f>(((F13*1.08)*1.08)*1.08)</f>
        <v>8.8179840000000027</v>
      </c>
      <c r="I13" s="3501">
        <f t="shared" si="2"/>
        <v>1062126.1728000003</v>
      </c>
    </row>
    <row r="14" spans="1:9" ht="30" customHeight="1">
      <c r="A14" s="3500">
        <v>12</v>
      </c>
      <c r="B14" s="3500" t="s">
        <v>3523</v>
      </c>
      <c r="C14" s="3500" t="s">
        <v>3541</v>
      </c>
      <c r="D14" s="3500">
        <v>1198</v>
      </c>
      <c r="E14" s="3501">
        <v>2842255</v>
      </c>
      <c r="F14" s="3501">
        <f t="shared" si="1"/>
        <v>6.5</v>
      </c>
      <c r="G14" s="3501" t="s">
        <v>3525</v>
      </c>
      <c r="H14" s="3501">
        <f>F14</f>
        <v>6.5</v>
      </c>
      <c r="I14" s="3501">
        <f t="shared" si="2"/>
        <v>2842255</v>
      </c>
    </row>
    <row r="15" spans="1:9" ht="30" customHeight="1">
      <c r="A15" s="3500">
        <v>13</v>
      </c>
      <c r="B15" s="3500" t="s">
        <v>3523</v>
      </c>
      <c r="C15" s="3500" t="s">
        <v>3542</v>
      </c>
      <c r="D15" s="3500">
        <v>517</v>
      </c>
      <c r="E15" s="3501">
        <v>1226582.5</v>
      </c>
      <c r="F15" s="3501">
        <f t="shared" si="1"/>
        <v>6.5</v>
      </c>
      <c r="G15" s="3501" t="s">
        <v>3525</v>
      </c>
      <c r="H15" s="3501">
        <f>((F15*1.08)*1.08)*1.08</f>
        <v>8.1881280000000007</v>
      </c>
      <c r="I15" s="3501">
        <f t="shared" si="2"/>
        <v>1545140.6942400001</v>
      </c>
    </row>
    <row r="16" spans="1:9" ht="30" customHeight="1">
      <c r="A16" s="3500">
        <v>14</v>
      </c>
      <c r="B16" s="3500" t="s">
        <v>3543</v>
      </c>
      <c r="C16" s="3500" t="s">
        <v>3544</v>
      </c>
      <c r="D16" s="3500">
        <v>210</v>
      </c>
      <c r="E16" s="3501">
        <v>429240</v>
      </c>
      <c r="F16" s="3501">
        <f t="shared" si="1"/>
        <v>5.6</v>
      </c>
      <c r="G16" s="3501" t="s">
        <v>3525</v>
      </c>
      <c r="H16" s="3501">
        <f>F16*1.08</f>
        <v>6.048</v>
      </c>
      <c r="I16" s="3501">
        <f t="shared" si="2"/>
        <v>463579.19999999995</v>
      </c>
    </row>
    <row r="17" spans="1:9" ht="30" customHeight="1">
      <c r="A17" s="3500">
        <v>15</v>
      </c>
      <c r="B17" s="3502" t="s">
        <v>3545</v>
      </c>
      <c r="C17" s="3500" t="s">
        <v>3546</v>
      </c>
      <c r="D17" s="3500">
        <v>508</v>
      </c>
      <c r="E17" s="3503">
        <v>1075436</v>
      </c>
      <c r="F17" s="3501">
        <f t="shared" si="1"/>
        <v>5.8</v>
      </c>
      <c r="G17" s="3501" t="s">
        <v>3525</v>
      </c>
      <c r="H17" s="3501">
        <f>F17*1.08</f>
        <v>6.2640000000000002</v>
      </c>
      <c r="I17" s="3501">
        <f t="shared" si="2"/>
        <v>1161470.8800000001</v>
      </c>
    </row>
    <row r="18" spans="1:9" ht="30" customHeight="1">
      <c r="A18" s="3500">
        <v>16</v>
      </c>
      <c r="B18" s="3502" t="s">
        <v>3523</v>
      </c>
      <c r="C18" s="3500" t="s">
        <v>3547</v>
      </c>
      <c r="D18" s="3500">
        <v>172</v>
      </c>
      <c r="E18" s="3503">
        <v>426904</v>
      </c>
      <c r="F18" s="3501">
        <f t="shared" si="1"/>
        <v>6.8</v>
      </c>
      <c r="G18" s="3501" t="s">
        <v>3525</v>
      </c>
      <c r="H18" s="3501">
        <f>((F18*1.08)*1.08)*1.08</f>
        <v>8.5660416000000019</v>
      </c>
      <c r="I18" s="3501">
        <f t="shared" si="2"/>
        <v>537776.09164800006</v>
      </c>
    </row>
    <row r="19" spans="1:9" ht="30" customHeight="1">
      <c r="A19" s="3500">
        <v>17</v>
      </c>
      <c r="B19" s="3502" t="s">
        <v>3548</v>
      </c>
      <c r="C19" s="3502" t="s">
        <v>3549</v>
      </c>
      <c r="D19" s="3500">
        <v>27</v>
      </c>
      <c r="E19" s="3503">
        <v>82782</v>
      </c>
      <c r="F19" s="3501">
        <f t="shared" si="1"/>
        <v>8.4</v>
      </c>
      <c r="G19" s="3501" t="s">
        <v>3550</v>
      </c>
      <c r="H19" s="3501">
        <v>8.4</v>
      </c>
      <c r="I19" s="3501">
        <f t="shared" ref="I19:I58" si="3">D19*H19*365</f>
        <v>82782</v>
      </c>
    </row>
    <row r="20" spans="1:9" ht="30" customHeight="1">
      <c r="A20" s="3500">
        <v>18</v>
      </c>
      <c r="B20" s="3502" t="s">
        <v>3548</v>
      </c>
      <c r="C20" s="3502" t="s">
        <v>3551</v>
      </c>
      <c r="D20" s="3500">
        <v>50.7</v>
      </c>
      <c r="E20" s="3503">
        <v>184592.36</v>
      </c>
      <c r="F20" s="3501">
        <f t="shared" si="1"/>
        <v>9.974999864905028</v>
      </c>
      <c r="G20" s="3501" t="s">
        <v>3550</v>
      </c>
      <c r="H20" s="3504">
        <v>9.9749999999999996</v>
      </c>
      <c r="I20" s="3501">
        <f t="shared" si="3"/>
        <v>184592.36250000002</v>
      </c>
    </row>
    <row r="21" spans="1:9" ht="30" customHeight="1">
      <c r="A21" s="3500">
        <v>19</v>
      </c>
      <c r="B21" s="3502" t="s">
        <v>3548</v>
      </c>
      <c r="C21" s="3502" t="s">
        <v>3552</v>
      </c>
      <c r="D21" s="3500">
        <v>30</v>
      </c>
      <c r="E21" s="3503">
        <v>91980</v>
      </c>
      <c r="F21" s="3501">
        <f t="shared" si="1"/>
        <v>8.4</v>
      </c>
      <c r="G21" s="3501" t="s">
        <v>3550</v>
      </c>
      <c r="H21" s="3501">
        <v>8.4</v>
      </c>
      <c r="I21" s="3501">
        <f t="shared" si="3"/>
        <v>91980</v>
      </c>
    </row>
    <row r="22" spans="1:9" ht="30" customHeight="1">
      <c r="A22" s="3500">
        <v>20</v>
      </c>
      <c r="B22" s="3502" t="s">
        <v>3548</v>
      </c>
      <c r="C22" s="3502" t="s">
        <v>3553</v>
      </c>
      <c r="D22" s="3500">
        <v>30</v>
      </c>
      <c r="E22" s="3503">
        <v>87600</v>
      </c>
      <c r="F22" s="3501">
        <f t="shared" si="1"/>
        <v>8</v>
      </c>
      <c r="G22" s="3501" t="s">
        <v>3550</v>
      </c>
      <c r="H22" s="3501">
        <v>8</v>
      </c>
      <c r="I22" s="3501">
        <f t="shared" si="3"/>
        <v>87600</v>
      </c>
    </row>
    <row r="23" spans="1:9" ht="30" customHeight="1">
      <c r="A23" s="3500">
        <v>21</v>
      </c>
      <c r="B23" s="3502" t="s">
        <v>3548</v>
      </c>
      <c r="C23" s="3502" t="s">
        <v>3554</v>
      </c>
      <c r="D23" s="3500">
        <v>57.4</v>
      </c>
      <c r="E23" s="3503">
        <v>175988.4</v>
      </c>
      <c r="F23" s="3501">
        <f t="shared" si="1"/>
        <v>8.4</v>
      </c>
      <c r="G23" s="3501" t="s">
        <v>3550</v>
      </c>
      <c r="H23" s="3501">
        <v>8.4</v>
      </c>
      <c r="I23" s="3501">
        <f t="shared" si="3"/>
        <v>175988.40000000002</v>
      </c>
    </row>
    <row r="24" spans="1:9" ht="30" customHeight="1">
      <c r="A24" s="3500">
        <v>22</v>
      </c>
      <c r="B24" s="3502" t="s">
        <v>3548</v>
      </c>
      <c r="C24" s="3502" t="s">
        <v>3555</v>
      </c>
      <c r="D24" s="3500">
        <v>49</v>
      </c>
      <c r="E24" s="3503">
        <v>140844.38</v>
      </c>
      <c r="F24" s="3501">
        <f t="shared" si="1"/>
        <v>7.8750002795638805</v>
      </c>
      <c r="G24" s="3501" t="s">
        <v>3550</v>
      </c>
      <c r="H24" s="3505">
        <v>7.875</v>
      </c>
      <c r="I24" s="3501">
        <f t="shared" si="3"/>
        <v>140844.375</v>
      </c>
    </row>
    <row r="25" spans="1:9" ht="30" customHeight="1">
      <c r="A25" s="3500">
        <v>23</v>
      </c>
      <c r="B25" s="3502" t="s">
        <v>3548</v>
      </c>
      <c r="C25" s="3502" t="s">
        <v>3556</v>
      </c>
      <c r="D25" s="3500">
        <v>47.7</v>
      </c>
      <c r="E25" s="3503">
        <v>146248.20000000001</v>
      </c>
      <c r="F25" s="3501">
        <f t="shared" si="1"/>
        <v>8.4</v>
      </c>
      <c r="G25" s="3501" t="s">
        <v>3550</v>
      </c>
      <c r="H25" s="3501">
        <v>8.4</v>
      </c>
      <c r="I25" s="3501">
        <f t="shared" si="3"/>
        <v>146248.20000000001</v>
      </c>
    </row>
    <row r="26" spans="1:9" ht="30" customHeight="1">
      <c r="A26" s="3500">
        <v>24</v>
      </c>
      <c r="B26" s="3502" t="s">
        <v>3548</v>
      </c>
      <c r="C26" s="3502" t="s">
        <v>3557</v>
      </c>
      <c r="D26" s="3500">
        <v>21</v>
      </c>
      <c r="E26" s="3503">
        <v>65152.5</v>
      </c>
      <c r="F26" s="3501">
        <f t="shared" si="1"/>
        <v>8.5</v>
      </c>
      <c r="G26" s="3501" t="s">
        <v>3550</v>
      </c>
      <c r="H26" s="3501">
        <v>8.5</v>
      </c>
      <c r="I26" s="3501">
        <f t="shared" si="3"/>
        <v>65152.5</v>
      </c>
    </row>
    <row r="27" spans="1:9" ht="30" customHeight="1">
      <c r="A27" s="3500">
        <v>25</v>
      </c>
      <c r="B27" s="3502" t="s">
        <v>3548</v>
      </c>
      <c r="C27" s="3502" t="s">
        <v>3558</v>
      </c>
      <c r="D27" s="3500">
        <v>59.4</v>
      </c>
      <c r="E27" s="3503">
        <v>173019.13</v>
      </c>
      <c r="F27" s="3501">
        <f t="shared" si="1"/>
        <v>7.9802190858355244</v>
      </c>
      <c r="G27" s="3501" t="s">
        <v>3550</v>
      </c>
      <c r="H27" s="3504">
        <f>(49.4*7.875+10*8.5)/(49.4+10)</f>
        <v>7.9802188552188547</v>
      </c>
      <c r="I27" s="3501">
        <f t="shared" si="3"/>
        <v>173019.125</v>
      </c>
    </row>
    <row r="28" spans="1:9" ht="30" customHeight="1">
      <c r="A28" s="3500">
        <v>26</v>
      </c>
      <c r="B28" s="3502" t="s">
        <v>3548</v>
      </c>
      <c r="C28" s="3502" t="s">
        <v>3559</v>
      </c>
      <c r="D28" s="3500">
        <v>39.700000000000003</v>
      </c>
      <c r="E28" s="3503">
        <v>159757.76000000001</v>
      </c>
      <c r="F28" s="3501">
        <f t="shared" si="1"/>
        <v>11.024999827473172</v>
      </c>
      <c r="G28" s="3501" t="s">
        <v>3550</v>
      </c>
      <c r="H28" s="3504">
        <v>11.025</v>
      </c>
      <c r="I28" s="3501">
        <f t="shared" si="3"/>
        <v>159757.76250000001</v>
      </c>
    </row>
    <row r="29" spans="1:9" ht="30" customHeight="1">
      <c r="A29" s="3500">
        <v>27</v>
      </c>
      <c r="B29" s="3502" t="s">
        <v>3548</v>
      </c>
      <c r="C29" s="3502" t="s">
        <v>3560</v>
      </c>
      <c r="D29" s="3500">
        <v>44</v>
      </c>
      <c r="E29" s="3503">
        <v>177061.5</v>
      </c>
      <c r="F29" s="3501">
        <f t="shared" si="1"/>
        <v>11.025</v>
      </c>
      <c r="G29" s="3501" t="s">
        <v>3550</v>
      </c>
      <c r="H29" s="3504">
        <v>11.025</v>
      </c>
      <c r="I29" s="3501">
        <f t="shared" si="3"/>
        <v>177061.5</v>
      </c>
    </row>
    <row r="30" spans="1:9" ht="30" customHeight="1">
      <c r="A30" s="3500">
        <v>28</v>
      </c>
      <c r="B30" s="3502" t="s">
        <v>3548</v>
      </c>
      <c r="C30" s="3502" t="s">
        <v>3561</v>
      </c>
      <c r="D30" s="3500">
        <v>40</v>
      </c>
      <c r="E30" s="3503">
        <v>130305</v>
      </c>
      <c r="F30" s="3501">
        <f t="shared" si="1"/>
        <v>8.9250000000000007</v>
      </c>
      <c r="G30" s="3501" t="s">
        <v>3550</v>
      </c>
      <c r="H30" s="3504">
        <v>8.9250000000000007</v>
      </c>
      <c r="I30" s="3501">
        <f t="shared" si="3"/>
        <v>130305</v>
      </c>
    </row>
    <row r="31" spans="1:9" ht="30" customHeight="1">
      <c r="A31" s="3500">
        <v>29</v>
      </c>
      <c r="B31" s="3502" t="s">
        <v>3548</v>
      </c>
      <c r="C31" s="3502" t="s">
        <v>3562</v>
      </c>
      <c r="D31" s="3500">
        <v>26</v>
      </c>
      <c r="E31" s="3503">
        <v>90155</v>
      </c>
      <c r="F31" s="3501">
        <f t="shared" si="1"/>
        <v>9.5</v>
      </c>
      <c r="G31" s="3501" t="s">
        <v>3550</v>
      </c>
      <c r="H31" s="3501">
        <v>9.5</v>
      </c>
      <c r="I31" s="3501">
        <f t="shared" si="3"/>
        <v>90155</v>
      </c>
    </row>
    <row r="32" spans="1:9" ht="30" customHeight="1">
      <c r="A32" s="3500">
        <v>30</v>
      </c>
      <c r="B32" s="3502" t="s">
        <v>3548</v>
      </c>
      <c r="C32" s="3502" t="s">
        <v>3563</v>
      </c>
      <c r="D32" s="3500">
        <v>47.5</v>
      </c>
      <c r="E32" s="3503">
        <v>70000</v>
      </c>
      <c r="F32" s="3501">
        <f t="shared" si="1"/>
        <v>4.0374909877433307</v>
      </c>
      <c r="G32" s="3501" t="s">
        <v>3550</v>
      </c>
      <c r="H32" s="3501">
        <f>70000/47.5/365</f>
        <v>4.0374909877433307</v>
      </c>
      <c r="I32" s="3501">
        <f t="shared" si="3"/>
        <v>69999.999999999985</v>
      </c>
    </row>
    <row r="33" spans="1:9" ht="30" customHeight="1">
      <c r="A33" s="3500">
        <v>31</v>
      </c>
      <c r="B33" s="3502" t="s">
        <v>3548</v>
      </c>
      <c r="C33" s="3502" t="s">
        <v>3564</v>
      </c>
      <c r="D33" s="3500">
        <v>26</v>
      </c>
      <c r="E33" s="3503">
        <v>80665</v>
      </c>
      <c r="F33" s="3501">
        <f t="shared" si="1"/>
        <v>8.5</v>
      </c>
      <c r="G33" s="3501" t="s">
        <v>3550</v>
      </c>
      <c r="H33" s="3501">
        <v>8.5</v>
      </c>
      <c r="I33" s="3501">
        <f t="shared" si="3"/>
        <v>80665</v>
      </c>
    </row>
    <row r="34" spans="1:9" ht="30" customHeight="1">
      <c r="A34" s="3500">
        <v>32</v>
      </c>
      <c r="B34" s="3502" t="s">
        <v>3548</v>
      </c>
      <c r="C34" s="3502" t="s">
        <v>3565</v>
      </c>
      <c r="D34" s="3500">
        <v>26</v>
      </c>
      <c r="E34" s="3503">
        <v>80665</v>
      </c>
      <c r="F34" s="3501">
        <f t="shared" si="1"/>
        <v>8.5</v>
      </c>
      <c r="G34" s="3501" t="s">
        <v>3550</v>
      </c>
      <c r="H34" s="3501">
        <v>8.5</v>
      </c>
      <c r="I34" s="3501">
        <f t="shared" si="3"/>
        <v>80665</v>
      </c>
    </row>
    <row r="35" spans="1:9" ht="30" customHeight="1">
      <c r="A35" s="3500">
        <v>33</v>
      </c>
      <c r="B35" s="3502" t="s">
        <v>3548</v>
      </c>
      <c r="C35" s="3502" t="s">
        <v>3566</v>
      </c>
      <c r="D35" s="3500">
        <v>32</v>
      </c>
      <c r="E35" s="3503">
        <v>85848</v>
      </c>
      <c r="F35" s="3501">
        <f t="shared" si="1"/>
        <v>7.35</v>
      </c>
      <c r="G35" s="3501" t="s">
        <v>3550</v>
      </c>
      <c r="H35" s="3501">
        <v>7.35</v>
      </c>
      <c r="I35" s="3501">
        <f t="shared" si="3"/>
        <v>85848</v>
      </c>
    </row>
    <row r="36" spans="1:9" ht="30" customHeight="1">
      <c r="A36" s="3500">
        <v>34</v>
      </c>
      <c r="B36" s="3502" t="s">
        <v>3548</v>
      </c>
      <c r="C36" s="3502" t="s">
        <v>3567</v>
      </c>
      <c r="D36" s="3500">
        <v>30</v>
      </c>
      <c r="E36" s="3503">
        <v>120723.75</v>
      </c>
      <c r="F36" s="3501">
        <f t="shared" si="1"/>
        <v>11.025</v>
      </c>
      <c r="G36" s="3501" t="s">
        <v>3550</v>
      </c>
      <c r="H36" s="3504">
        <v>11.025</v>
      </c>
      <c r="I36" s="3501">
        <f t="shared" si="3"/>
        <v>120723.75</v>
      </c>
    </row>
    <row r="37" spans="1:9" ht="30" customHeight="1">
      <c r="A37" s="3500">
        <v>35</v>
      </c>
      <c r="B37" s="3502" t="s">
        <v>3548</v>
      </c>
      <c r="C37" s="3502" t="s">
        <v>3568</v>
      </c>
      <c r="D37" s="3500">
        <v>54</v>
      </c>
      <c r="E37" s="3503">
        <v>157680</v>
      </c>
      <c r="F37" s="3501">
        <f t="shared" si="1"/>
        <v>8</v>
      </c>
      <c r="G37" s="3501" t="s">
        <v>3550</v>
      </c>
      <c r="H37" s="3506">
        <f>(157680+88128)/54/365</f>
        <v>12.471232876712328</v>
      </c>
      <c r="I37" s="3501">
        <f t="shared" si="3"/>
        <v>245808</v>
      </c>
    </row>
    <row r="38" spans="1:9" ht="30" customHeight="1">
      <c r="A38" s="3500">
        <v>36</v>
      </c>
      <c r="B38" s="3502" t="s">
        <v>3548</v>
      </c>
      <c r="C38" s="3502" t="s">
        <v>3569</v>
      </c>
      <c r="D38" s="3500">
        <v>41</v>
      </c>
      <c r="E38" s="3503">
        <v>164989.13</v>
      </c>
      <c r="F38" s="3501">
        <f t="shared" si="1"/>
        <v>11.02500033411293</v>
      </c>
      <c r="G38" s="3501" t="s">
        <v>3550</v>
      </c>
      <c r="H38" s="3501">
        <v>11.025</v>
      </c>
      <c r="I38" s="3501">
        <f t="shared" si="3"/>
        <v>164989.125</v>
      </c>
    </row>
    <row r="39" spans="1:9" ht="30" customHeight="1">
      <c r="A39" s="3500">
        <v>37</v>
      </c>
      <c r="B39" s="3502" t="s">
        <v>3548</v>
      </c>
      <c r="C39" s="3502" t="s">
        <v>3570</v>
      </c>
      <c r="D39" s="3500">
        <v>37</v>
      </c>
      <c r="E39" s="3503">
        <v>113442</v>
      </c>
      <c r="F39" s="3501">
        <f t="shared" si="1"/>
        <v>8.4</v>
      </c>
      <c r="G39" s="3501" t="s">
        <v>3550</v>
      </c>
      <c r="H39" s="3501">
        <v>8.4</v>
      </c>
      <c r="I39" s="3501">
        <f t="shared" si="3"/>
        <v>113442</v>
      </c>
    </row>
    <row r="40" spans="1:9" ht="30" customHeight="1">
      <c r="A40" s="3500">
        <v>38</v>
      </c>
      <c r="B40" s="3502" t="s">
        <v>3548</v>
      </c>
      <c r="C40" s="3502" t="s">
        <v>3571</v>
      </c>
      <c r="D40" s="3500">
        <v>41</v>
      </c>
      <c r="E40" s="3503">
        <v>164989.13</v>
      </c>
      <c r="F40" s="3501">
        <f t="shared" si="1"/>
        <v>11.02500033411293</v>
      </c>
      <c r="G40" s="3501" t="s">
        <v>3550</v>
      </c>
      <c r="H40" s="3504">
        <v>11.025</v>
      </c>
      <c r="I40" s="3501">
        <f t="shared" si="3"/>
        <v>164989.125</v>
      </c>
    </row>
    <row r="41" spans="1:9" ht="30" customHeight="1">
      <c r="A41" s="3500">
        <v>39</v>
      </c>
      <c r="B41" s="3502" t="s">
        <v>3548</v>
      </c>
      <c r="C41" s="3502" t="s">
        <v>3572</v>
      </c>
      <c r="D41" s="3500">
        <v>40</v>
      </c>
      <c r="E41" s="3503">
        <v>153300</v>
      </c>
      <c r="F41" s="3501">
        <f t="shared" si="1"/>
        <v>10.5</v>
      </c>
      <c r="G41" s="3501" t="s">
        <v>3550</v>
      </c>
      <c r="H41" s="3501">
        <v>10.5</v>
      </c>
      <c r="I41" s="3501">
        <f t="shared" si="3"/>
        <v>153300</v>
      </c>
    </row>
    <row r="42" spans="1:9" ht="30" customHeight="1">
      <c r="A42" s="3500">
        <v>40</v>
      </c>
      <c r="B42" s="3502" t="s">
        <v>3548</v>
      </c>
      <c r="C42" s="3500" t="s">
        <v>3573</v>
      </c>
      <c r="D42" s="3500">
        <v>53.9</v>
      </c>
      <c r="E42" s="3503">
        <v>175586</v>
      </c>
      <c r="F42" s="3501">
        <f t="shared" si="1"/>
        <v>8.9250006353724558</v>
      </c>
      <c r="G42" s="3501" t="s">
        <v>3550</v>
      </c>
      <c r="H42" s="3504">
        <v>8.9250000000000007</v>
      </c>
      <c r="I42" s="3501">
        <f t="shared" si="3"/>
        <v>175585.98749999999</v>
      </c>
    </row>
    <row r="43" spans="1:9" ht="30" customHeight="1">
      <c r="A43" s="3500">
        <v>41</v>
      </c>
      <c r="B43" s="3502" t="s">
        <v>3548</v>
      </c>
      <c r="C43" s="3500" t="s">
        <v>3574</v>
      </c>
      <c r="D43" s="3500">
        <v>51</v>
      </c>
      <c r="E43" s="3503">
        <v>167535</v>
      </c>
      <c r="F43" s="3501">
        <f t="shared" si="1"/>
        <v>9</v>
      </c>
      <c r="G43" s="3501" t="s">
        <v>3550</v>
      </c>
      <c r="H43" s="3501">
        <v>9</v>
      </c>
      <c r="I43" s="3501">
        <f t="shared" si="3"/>
        <v>167535</v>
      </c>
    </row>
    <row r="44" spans="1:9" ht="30" customHeight="1">
      <c r="A44" s="3500">
        <v>42</v>
      </c>
      <c r="B44" s="3502" t="s">
        <v>3548</v>
      </c>
      <c r="C44" s="3500" t="s">
        <v>3575</v>
      </c>
      <c r="D44" s="3500">
        <v>51</v>
      </c>
      <c r="E44" s="3503">
        <v>130305</v>
      </c>
      <c r="F44" s="3501">
        <f t="shared" si="1"/>
        <v>7</v>
      </c>
      <c r="G44" s="3501" t="s">
        <v>3550</v>
      </c>
      <c r="H44" s="3501">
        <v>7</v>
      </c>
      <c r="I44" s="3501">
        <f t="shared" si="3"/>
        <v>130305</v>
      </c>
    </row>
    <row r="45" spans="1:9" ht="30" customHeight="1">
      <c r="A45" s="3500">
        <v>43</v>
      </c>
      <c r="B45" s="3502" t="s">
        <v>3548</v>
      </c>
      <c r="C45" s="3500" t="s">
        <v>3576</v>
      </c>
      <c r="D45" s="3500">
        <v>55</v>
      </c>
      <c r="E45" s="3503">
        <v>200248</v>
      </c>
      <c r="F45" s="3501">
        <f t="shared" si="1"/>
        <v>9.9749937733499383</v>
      </c>
      <c r="G45" s="3501" t="s">
        <v>3550</v>
      </c>
      <c r="H45" s="3504">
        <v>9.9749999999999996</v>
      </c>
      <c r="I45" s="3501">
        <f t="shared" si="3"/>
        <v>200248.125</v>
      </c>
    </row>
    <row r="46" spans="1:9" ht="30" customHeight="1">
      <c r="A46" s="3500">
        <v>44</v>
      </c>
      <c r="B46" s="3502" t="s">
        <v>3548</v>
      </c>
      <c r="C46" s="3500" t="s">
        <v>3577</v>
      </c>
      <c r="D46" s="3500">
        <v>43.5</v>
      </c>
      <c r="E46" s="3503">
        <v>174652.5</v>
      </c>
      <c r="F46" s="3501">
        <f t="shared" si="1"/>
        <v>11</v>
      </c>
      <c r="G46" s="3501" t="s">
        <v>3550</v>
      </c>
      <c r="H46" s="3501">
        <v>11</v>
      </c>
      <c r="I46" s="3501">
        <f t="shared" si="3"/>
        <v>174652.5</v>
      </c>
    </row>
    <row r="47" spans="1:9" ht="30" customHeight="1">
      <c r="A47" s="3500">
        <v>45</v>
      </c>
      <c r="B47" s="3502" t="s">
        <v>3548</v>
      </c>
      <c r="C47" s="3500" t="s">
        <v>3578</v>
      </c>
      <c r="D47" s="3500">
        <v>11.5</v>
      </c>
      <c r="E47" s="3503">
        <v>40000</v>
      </c>
      <c r="F47" s="3501">
        <f t="shared" si="1"/>
        <v>9.529481834425253</v>
      </c>
      <c r="G47" s="3501" t="s">
        <v>3550</v>
      </c>
      <c r="H47" s="3501">
        <f>40000/11.5/365</f>
        <v>9.529481834425253</v>
      </c>
      <c r="I47" s="3501">
        <f t="shared" si="3"/>
        <v>40000</v>
      </c>
    </row>
    <row r="48" spans="1:9" ht="30" customHeight="1">
      <c r="A48" s="3500">
        <v>46</v>
      </c>
      <c r="B48" s="3502" t="s">
        <v>3548</v>
      </c>
      <c r="C48" s="3500" t="s">
        <v>3579</v>
      </c>
      <c r="D48" s="3500">
        <v>5</v>
      </c>
      <c r="E48" s="3503">
        <v>21600</v>
      </c>
      <c r="F48" s="3501">
        <f t="shared" si="1"/>
        <v>11.835616438356164</v>
      </c>
      <c r="G48" s="3501" t="s">
        <v>3550</v>
      </c>
      <c r="H48" s="3501">
        <f>21600/5/365</f>
        <v>11.835616438356164</v>
      </c>
      <c r="I48" s="3501">
        <f t="shared" si="3"/>
        <v>21599.999999999996</v>
      </c>
    </row>
    <row r="49" spans="1:9" ht="30" customHeight="1">
      <c r="A49" s="3500">
        <v>47</v>
      </c>
      <c r="B49" s="3502" t="s">
        <v>3580</v>
      </c>
      <c r="C49" s="3500" t="s">
        <v>3581</v>
      </c>
      <c r="D49" s="3500">
        <v>12</v>
      </c>
      <c r="E49" s="3503">
        <v>55560</v>
      </c>
      <c r="F49" s="3501">
        <f t="shared" si="1"/>
        <v>12.684931506849315</v>
      </c>
      <c r="G49" s="3501" t="s">
        <v>3550</v>
      </c>
      <c r="H49" s="3501">
        <f>55560/12/365</f>
        <v>12.684931506849315</v>
      </c>
      <c r="I49" s="3501">
        <f t="shared" si="3"/>
        <v>55560</v>
      </c>
    </row>
    <row r="50" spans="1:9" ht="30" customHeight="1">
      <c r="A50" s="3500">
        <v>48</v>
      </c>
      <c r="B50" s="3502" t="s">
        <v>3582</v>
      </c>
      <c r="C50" s="3500" t="s">
        <v>3583</v>
      </c>
      <c r="D50" s="3500">
        <v>10</v>
      </c>
      <c r="E50" s="3503">
        <v>56560</v>
      </c>
      <c r="F50" s="3501">
        <f t="shared" si="1"/>
        <v>15.495890410958904</v>
      </c>
      <c r="G50" s="3501" t="s">
        <v>3550</v>
      </c>
      <c r="H50" s="3501">
        <f>56560/10/365</f>
        <v>15.495890410958904</v>
      </c>
      <c r="I50" s="3501">
        <f t="shared" si="3"/>
        <v>56560</v>
      </c>
    </row>
    <row r="51" spans="1:9" ht="30" customHeight="1">
      <c r="A51" s="3500">
        <v>49</v>
      </c>
      <c r="B51" s="3502" t="s">
        <v>3580</v>
      </c>
      <c r="C51" s="3500" t="s">
        <v>3584</v>
      </c>
      <c r="D51" s="3500">
        <v>9</v>
      </c>
      <c r="E51" s="3503">
        <v>43000</v>
      </c>
      <c r="F51" s="3501">
        <f t="shared" si="1"/>
        <v>13.08980213089802</v>
      </c>
      <c r="G51" s="3501" t="s">
        <v>3550</v>
      </c>
      <c r="H51" s="3501">
        <f>43000/9/365</f>
        <v>13.08980213089802</v>
      </c>
      <c r="I51" s="3501">
        <f t="shared" si="3"/>
        <v>43000</v>
      </c>
    </row>
    <row r="52" spans="1:9" ht="30" customHeight="1">
      <c r="A52" s="3500">
        <v>50</v>
      </c>
      <c r="B52" s="3502" t="s">
        <v>3548</v>
      </c>
      <c r="C52" s="3500" t="s">
        <v>3585</v>
      </c>
      <c r="D52" s="3500">
        <v>14.6</v>
      </c>
      <c r="E52" s="3503">
        <v>63000</v>
      </c>
      <c r="F52" s="3501">
        <f t="shared" si="1"/>
        <v>11.822105460686808</v>
      </c>
      <c r="G52" s="3501" t="s">
        <v>3550</v>
      </c>
      <c r="H52" s="3501">
        <f>63000/14.6/365</f>
        <v>11.822105460686808</v>
      </c>
      <c r="I52" s="3501">
        <f t="shared" si="3"/>
        <v>63000.000000000007</v>
      </c>
    </row>
    <row r="53" spans="1:9" ht="30" customHeight="1">
      <c r="A53" s="3500">
        <v>51</v>
      </c>
      <c r="B53" s="3502" t="s">
        <v>3586</v>
      </c>
      <c r="C53" s="3500" t="s">
        <v>3587</v>
      </c>
      <c r="D53" s="3500">
        <v>14.5</v>
      </c>
      <c r="E53" s="3503">
        <v>76741.5</v>
      </c>
      <c r="F53" s="3501">
        <f t="shared" si="1"/>
        <v>14.500047236655647</v>
      </c>
      <c r="G53" s="3501" t="s">
        <v>3550</v>
      </c>
      <c r="H53" s="3506">
        <v>14</v>
      </c>
      <c r="I53" s="3501">
        <f t="shared" si="3"/>
        <v>74095</v>
      </c>
    </row>
    <row r="54" spans="1:9" ht="30" customHeight="1">
      <c r="A54" s="3500">
        <v>52</v>
      </c>
      <c r="B54" s="3502" t="s">
        <v>3548</v>
      </c>
      <c r="C54" s="3500" t="s">
        <v>3588</v>
      </c>
      <c r="D54" s="3500">
        <v>54.5</v>
      </c>
      <c r="E54" s="3503">
        <v>218817.5</v>
      </c>
      <c r="F54" s="3501">
        <f t="shared" si="1"/>
        <v>11</v>
      </c>
      <c r="G54" s="3501" t="s">
        <v>3550</v>
      </c>
      <c r="H54" s="3506">
        <v>10.5</v>
      </c>
      <c r="I54" s="3501">
        <f t="shared" si="3"/>
        <v>208871.25</v>
      </c>
    </row>
    <row r="55" spans="1:9" ht="30" customHeight="1">
      <c r="A55" s="3500">
        <v>53</v>
      </c>
      <c r="B55" s="3502" t="s">
        <v>3548</v>
      </c>
      <c r="C55" s="3500" t="s">
        <v>3589</v>
      </c>
      <c r="D55" s="3500">
        <v>36</v>
      </c>
      <c r="E55" s="3503">
        <v>103149</v>
      </c>
      <c r="F55" s="3501">
        <f t="shared" si="1"/>
        <v>7.85</v>
      </c>
      <c r="G55" s="3501" t="s">
        <v>3550</v>
      </c>
      <c r="H55" s="3506">
        <v>7.35</v>
      </c>
      <c r="I55" s="3501">
        <f t="shared" si="3"/>
        <v>96578.999999999985</v>
      </c>
    </row>
    <row r="56" spans="1:9" ht="30" customHeight="1">
      <c r="A56" s="3500">
        <v>54</v>
      </c>
      <c r="B56" s="3502" t="s">
        <v>3548</v>
      </c>
      <c r="C56" s="3500" t="s">
        <v>3590</v>
      </c>
      <c r="D56" s="3500">
        <v>27</v>
      </c>
      <c r="E56" s="3503">
        <v>88695</v>
      </c>
      <c r="F56" s="3501">
        <f t="shared" si="1"/>
        <v>9</v>
      </c>
      <c r="G56" s="3501" t="s">
        <v>3550</v>
      </c>
      <c r="H56" s="3506">
        <v>8.5</v>
      </c>
      <c r="I56" s="3501">
        <f t="shared" si="3"/>
        <v>83767.5</v>
      </c>
    </row>
    <row r="57" spans="1:9" ht="30" customHeight="1">
      <c r="A57" s="3500">
        <v>55</v>
      </c>
      <c r="B57" s="3502" t="s">
        <v>3548</v>
      </c>
      <c r="C57" s="3500" t="s">
        <v>3591</v>
      </c>
      <c r="D57" s="3500">
        <v>12</v>
      </c>
      <c r="E57" s="3503">
        <v>38982</v>
      </c>
      <c r="F57" s="3501">
        <f t="shared" si="1"/>
        <v>8.9</v>
      </c>
      <c r="G57" s="3501" t="s">
        <v>3550</v>
      </c>
      <c r="H57" s="3506">
        <v>8.4</v>
      </c>
      <c r="I57" s="3501">
        <f t="shared" si="3"/>
        <v>36792.000000000007</v>
      </c>
    </row>
    <row r="58" spans="1:9" ht="30" customHeight="1">
      <c r="A58" s="3500">
        <v>56</v>
      </c>
      <c r="B58" s="3502" t="s">
        <v>3592</v>
      </c>
      <c r="C58" s="3500" t="s">
        <v>3593</v>
      </c>
      <c r="D58" s="3500">
        <v>3</v>
      </c>
      <c r="E58" s="3503">
        <v>30000</v>
      </c>
      <c r="F58" s="3501">
        <f t="shared" si="1"/>
        <v>27.397260273972602</v>
      </c>
      <c r="G58" s="3501" t="s">
        <v>3550</v>
      </c>
      <c r="H58" s="3506">
        <f>30000/3/365</f>
        <v>27.397260273972602</v>
      </c>
      <c r="I58" s="3501">
        <f t="shared" si="3"/>
        <v>29999.999999999996</v>
      </c>
    </row>
    <row r="59" spans="1:9" ht="30" customHeight="1">
      <c r="A59" s="3500">
        <v>57</v>
      </c>
      <c r="B59" s="3500" t="s">
        <v>3523</v>
      </c>
      <c r="C59" s="3500" t="s">
        <v>3594</v>
      </c>
      <c r="D59" s="3500">
        <v>352</v>
      </c>
      <c r="E59" s="3501">
        <v>899360</v>
      </c>
      <c r="F59" s="3501">
        <f t="shared" si="1"/>
        <v>7</v>
      </c>
      <c r="G59" s="3501" t="s">
        <v>3525</v>
      </c>
      <c r="H59" s="3501">
        <f>F59*1.08</f>
        <v>7.5600000000000005</v>
      </c>
      <c r="I59" s="3501">
        <f>H59*D59*365</f>
        <v>971308.80000000016</v>
      </c>
    </row>
    <row r="60" spans="1:9" ht="30" customHeight="1">
      <c r="A60" s="3500">
        <v>58</v>
      </c>
      <c r="B60" s="3500" t="s">
        <v>3595</v>
      </c>
      <c r="C60" s="3500" t="s">
        <v>3596</v>
      </c>
      <c r="D60" s="3500">
        <v>137</v>
      </c>
      <c r="E60" s="3503">
        <v>760000</v>
      </c>
      <c r="F60" s="3501">
        <f t="shared" si="1"/>
        <v>15.198480151984803</v>
      </c>
      <c r="G60" s="3501" t="s">
        <v>3525</v>
      </c>
      <c r="H60" s="3501">
        <f>((F60*1.08)*1.08)*1.08</f>
        <v>19.145707829217084</v>
      </c>
      <c r="I60" s="3501">
        <f>H60*D60*365</f>
        <v>957381.12000000023</v>
      </c>
    </row>
    <row r="61" spans="1:9" ht="30" customHeight="1">
      <c r="A61" s="3500">
        <v>59</v>
      </c>
      <c r="B61" s="3500" t="s">
        <v>3597</v>
      </c>
      <c r="C61" s="3500" t="s">
        <v>3598</v>
      </c>
      <c r="D61" s="3500">
        <v>128</v>
      </c>
      <c r="E61" s="3503">
        <v>630000</v>
      </c>
      <c r="F61" s="3501">
        <f t="shared" si="1"/>
        <v>13.484589041095891</v>
      </c>
      <c r="G61" s="3501" t="s">
        <v>3599</v>
      </c>
      <c r="H61" s="3501">
        <f>F61</f>
        <v>13.484589041095891</v>
      </c>
      <c r="I61" s="3501">
        <f>H61*D61*365</f>
        <v>630000</v>
      </c>
    </row>
    <row r="62" spans="1:9" ht="30" customHeight="1">
      <c r="A62" s="3500">
        <v>60</v>
      </c>
      <c r="B62" s="3500" t="s">
        <v>3600</v>
      </c>
      <c r="C62" s="3500" t="s">
        <v>3601</v>
      </c>
      <c r="D62" s="3500">
        <v>116</v>
      </c>
      <c r="E62" s="3503">
        <v>650000</v>
      </c>
      <c r="F62" s="3501">
        <f t="shared" si="1"/>
        <v>15.351913084553614</v>
      </c>
      <c r="G62" s="3507" t="s">
        <v>3602</v>
      </c>
      <c r="H62" s="3501">
        <f>I62/365/D62</f>
        <v>17.906471421823337</v>
      </c>
      <c r="I62" s="3501">
        <v>758160</v>
      </c>
    </row>
    <row r="63" spans="1:9" ht="30" customHeight="1">
      <c r="A63" s="3500">
        <v>61</v>
      </c>
      <c r="B63" s="3500" t="s">
        <v>3603</v>
      </c>
      <c r="C63" s="3500" t="s">
        <v>3604</v>
      </c>
      <c r="D63" s="3500">
        <v>75.7</v>
      </c>
      <c r="E63" s="3503">
        <v>552610</v>
      </c>
      <c r="F63" s="3501">
        <f t="shared" si="1"/>
        <v>20</v>
      </c>
      <c r="G63" s="3501" t="s">
        <v>3525</v>
      </c>
      <c r="H63" s="3501">
        <f>F63*1.08</f>
        <v>21.6</v>
      </c>
      <c r="I63" s="3501">
        <f>H63*D63*365</f>
        <v>596818.80000000005</v>
      </c>
    </row>
    <row r="64" spans="1:9" ht="30" customHeight="1">
      <c r="A64" s="3500">
        <v>62</v>
      </c>
      <c r="B64" s="3500" t="s">
        <v>3605</v>
      </c>
      <c r="C64" s="3500" t="s">
        <v>3606</v>
      </c>
      <c r="D64" s="3500">
        <v>108</v>
      </c>
      <c r="E64" s="3503">
        <v>733212</v>
      </c>
      <c r="F64" s="3501">
        <f t="shared" si="1"/>
        <v>18.600000000000001</v>
      </c>
      <c r="G64" s="3501" t="s">
        <v>3525</v>
      </c>
      <c r="H64" s="3501">
        <f>(F64*1.08)*1.08</f>
        <v>21.695040000000006</v>
      </c>
      <c r="I64" s="3501">
        <f>H64*D64*365</f>
        <v>855218.47680000018</v>
      </c>
    </row>
    <row r="65" spans="1:9" ht="30" customHeight="1">
      <c r="A65" s="3508">
        <v>63</v>
      </c>
      <c r="B65" s="3508" t="s">
        <v>3607</v>
      </c>
      <c r="C65" s="3508" t="s">
        <v>3608</v>
      </c>
      <c r="D65" s="3508">
        <v>216</v>
      </c>
      <c r="E65" s="3509">
        <v>1521612</v>
      </c>
      <c r="F65" s="3510">
        <f t="shared" si="1"/>
        <v>19.3</v>
      </c>
      <c r="G65" s="3510" t="s">
        <v>3599</v>
      </c>
      <c r="H65" s="3501">
        <f>F65</f>
        <v>19.3</v>
      </c>
      <c r="I65" s="3501">
        <f>H65*D65*365</f>
        <v>1521612</v>
      </c>
    </row>
    <row r="66" spans="1:9" ht="30" customHeight="1">
      <c r="A66" s="3500">
        <v>64</v>
      </c>
      <c r="B66" s="3500" t="s">
        <v>3609</v>
      </c>
      <c r="C66" s="3500" t="s">
        <v>3610</v>
      </c>
      <c r="D66" s="3500">
        <v>100</v>
      </c>
      <c r="E66" s="3503">
        <v>450000</v>
      </c>
      <c r="F66" s="3501">
        <f t="shared" si="1"/>
        <v>12.328767123287671</v>
      </c>
      <c r="G66" s="3501" t="s">
        <v>3525</v>
      </c>
      <c r="H66" s="3501">
        <f>F66*1.08</f>
        <v>13.315068493150685</v>
      </c>
      <c r="I66" s="3501">
        <f>H66*D66*365</f>
        <v>485999.99999999994</v>
      </c>
    </row>
    <row r="67" spans="1:9" ht="30" customHeight="1">
      <c r="A67" s="3500">
        <v>65</v>
      </c>
      <c r="B67" s="3500" t="s">
        <v>3611</v>
      </c>
      <c r="C67" s="3500" t="s">
        <v>3612</v>
      </c>
      <c r="D67" s="3500">
        <v>128</v>
      </c>
      <c r="E67" s="3503">
        <v>655948.80000000005</v>
      </c>
      <c r="F67" s="3501">
        <f t="shared" si="1"/>
        <v>14.040000000000001</v>
      </c>
      <c r="G67" s="3501" t="s">
        <v>3525</v>
      </c>
      <c r="H67" s="3501">
        <f>(F67*1.08)*1.08</f>
        <v>16.376256000000001</v>
      </c>
      <c r="I67" s="3501">
        <f t="shared" ref="I67:I73" si="4">H67*D67*365</f>
        <v>765098.68032000004</v>
      </c>
    </row>
    <row r="68" spans="1:9" ht="30" customHeight="1">
      <c r="A68" s="3500">
        <v>66</v>
      </c>
      <c r="B68" s="3500" t="s">
        <v>3613</v>
      </c>
      <c r="C68" s="3500" t="s">
        <v>3614</v>
      </c>
      <c r="D68" s="3500">
        <v>57.2</v>
      </c>
      <c r="E68" s="3503">
        <v>402945.4</v>
      </c>
      <c r="F68" s="3501">
        <f t="shared" ref="F68:F72" si="5">E68/D68/365</f>
        <v>19.3</v>
      </c>
      <c r="G68" s="3501" t="s">
        <v>3525</v>
      </c>
      <c r="H68" s="3501">
        <f>F68*1.08</f>
        <v>20.844000000000001</v>
      </c>
      <c r="I68" s="3501">
        <f t="shared" si="4"/>
        <v>435181.03200000001</v>
      </c>
    </row>
    <row r="69" spans="1:9" ht="30" customHeight="1">
      <c r="A69" s="3500">
        <v>67</v>
      </c>
      <c r="B69" s="3500" t="s">
        <v>3615</v>
      </c>
      <c r="C69" s="3500" t="s">
        <v>3616</v>
      </c>
      <c r="D69" s="3500">
        <v>107.5</v>
      </c>
      <c r="E69" s="3503">
        <v>725893.75</v>
      </c>
      <c r="F69" s="3501">
        <f t="shared" si="5"/>
        <v>18.5</v>
      </c>
      <c r="G69" s="3501" t="s">
        <v>3617</v>
      </c>
      <c r="H69" s="3501">
        <f>F69*1.08</f>
        <v>19.98</v>
      </c>
      <c r="I69" s="3501">
        <f t="shared" si="4"/>
        <v>783965.25</v>
      </c>
    </row>
    <row r="70" spans="1:9" ht="30" customHeight="1">
      <c r="A70" s="3500">
        <v>68</v>
      </c>
      <c r="B70" s="3500" t="s">
        <v>3618</v>
      </c>
      <c r="C70" s="3500" t="s">
        <v>3619</v>
      </c>
      <c r="D70" s="3500">
        <v>153</v>
      </c>
      <c r="E70" s="3503">
        <v>335070</v>
      </c>
      <c r="F70" s="3501">
        <f t="shared" si="5"/>
        <v>6</v>
      </c>
      <c r="G70" s="3501" t="s">
        <v>3525</v>
      </c>
      <c r="H70" s="3501">
        <f>(F70*1.08)*1.08</f>
        <v>6.9984000000000011</v>
      </c>
      <c r="I70" s="3501">
        <f t="shared" si="4"/>
        <v>390825.64800000004</v>
      </c>
    </row>
    <row r="71" spans="1:9" ht="30" customHeight="1">
      <c r="A71" s="3500">
        <v>70</v>
      </c>
      <c r="B71" s="3500" t="s">
        <v>3620</v>
      </c>
      <c r="C71" s="3500" t="s">
        <v>3621</v>
      </c>
      <c r="D71" s="3500">
        <v>99</v>
      </c>
      <c r="E71" s="3503">
        <v>380000</v>
      </c>
      <c r="F71" s="3501">
        <f t="shared" si="5"/>
        <v>10.516120105161201</v>
      </c>
      <c r="G71" s="3501" t="s">
        <v>3525</v>
      </c>
      <c r="H71" s="3501">
        <f>F71*1.08</f>
        <v>11.357409713574098</v>
      </c>
      <c r="I71" s="3501">
        <f t="shared" si="4"/>
        <v>410400.00000000006</v>
      </c>
    </row>
    <row r="72" spans="1:9" ht="30" customHeight="1">
      <c r="A72" s="3500">
        <v>72</v>
      </c>
      <c r="B72" s="3500" t="s">
        <v>3622</v>
      </c>
      <c r="C72" s="3500" t="s">
        <v>3623</v>
      </c>
      <c r="D72" s="3500">
        <v>27</v>
      </c>
      <c r="E72" s="3503">
        <v>60000</v>
      </c>
      <c r="F72" s="3501">
        <f t="shared" si="5"/>
        <v>6.0882800608828003</v>
      </c>
      <c r="G72" s="3501" t="s">
        <v>3599</v>
      </c>
      <c r="H72" s="3501">
        <f>F72*1.08</f>
        <v>6.5753424657534243</v>
      </c>
      <c r="I72" s="3501">
        <f t="shared" si="4"/>
        <v>64799.999999999993</v>
      </c>
    </row>
    <row r="73" spans="1:9" ht="30" customHeight="1">
      <c r="A73" s="3500">
        <v>71</v>
      </c>
      <c r="B73" s="3500" t="s">
        <v>3624</v>
      </c>
      <c r="C73" s="3500" t="s">
        <v>3625</v>
      </c>
      <c r="D73" s="3511">
        <f>E73/F73/365</f>
        <v>3429.2237442922378</v>
      </c>
      <c r="E73" s="3503">
        <v>3755000</v>
      </c>
      <c r="F73" s="3501">
        <v>3</v>
      </c>
      <c r="G73" s="3501" t="s">
        <v>3626</v>
      </c>
      <c r="H73" s="3501">
        <f>(((F73*1.05)*1.05)*1.05)*1.05</f>
        <v>3.6465187500000007</v>
      </c>
      <c r="I73" s="3501">
        <f t="shared" si="4"/>
        <v>4564225.9687500009</v>
      </c>
    </row>
    <row r="74" spans="1:9" ht="30" customHeight="1">
      <c r="A74" s="3500">
        <v>73</v>
      </c>
      <c r="B74" s="3828" t="s">
        <v>3627</v>
      </c>
      <c r="C74" s="3829"/>
      <c r="D74" s="3500"/>
      <c r="E74" s="3503">
        <v>3000000</v>
      </c>
      <c r="F74" s="3503"/>
      <c r="G74" s="3503"/>
      <c r="H74" s="3501">
        <f>F74*1.08</f>
        <v>0</v>
      </c>
      <c r="I74" s="3501">
        <v>3000000</v>
      </c>
    </row>
    <row r="75" spans="1:9" ht="30" customHeight="1">
      <c r="A75" s="3500"/>
      <c r="B75" s="3498"/>
      <c r="C75" s="3498"/>
      <c r="D75" s="3498">
        <f>SUM(D3:D73)</f>
        <v>12050.423744292237</v>
      </c>
      <c r="E75" s="3512">
        <f>SUM(E3:E74)</f>
        <v>32150187.690000001</v>
      </c>
      <c r="F75" s="3512">
        <f t="shared" ref="F75:I75" si="6">SUM(F3:F74)</f>
        <v>696.25818591914469</v>
      </c>
      <c r="G75" s="3512">
        <f t="shared" si="6"/>
        <v>0</v>
      </c>
      <c r="H75" s="3512">
        <f t="shared" si="6"/>
        <v>732.89028439661229</v>
      </c>
      <c r="I75" s="3512">
        <f t="shared" si="6"/>
        <v>35389469.276338004</v>
      </c>
    </row>
    <row r="77" spans="1:9" ht="30" customHeight="1">
      <c r="I77" s="3497">
        <f>I75/D75/365</f>
        <v>8.0459784759090702</v>
      </c>
    </row>
    <row r="78" spans="1:9" ht="36" customHeight="1"/>
  </sheetData>
  <mergeCells count="2">
    <mergeCell ref="A1:I1"/>
    <mergeCell ref="B74:C74"/>
  </mergeCells>
  <phoneticPr fontId="135" type="noConversion"/>
  <pageMargins left="0.75" right="0.75" top="1" bottom="1" header="0.5" footer="0.5"/>
  <pageSetup paperSize="9" orientation="landscape"/>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837" t="s">
        <v>2611</v>
      </c>
      <c r="B20" s="3830" t="s">
        <v>2632</v>
      </c>
      <c r="C20" s="3103" t="s">
        <v>2443</v>
      </c>
      <c r="D20" s="3104"/>
      <c r="E20" s="3105">
        <v>1</v>
      </c>
      <c r="F20" s="3106" t="s">
        <v>2444</v>
      </c>
      <c r="G20" s="3106"/>
    </row>
    <row r="21" spans="1:13" ht="19.5" customHeight="1">
      <c r="A21" s="3838"/>
      <c r="B21" s="3831"/>
      <c r="C21" s="3107" t="s">
        <v>2445</v>
      </c>
      <c r="D21" s="3108"/>
      <c r="E21" s="3109">
        <v>1</v>
      </c>
      <c r="F21" s="3106" t="s">
        <v>2446</v>
      </c>
      <c r="G21" s="3106"/>
    </row>
    <row r="22" spans="1:13" ht="19.5" customHeight="1">
      <c r="A22" s="3838"/>
      <c r="B22" s="3831"/>
      <c r="C22" s="3107" t="s">
        <v>2447</v>
      </c>
      <c r="D22" s="3108"/>
      <c r="E22" s="3109">
        <v>0.9</v>
      </c>
      <c r="F22" s="3106" t="s">
        <v>2448</v>
      </c>
      <c r="G22" s="3106"/>
    </row>
    <row r="23" spans="1:13" ht="19.5" customHeight="1">
      <c r="A23" s="3838"/>
      <c r="B23" s="3831"/>
      <c r="C23" s="3107" t="s">
        <v>2449</v>
      </c>
      <c r="D23" s="3108"/>
      <c r="E23" s="3109">
        <v>0.9</v>
      </c>
      <c r="F23" s="3106" t="s">
        <v>2450</v>
      </c>
      <c r="G23" s="3106"/>
    </row>
    <row r="24" spans="1:13" ht="19.5" customHeight="1">
      <c r="A24" s="3838"/>
      <c r="B24" s="3831"/>
      <c r="C24" s="3107" t="s">
        <v>2451</v>
      </c>
      <c r="D24" s="3108"/>
      <c r="E24" s="3109">
        <v>0.8</v>
      </c>
      <c r="F24" s="3106" t="s">
        <v>2452</v>
      </c>
      <c r="G24" s="3106"/>
    </row>
    <row r="25" spans="1:13" ht="19.5" customHeight="1" thickBot="1">
      <c r="A25" s="3839"/>
      <c r="B25" s="383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833" t="s">
        <v>2635</v>
      </c>
      <c r="B27" s="3830" t="s">
        <v>2616</v>
      </c>
      <c r="C27" s="3103" t="s">
        <v>2456</v>
      </c>
      <c r="D27" s="3104"/>
      <c r="E27" s="3105">
        <v>1</v>
      </c>
      <c r="F27" s="3106" t="s">
        <v>2457</v>
      </c>
      <c r="G27" s="3106"/>
    </row>
    <row r="28" spans="1:13" ht="19.5" customHeight="1">
      <c r="A28" s="3834"/>
      <c r="B28" s="3831"/>
      <c r="C28" s="3107" t="s">
        <v>2458</v>
      </c>
      <c r="D28" s="3108"/>
      <c r="E28" s="3109">
        <v>1</v>
      </c>
      <c r="F28" s="3106" t="s">
        <v>2459</v>
      </c>
      <c r="G28" s="3106"/>
    </row>
    <row r="29" spans="1:13" ht="19.5" customHeight="1">
      <c r="A29" s="3834"/>
      <c r="B29" s="3831"/>
      <c r="C29" s="3107" t="s">
        <v>2460</v>
      </c>
      <c r="D29" s="3108"/>
      <c r="E29" s="3109">
        <v>0.8</v>
      </c>
      <c r="F29" s="3106" t="s">
        <v>2461</v>
      </c>
      <c r="G29" s="3106"/>
    </row>
    <row r="30" spans="1:13" ht="19.5" customHeight="1">
      <c r="A30" s="3834"/>
      <c r="B30" s="3831"/>
      <c r="C30" s="3107" t="s">
        <v>2462</v>
      </c>
      <c r="D30" s="3108"/>
      <c r="E30" s="3109">
        <v>0.8</v>
      </c>
      <c r="F30" s="3106" t="s">
        <v>2463</v>
      </c>
      <c r="G30" s="3106"/>
    </row>
    <row r="31" spans="1:13" ht="19.5" customHeight="1">
      <c r="A31" s="3834"/>
      <c r="B31" s="3831"/>
      <c r="C31" s="3107" t="s">
        <v>2464</v>
      </c>
      <c r="D31" s="3108"/>
      <c r="E31" s="3109">
        <v>0.8</v>
      </c>
      <c r="F31" s="3106" t="s">
        <v>2465</v>
      </c>
      <c r="G31" s="3106"/>
    </row>
    <row r="32" spans="1:13" ht="19.5" customHeight="1">
      <c r="A32" s="3834"/>
      <c r="B32" s="3831"/>
      <c r="C32" s="3107" t="s">
        <v>2466</v>
      </c>
      <c r="D32" s="3108"/>
      <c r="E32" s="3109">
        <v>0.7</v>
      </c>
      <c r="F32" s="3106" t="s">
        <v>2467</v>
      </c>
      <c r="G32" s="3106"/>
    </row>
    <row r="33" spans="1:7" ht="19.5" customHeight="1">
      <c r="A33" s="3834"/>
      <c r="B33" s="3831"/>
      <c r="C33" s="3107" t="s">
        <v>2468</v>
      </c>
      <c r="D33" s="3108"/>
      <c r="E33" s="3109">
        <v>0.8</v>
      </c>
      <c r="F33" s="3106" t="s">
        <v>2469</v>
      </c>
      <c r="G33" s="3106"/>
    </row>
    <row r="34" spans="1:7" ht="19.5" customHeight="1">
      <c r="A34" s="3834"/>
      <c r="B34" s="3831"/>
      <c r="C34" s="3107" t="s">
        <v>2470</v>
      </c>
      <c r="D34" s="3108"/>
      <c r="E34" s="3109">
        <v>0.6</v>
      </c>
      <c r="F34" s="3106" t="s">
        <v>2471</v>
      </c>
      <c r="G34" s="3106"/>
    </row>
    <row r="35" spans="1:7" ht="19.5" customHeight="1">
      <c r="A35" s="3834"/>
      <c r="B35" s="3831"/>
      <c r="C35" s="3107" t="s">
        <v>2472</v>
      </c>
      <c r="D35" s="3108"/>
      <c r="E35" s="3109">
        <v>0.2</v>
      </c>
      <c r="F35" s="3106" t="s">
        <v>2473</v>
      </c>
      <c r="G35" s="3106"/>
    </row>
    <row r="36" spans="1:7" ht="19.5" customHeight="1">
      <c r="A36" s="3834"/>
      <c r="B36" s="3831"/>
      <c r="C36" s="3107" t="s">
        <v>2474</v>
      </c>
      <c r="D36" s="3108"/>
      <c r="E36" s="3109">
        <v>0.2</v>
      </c>
      <c r="F36" s="3106" t="s">
        <v>2475</v>
      </c>
      <c r="G36" s="3106"/>
    </row>
    <row r="37" spans="1:7" ht="19.5" customHeight="1">
      <c r="A37" s="3834"/>
      <c r="B37" s="3836" t="s">
        <v>2636</v>
      </c>
      <c r="C37" s="3107" t="s">
        <v>2476</v>
      </c>
      <c r="D37" s="3108"/>
      <c r="E37" s="3109">
        <v>0.6</v>
      </c>
      <c r="F37" s="3106" t="s">
        <v>2477</v>
      </c>
      <c r="G37" s="3106"/>
    </row>
    <row r="38" spans="1:7" ht="19.5" customHeight="1">
      <c r="A38" s="3834"/>
      <c r="B38" s="3831"/>
      <c r="C38" s="3107" t="s">
        <v>2478</v>
      </c>
      <c r="D38" s="3108"/>
      <c r="E38" s="3109">
        <v>0.6</v>
      </c>
      <c r="F38" s="3106" t="s">
        <v>2479</v>
      </c>
      <c r="G38" s="3106"/>
    </row>
    <row r="39" spans="1:7" ht="19.5" customHeight="1" thickBot="1">
      <c r="A39" s="3835"/>
      <c r="B39" s="383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837" t="s">
        <v>2614</v>
      </c>
      <c r="B41" s="3830" t="s">
        <v>2638</v>
      </c>
      <c r="C41" s="3103" t="s">
        <v>2483</v>
      </c>
      <c r="D41" s="3104"/>
      <c r="E41" s="3105">
        <v>1</v>
      </c>
      <c r="F41" s="3106" t="s">
        <v>2484</v>
      </c>
      <c r="G41" s="3106"/>
    </row>
    <row r="42" spans="1:7" ht="19.5" customHeight="1">
      <c r="A42" s="3838"/>
      <c r="B42" s="3831"/>
      <c r="C42" s="3107" t="s">
        <v>2485</v>
      </c>
      <c r="D42" s="3108"/>
      <c r="E42" s="3109">
        <v>1</v>
      </c>
      <c r="F42" s="3106" t="s">
        <v>2486</v>
      </c>
      <c r="G42" s="3106"/>
    </row>
    <row r="43" spans="1:7" ht="19.5" customHeight="1">
      <c r="A43" s="3838"/>
      <c r="B43" s="3840"/>
      <c r="C43" s="3107" t="s">
        <v>2487</v>
      </c>
      <c r="D43" s="3108"/>
      <c r="E43" s="3109">
        <v>1.5</v>
      </c>
      <c r="F43" s="3106" t="s">
        <v>2488</v>
      </c>
      <c r="G43" s="3106"/>
    </row>
    <row r="44" spans="1:7" ht="19.5" customHeight="1">
      <c r="A44" s="3838"/>
      <c r="B44" s="3118" t="s">
        <v>2639</v>
      </c>
      <c r="C44" s="3107" t="s">
        <v>2640</v>
      </c>
      <c r="D44" s="3108"/>
      <c r="E44" s="3109">
        <v>2</v>
      </c>
      <c r="F44" s="3106" t="s">
        <v>2489</v>
      </c>
      <c r="G44" s="3106"/>
    </row>
    <row r="45" spans="1:7" ht="19.5" customHeight="1">
      <c r="A45" s="3838"/>
      <c r="B45" s="3836" t="s">
        <v>2641</v>
      </c>
      <c r="C45" s="3107" t="s">
        <v>2490</v>
      </c>
      <c r="D45" s="3108"/>
      <c r="E45" s="3109">
        <v>1</v>
      </c>
      <c r="F45" s="3106" t="s">
        <v>2491</v>
      </c>
      <c r="G45" s="3106"/>
    </row>
    <row r="46" spans="1:7" ht="19.5" customHeight="1">
      <c r="A46" s="3838"/>
      <c r="B46" s="3831"/>
      <c r="C46" s="3107" t="s">
        <v>2492</v>
      </c>
      <c r="D46" s="3108"/>
      <c r="E46" s="3109">
        <v>1</v>
      </c>
      <c r="F46" s="3106" t="s">
        <v>2493</v>
      </c>
      <c r="G46" s="3106"/>
    </row>
    <row r="47" spans="1:7" ht="19.5" customHeight="1">
      <c r="A47" s="3838"/>
      <c r="B47" s="3831"/>
      <c r="C47" s="3107" t="s">
        <v>2494</v>
      </c>
      <c r="D47" s="3108"/>
      <c r="E47" s="3109">
        <v>1</v>
      </c>
      <c r="F47" s="3106" t="s">
        <v>2495</v>
      </c>
      <c r="G47" s="3106"/>
    </row>
    <row r="48" spans="1:7" ht="19.5" customHeight="1">
      <c r="A48" s="3838"/>
      <c r="B48" s="3831"/>
      <c r="C48" s="3107" t="s">
        <v>2496</v>
      </c>
      <c r="D48" s="3108"/>
      <c r="E48" s="3109">
        <v>1</v>
      </c>
      <c r="F48" s="3106" t="s">
        <v>2497</v>
      </c>
      <c r="G48" s="3106"/>
    </row>
    <row r="49" spans="1:7" ht="19.5" customHeight="1">
      <c r="A49" s="3838"/>
      <c r="B49" s="3831"/>
      <c r="C49" s="3107" t="s">
        <v>2498</v>
      </c>
      <c r="D49" s="3108"/>
      <c r="E49" s="3109">
        <v>1</v>
      </c>
      <c r="F49" s="3106" t="s">
        <v>2499</v>
      </c>
      <c r="G49" s="3106"/>
    </row>
    <row r="50" spans="1:7" ht="19.5" customHeight="1">
      <c r="A50" s="3838"/>
      <c r="B50" s="3831"/>
      <c r="C50" s="3107" t="s">
        <v>2500</v>
      </c>
      <c r="D50" s="3108"/>
      <c r="E50" s="3109">
        <v>1</v>
      </c>
      <c r="F50" s="3106" t="s">
        <v>2501</v>
      </c>
      <c r="G50" s="3106"/>
    </row>
    <row r="51" spans="1:7" ht="19.5" customHeight="1" thickBot="1">
      <c r="A51" s="3839"/>
      <c r="B51" s="383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836" t="s">
        <v>2655</v>
      </c>
      <c r="C73" s="3092" t="s">
        <v>2656</v>
      </c>
      <c r="D73" s="3092" t="s">
        <v>2657</v>
      </c>
      <c r="E73" s="3118">
        <v>0.2</v>
      </c>
      <c r="F73" s="3118">
        <v>25</v>
      </c>
    </row>
    <row r="74" spans="1:7" ht="24">
      <c r="A74" s="3118">
        <v>2</v>
      </c>
      <c r="B74" s="3831"/>
      <c r="C74" s="3092" t="s">
        <v>2658</v>
      </c>
      <c r="D74" s="3092" t="s">
        <v>2659</v>
      </c>
      <c r="E74" s="3118">
        <v>0.2</v>
      </c>
      <c r="F74" s="3118">
        <v>25</v>
      </c>
    </row>
    <row r="75" spans="1:7" ht="24">
      <c r="A75" s="3118">
        <v>3</v>
      </c>
      <c r="B75" s="3831"/>
      <c r="C75" s="3092" t="s">
        <v>2660</v>
      </c>
      <c r="D75" s="3092" t="s">
        <v>2661</v>
      </c>
      <c r="E75" s="3118">
        <v>0.2</v>
      </c>
      <c r="F75" s="3118">
        <v>25</v>
      </c>
    </row>
    <row r="76" spans="1:7" ht="13.5">
      <c r="A76" s="3118">
        <v>4</v>
      </c>
      <c r="B76" s="3831"/>
      <c r="C76" s="3092" t="s">
        <v>2662</v>
      </c>
      <c r="D76" s="3092" t="s">
        <v>2663</v>
      </c>
      <c r="E76" s="3118">
        <v>0.15</v>
      </c>
      <c r="F76" s="3118">
        <v>20</v>
      </c>
    </row>
    <row r="77" spans="1:7" ht="24">
      <c r="A77" s="3118">
        <v>5</v>
      </c>
      <c r="B77" s="3831"/>
      <c r="C77" s="3092" t="s">
        <v>2664</v>
      </c>
      <c r="D77" s="3092" t="s">
        <v>2665</v>
      </c>
      <c r="E77" s="3118">
        <v>0.15</v>
      </c>
      <c r="F77" s="3118">
        <v>20</v>
      </c>
    </row>
    <row r="78" spans="1:7" ht="24">
      <c r="A78" s="3118">
        <v>6</v>
      </c>
      <c r="B78" s="3831"/>
      <c r="C78" s="3092" t="s">
        <v>2666</v>
      </c>
      <c r="D78" s="3092" t="s">
        <v>2667</v>
      </c>
      <c r="E78" s="3118">
        <v>0.15</v>
      </c>
      <c r="F78" s="3118">
        <v>20</v>
      </c>
    </row>
    <row r="79" spans="1:7" ht="24">
      <c r="A79" s="3118">
        <v>7</v>
      </c>
      <c r="B79" s="3831"/>
      <c r="C79" s="3092" t="s">
        <v>2668</v>
      </c>
      <c r="D79" s="3092" t="s">
        <v>2669</v>
      </c>
      <c r="E79" s="3118">
        <v>0.15</v>
      </c>
      <c r="F79" s="3118">
        <v>20</v>
      </c>
    </row>
    <row r="80" spans="1:7" ht="24">
      <c r="A80" s="3118">
        <v>8</v>
      </c>
      <c r="B80" s="3831"/>
      <c r="C80" s="3092" t="s">
        <v>2670</v>
      </c>
      <c r="D80" s="3092" t="s">
        <v>2671</v>
      </c>
      <c r="E80" s="3118">
        <v>0.1</v>
      </c>
      <c r="F80" s="3118">
        <v>15</v>
      </c>
    </row>
    <row r="81" spans="1:6" ht="24">
      <c r="A81" s="3118">
        <v>9</v>
      </c>
      <c r="B81" s="3831"/>
      <c r="C81" s="3092" t="s">
        <v>2672</v>
      </c>
      <c r="D81" s="3092" t="s">
        <v>2673</v>
      </c>
      <c r="E81" s="3118">
        <v>0.1</v>
      </c>
      <c r="F81" s="3118">
        <v>15</v>
      </c>
    </row>
    <row r="82" spans="1:6" ht="24">
      <c r="A82" s="3118">
        <v>10</v>
      </c>
      <c r="B82" s="3831"/>
      <c r="C82" s="3092" t="s">
        <v>2674</v>
      </c>
      <c r="D82" s="3092" t="s">
        <v>2675</v>
      </c>
      <c r="E82" s="3118">
        <v>0.1</v>
      </c>
      <c r="F82" s="3118">
        <v>15</v>
      </c>
    </row>
    <row r="83" spans="1:6" ht="24">
      <c r="A83" s="3118">
        <v>11</v>
      </c>
      <c r="B83" s="3831"/>
      <c r="C83" s="3092" t="s">
        <v>2676</v>
      </c>
      <c r="D83" s="3092" t="s">
        <v>2677</v>
      </c>
      <c r="E83" s="3118">
        <v>0.1</v>
      </c>
      <c r="F83" s="3118">
        <v>15</v>
      </c>
    </row>
    <row r="84" spans="1:6" ht="24">
      <c r="A84" s="3118">
        <v>12</v>
      </c>
      <c r="B84" s="3831"/>
      <c r="C84" s="3092" t="s">
        <v>2678</v>
      </c>
      <c r="D84" s="3092" t="s">
        <v>2679</v>
      </c>
      <c r="E84" s="3118">
        <v>0.1</v>
      </c>
      <c r="F84" s="3118">
        <v>15</v>
      </c>
    </row>
    <row r="85" spans="1:6" ht="13.5">
      <c r="A85" s="3118">
        <v>13</v>
      </c>
      <c r="B85" s="3831"/>
      <c r="C85" s="3092" t="s">
        <v>2680</v>
      </c>
      <c r="D85" s="3092" t="s">
        <v>2681</v>
      </c>
      <c r="E85" s="3118">
        <v>0.1</v>
      </c>
      <c r="F85" s="3118">
        <v>15</v>
      </c>
    </row>
    <row r="86" spans="1:6" ht="13.5">
      <c r="A86" s="3118">
        <v>14</v>
      </c>
      <c r="B86" s="3831"/>
      <c r="C86" s="3092" t="s">
        <v>2682</v>
      </c>
      <c r="D86" s="3092" t="s">
        <v>2683</v>
      </c>
      <c r="E86" s="3118">
        <v>0.1</v>
      </c>
      <c r="F86" s="3118">
        <v>15</v>
      </c>
    </row>
    <row r="87" spans="1:6" ht="13.5">
      <c r="A87" s="3118">
        <v>15</v>
      </c>
      <c r="B87" s="3831"/>
      <c r="C87" s="3092" t="s">
        <v>2684</v>
      </c>
      <c r="D87" s="3092" t="s">
        <v>2685</v>
      </c>
      <c r="E87" s="3118">
        <v>0.1</v>
      </c>
      <c r="F87" s="3118">
        <v>15</v>
      </c>
    </row>
    <row r="88" spans="1:6" ht="24">
      <c r="A88" s="3118">
        <v>16</v>
      </c>
      <c r="B88" s="3831"/>
      <c r="C88" s="3092" t="s">
        <v>2686</v>
      </c>
      <c r="D88" s="3092" t="s">
        <v>2687</v>
      </c>
      <c r="E88" s="3118">
        <v>0.1</v>
      </c>
      <c r="F88" s="3118">
        <v>15</v>
      </c>
    </row>
    <row r="89" spans="1:6" ht="24">
      <c r="A89" s="3118">
        <v>17</v>
      </c>
      <c r="B89" s="3840"/>
      <c r="C89" s="3092" t="s">
        <v>2688</v>
      </c>
      <c r="D89" s="3092" t="s">
        <v>2689</v>
      </c>
      <c r="E89" s="3118">
        <v>0.1</v>
      </c>
      <c r="F89" s="3118">
        <v>15</v>
      </c>
    </row>
    <row r="90" spans="1:6" ht="13.5">
      <c r="A90" s="3118">
        <v>18</v>
      </c>
      <c r="B90" s="3836" t="s">
        <v>2690</v>
      </c>
      <c r="C90" s="3092" t="s">
        <v>2691</v>
      </c>
      <c r="D90" s="3092" t="s">
        <v>2692</v>
      </c>
      <c r="E90" s="3118">
        <v>0.2</v>
      </c>
      <c r="F90" s="3118">
        <v>25</v>
      </c>
    </row>
    <row r="91" spans="1:6" ht="24">
      <c r="A91" s="3118">
        <v>19</v>
      </c>
      <c r="B91" s="3831"/>
      <c r="C91" s="3092" t="s">
        <v>2693</v>
      </c>
      <c r="D91" s="3092" t="s">
        <v>2694</v>
      </c>
      <c r="E91" s="3118">
        <v>0.2</v>
      </c>
      <c r="F91" s="3118">
        <v>25</v>
      </c>
    </row>
    <row r="92" spans="1:6" ht="13.5">
      <c r="A92" s="3118">
        <v>20</v>
      </c>
      <c r="B92" s="3831"/>
      <c r="C92" s="3092" t="s">
        <v>2695</v>
      </c>
      <c r="D92" s="3092" t="s">
        <v>2696</v>
      </c>
      <c r="E92" s="3118">
        <v>0.15</v>
      </c>
      <c r="F92" s="3118">
        <v>20</v>
      </c>
    </row>
    <row r="93" spans="1:6" ht="13.5">
      <c r="A93" s="3118">
        <v>21</v>
      </c>
      <c r="B93" s="3831"/>
      <c r="C93" s="3092" t="s">
        <v>2697</v>
      </c>
      <c r="D93" s="3092" t="s">
        <v>2698</v>
      </c>
      <c r="E93" s="3118">
        <v>0.15</v>
      </c>
      <c r="F93" s="3118">
        <v>20</v>
      </c>
    </row>
    <row r="94" spans="1:6" ht="13.5">
      <c r="A94" s="3118">
        <v>22</v>
      </c>
      <c r="B94" s="3831"/>
      <c r="C94" s="3092" t="s">
        <v>2699</v>
      </c>
      <c r="D94" s="3092" t="s">
        <v>2700</v>
      </c>
      <c r="E94" s="3118">
        <v>0.15</v>
      </c>
      <c r="F94" s="3118">
        <v>20</v>
      </c>
    </row>
    <row r="95" spans="1:6" ht="36">
      <c r="A95" s="3118">
        <v>23</v>
      </c>
      <c r="B95" s="3831"/>
      <c r="C95" s="3092" t="s">
        <v>2701</v>
      </c>
      <c r="D95" s="3092" t="s">
        <v>2702</v>
      </c>
      <c r="E95" s="3118">
        <v>0.15</v>
      </c>
      <c r="F95" s="3118">
        <v>20</v>
      </c>
    </row>
    <row r="96" spans="1:6" ht="13.5">
      <c r="A96" s="3118">
        <v>24</v>
      </c>
      <c r="B96" s="3831"/>
      <c r="C96" s="3092" t="s">
        <v>2703</v>
      </c>
      <c r="D96" s="3092" t="s">
        <v>2704</v>
      </c>
      <c r="E96" s="3118">
        <v>0.1</v>
      </c>
      <c r="F96" s="3118">
        <v>15</v>
      </c>
    </row>
    <row r="97" spans="1:6" ht="13.5">
      <c r="A97" s="3118">
        <v>25</v>
      </c>
      <c r="B97" s="3831"/>
      <c r="C97" s="3092" t="s">
        <v>2705</v>
      </c>
      <c r="D97" s="3092" t="s">
        <v>2706</v>
      </c>
      <c r="E97" s="3118">
        <v>0.1</v>
      </c>
      <c r="F97" s="3118">
        <v>15</v>
      </c>
    </row>
    <row r="98" spans="1:6" ht="24">
      <c r="A98" s="3118">
        <v>26</v>
      </c>
      <c r="B98" s="3831"/>
      <c r="C98" s="3092" t="s">
        <v>2707</v>
      </c>
      <c r="D98" s="3092" t="s">
        <v>2708</v>
      </c>
      <c r="E98" s="3118">
        <v>0.1</v>
      </c>
      <c r="F98" s="3118">
        <v>15</v>
      </c>
    </row>
    <row r="99" spans="1:6" ht="24">
      <c r="A99" s="3118">
        <v>27</v>
      </c>
      <c r="B99" s="3831"/>
      <c r="C99" s="3092" t="s">
        <v>2709</v>
      </c>
      <c r="D99" s="3092" t="s">
        <v>2710</v>
      </c>
      <c r="E99" s="3118">
        <v>0.1</v>
      </c>
      <c r="F99" s="3118">
        <v>15</v>
      </c>
    </row>
    <row r="100" spans="1:6" ht="13.5">
      <c r="A100" s="3118">
        <v>28</v>
      </c>
      <c r="B100" s="3831"/>
      <c r="C100" s="3092" t="s">
        <v>2711</v>
      </c>
      <c r="D100" s="3092" t="s">
        <v>2712</v>
      </c>
      <c r="E100" s="3118">
        <v>0.1</v>
      </c>
      <c r="F100" s="3118">
        <v>15</v>
      </c>
    </row>
    <row r="101" spans="1:6" ht="13.5">
      <c r="A101" s="3118">
        <v>29</v>
      </c>
      <c r="B101" s="3831"/>
      <c r="C101" s="3092" t="s">
        <v>2713</v>
      </c>
      <c r="D101" s="3092" t="s">
        <v>2714</v>
      </c>
      <c r="E101" s="3118">
        <v>0.1</v>
      </c>
      <c r="F101" s="3118">
        <v>15</v>
      </c>
    </row>
    <row r="102" spans="1:6" ht="13.5">
      <c r="A102" s="3118">
        <v>30</v>
      </c>
      <c r="B102" s="3831"/>
      <c r="C102" s="3092" t="s">
        <v>2715</v>
      </c>
      <c r="D102" s="3092" t="s">
        <v>2716</v>
      </c>
      <c r="E102" s="3118">
        <v>0.1</v>
      </c>
      <c r="F102" s="3118">
        <v>15</v>
      </c>
    </row>
    <row r="103" spans="1:6" ht="24">
      <c r="A103" s="3118">
        <v>31</v>
      </c>
      <c r="B103" s="3831"/>
      <c r="C103" s="3092" t="s">
        <v>2717</v>
      </c>
      <c r="D103" s="3092" t="s">
        <v>2718</v>
      </c>
      <c r="E103" s="3118">
        <v>0.1</v>
      </c>
      <c r="F103" s="3118">
        <v>15</v>
      </c>
    </row>
    <row r="104" spans="1:6" ht="24">
      <c r="A104" s="3118">
        <v>32</v>
      </c>
      <c r="B104" s="3831"/>
      <c r="C104" s="3092" t="s">
        <v>2719</v>
      </c>
      <c r="D104" s="3092" t="s">
        <v>2720</v>
      </c>
      <c r="E104" s="3118">
        <v>0.1</v>
      </c>
      <c r="F104" s="3118">
        <v>15</v>
      </c>
    </row>
    <row r="105" spans="1:6" ht="24">
      <c r="A105" s="3118">
        <v>33</v>
      </c>
      <c r="B105" s="3831"/>
      <c r="C105" s="3092" t="s">
        <v>2721</v>
      </c>
      <c r="D105" s="3092" t="s">
        <v>2722</v>
      </c>
      <c r="E105" s="3118">
        <v>0.1</v>
      </c>
      <c r="F105" s="3118">
        <v>15</v>
      </c>
    </row>
    <row r="106" spans="1:6" ht="24">
      <c r="A106" s="3118">
        <v>34</v>
      </c>
      <c r="B106" s="3840"/>
      <c r="C106" s="3092" t="s">
        <v>2723</v>
      </c>
      <c r="D106" s="3092" t="s">
        <v>2724</v>
      </c>
      <c r="E106" s="3118">
        <v>0.1</v>
      </c>
      <c r="F106" s="3118">
        <v>15</v>
      </c>
    </row>
    <row r="107" spans="1:6" ht="24">
      <c r="A107" s="3118">
        <v>35</v>
      </c>
      <c r="B107" s="3836" t="s">
        <v>2725</v>
      </c>
      <c r="C107" s="3118" t="s">
        <v>2726</v>
      </c>
      <c r="D107" s="3092" t="s">
        <v>2727</v>
      </c>
      <c r="E107" s="3118">
        <v>0.15</v>
      </c>
      <c r="F107" s="3118">
        <v>20</v>
      </c>
    </row>
    <row r="108" spans="1:6" ht="13.5">
      <c r="A108" s="3118">
        <v>36</v>
      </c>
      <c r="B108" s="3831"/>
      <c r="C108" s="3118" t="s">
        <v>2728</v>
      </c>
      <c r="D108" s="3092" t="s">
        <v>2729</v>
      </c>
      <c r="E108" s="3118">
        <v>0.15</v>
      </c>
      <c r="F108" s="3118">
        <v>20</v>
      </c>
    </row>
    <row r="109" spans="1:6" ht="13.5">
      <c r="A109" s="3118">
        <v>37</v>
      </c>
      <c r="B109" s="3831"/>
      <c r="C109" s="3118" t="s">
        <v>2730</v>
      </c>
      <c r="D109" s="3092" t="s">
        <v>2731</v>
      </c>
      <c r="E109" s="3118">
        <v>0.15</v>
      </c>
      <c r="F109" s="3118">
        <v>20</v>
      </c>
    </row>
    <row r="110" spans="1:6" ht="13.5">
      <c r="A110" s="3118">
        <v>38</v>
      </c>
      <c r="B110" s="3831"/>
      <c r="C110" s="3118" t="s">
        <v>2732</v>
      </c>
      <c r="D110" s="3092" t="s">
        <v>2733</v>
      </c>
      <c r="E110" s="3118">
        <v>0.1</v>
      </c>
      <c r="F110" s="3118">
        <v>15</v>
      </c>
    </row>
    <row r="111" spans="1:6" ht="24">
      <c r="A111" s="3118">
        <v>39</v>
      </c>
      <c r="B111" s="3831"/>
      <c r="C111" s="3118" t="s">
        <v>2734</v>
      </c>
      <c r="D111" s="3092" t="s">
        <v>2735</v>
      </c>
      <c r="E111" s="3118">
        <v>0.1</v>
      </c>
      <c r="F111" s="3118">
        <v>15</v>
      </c>
    </row>
    <row r="112" spans="1:6" ht="24">
      <c r="A112" s="3118">
        <v>40</v>
      </c>
      <c r="B112" s="3840"/>
      <c r="C112" s="3118" t="s">
        <v>2736</v>
      </c>
      <c r="D112" s="3092" t="s">
        <v>2737</v>
      </c>
      <c r="E112" s="3118">
        <v>0.1</v>
      </c>
      <c r="F112" s="3118">
        <v>15</v>
      </c>
    </row>
    <row r="113" spans="1:6" ht="13.5">
      <c r="A113" s="3118">
        <v>41</v>
      </c>
      <c r="B113" s="3841" t="s">
        <v>2738</v>
      </c>
      <c r="C113" s="3118" t="s">
        <v>2739</v>
      </c>
      <c r="D113" s="3092" t="s">
        <v>2740</v>
      </c>
      <c r="E113" s="3118">
        <v>0.1</v>
      </c>
      <c r="F113" s="3118">
        <v>15</v>
      </c>
    </row>
    <row r="114" spans="1:6" ht="13.5">
      <c r="A114" s="3118">
        <v>42</v>
      </c>
      <c r="B114" s="3841"/>
      <c r="C114" s="3118" t="s">
        <v>2741</v>
      </c>
      <c r="D114" s="3092" t="s">
        <v>2742</v>
      </c>
      <c r="E114" s="3118">
        <v>0.1</v>
      </c>
      <c r="F114" s="3118">
        <v>15</v>
      </c>
    </row>
    <row r="115" spans="1:6" ht="24">
      <c r="A115" s="3118">
        <v>43</v>
      </c>
      <c r="B115" s="3841"/>
      <c r="C115" s="3118" t="s">
        <v>2743</v>
      </c>
      <c r="D115" s="3092" t="s">
        <v>2744</v>
      </c>
      <c r="E115" s="3118">
        <v>0.1</v>
      </c>
      <c r="F115" s="3118">
        <v>15</v>
      </c>
    </row>
    <row r="116" spans="1:6" ht="13.5">
      <c r="A116" s="3118">
        <v>44</v>
      </c>
      <c r="B116" s="3836" t="s">
        <v>2745</v>
      </c>
      <c r="C116" s="3118" t="s">
        <v>2746</v>
      </c>
      <c r="D116" s="3092" t="s">
        <v>2747</v>
      </c>
      <c r="E116" s="3118">
        <v>0.1</v>
      </c>
      <c r="F116" s="3118">
        <v>15</v>
      </c>
    </row>
    <row r="117" spans="1:6" ht="24">
      <c r="A117" s="3118">
        <v>45</v>
      </c>
      <c r="B117" s="3840"/>
      <c r="C117" s="3092" t="s">
        <v>2748</v>
      </c>
      <c r="D117" s="3092" t="s">
        <v>2749</v>
      </c>
      <c r="E117" s="3118">
        <v>0.1</v>
      </c>
      <c r="F117" s="3118">
        <v>15</v>
      </c>
    </row>
    <row r="118" spans="1:6" ht="24">
      <c r="A118" s="3118">
        <v>46</v>
      </c>
      <c r="B118" s="3836" t="s">
        <v>2750</v>
      </c>
      <c r="C118" s="3118" t="s">
        <v>2751</v>
      </c>
      <c r="D118" s="3092" t="s">
        <v>2752</v>
      </c>
      <c r="E118" s="3118">
        <v>0.1</v>
      </c>
      <c r="F118" s="3118">
        <v>15</v>
      </c>
    </row>
    <row r="119" spans="1:6" ht="24">
      <c r="A119" s="3118">
        <v>47</v>
      </c>
      <c r="B119" s="3840"/>
      <c r="C119" s="3118" t="s">
        <v>2753</v>
      </c>
      <c r="D119" s="3092" t="s">
        <v>2754</v>
      </c>
      <c r="E119" s="3118">
        <v>0.1</v>
      </c>
      <c r="F119" s="3118">
        <v>15</v>
      </c>
    </row>
    <row r="120" spans="1:6" ht="13.5">
      <c r="A120" s="3118">
        <v>48</v>
      </c>
      <c r="B120" s="3836" t="s">
        <v>2755</v>
      </c>
      <c r="C120" s="3118" t="s">
        <v>2756</v>
      </c>
      <c r="D120" s="3092" t="s">
        <v>2757</v>
      </c>
      <c r="E120" s="3118">
        <v>0.1</v>
      </c>
      <c r="F120" s="3118">
        <v>15</v>
      </c>
    </row>
    <row r="121" spans="1:6" ht="13.5">
      <c r="A121" s="3118">
        <v>49</v>
      </c>
      <c r="B121" s="3840"/>
      <c r="C121" s="3118" t="s">
        <v>2758</v>
      </c>
      <c r="D121" s="3092" t="s">
        <v>2759</v>
      </c>
      <c r="E121" s="3118">
        <v>0.1</v>
      </c>
      <c r="F121" s="3118">
        <v>15</v>
      </c>
    </row>
    <row r="122" spans="1:6" ht="24">
      <c r="A122" s="3118">
        <v>50</v>
      </c>
      <c r="B122" s="3841" t="s">
        <v>2760</v>
      </c>
      <c r="C122" s="3118" t="s">
        <v>2761</v>
      </c>
      <c r="D122" s="3092" t="s">
        <v>2762</v>
      </c>
      <c r="E122" s="3118">
        <v>0.1</v>
      </c>
      <c r="F122" s="3118">
        <v>15</v>
      </c>
    </row>
    <row r="123" spans="1:6" ht="24">
      <c r="A123" s="3118">
        <v>51</v>
      </c>
      <c r="B123" s="3841"/>
      <c r="C123" s="3118" t="s">
        <v>2763</v>
      </c>
      <c r="D123" s="3092" t="s">
        <v>2764</v>
      </c>
      <c r="E123" s="3118">
        <v>0.1</v>
      </c>
      <c r="F123" s="3118">
        <v>15</v>
      </c>
    </row>
    <row r="124" spans="1:6" ht="24">
      <c r="A124" s="3118">
        <v>52</v>
      </c>
      <c r="B124" s="3841" t="s">
        <v>2765</v>
      </c>
      <c r="C124" s="3118" t="s">
        <v>2766</v>
      </c>
      <c r="D124" s="3092" t="s">
        <v>2767</v>
      </c>
      <c r="E124" s="3118">
        <v>0.1</v>
      </c>
      <c r="F124" s="3118">
        <v>15</v>
      </c>
    </row>
    <row r="125" spans="1:6" ht="24">
      <c r="A125" s="3118">
        <v>53</v>
      </c>
      <c r="B125" s="3841"/>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841" t="s">
        <v>2773</v>
      </c>
      <c r="C127" s="3118" t="s">
        <v>2774</v>
      </c>
      <c r="D127" s="3092" t="s">
        <v>2775</v>
      </c>
      <c r="E127" s="3118">
        <v>0.1</v>
      </c>
      <c r="F127" s="3118">
        <v>15</v>
      </c>
    </row>
    <row r="128" spans="1:6" ht="13.5">
      <c r="A128" s="3118">
        <v>56</v>
      </c>
      <c r="B128" s="3841"/>
      <c r="C128" s="3118" t="s">
        <v>2776</v>
      </c>
      <c r="D128" s="3092" t="s">
        <v>2777</v>
      </c>
      <c r="E128" s="3118">
        <v>0.1</v>
      </c>
      <c r="F128" s="3118">
        <v>15</v>
      </c>
    </row>
    <row r="129" spans="1:6" ht="24">
      <c r="A129" s="3118">
        <v>57</v>
      </c>
      <c r="B129" s="3841"/>
      <c r="C129" s="3118" t="s">
        <v>2778</v>
      </c>
      <c r="D129" s="3092" t="s">
        <v>2779</v>
      </c>
      <c r="E129" s="3118">
        <v>0.1</v>
      </c>
      <c r="F129" s="3118">
        <v>15</v>
      </c>
    </row>
    <row r="130" spans="1:6" ht="24">
      <c r="A130" s="3118">
        <v>58</v>
      </c>
      <c r="B130" s="3841" t="s">
        <v>2780</v>
      </c>
      <c r="C130" s="3118" t="s">
        <v>2781</v>
      </c>
      <c r="D130" s="3092" t="s">
        <v>2782</v>
      </c>
      <c r="E130" s="3118">
        <v>0.1</v>
      </c>
      <c r="F130" s="3118">
        <v>15</v>
      </c>
    </row>
    <row r="131" spans="1:6" ht="13.5">
      <c r="A131" s="3118">
        <v>59</v>
      </c>
      <c r="B131" s="3841"/>
      <c r="C131" s="3118" t="s">
        <v>2783</v>
      </c>
      <c r="D131" s="3092" t="s">
        <v>2784</v>
      </c>
      <c r="E131" s="3118">
        <v>0.1</v>
      </c>
      <c r="F131" s="3118">
        <v>15</v>
      </c>
    </row>
    <row r="132" spans="1:6" ht="13.5">
      <c r="A132" s="3118">
        <v>60</v>
      </c>
      <c r="B132" s="3836" t="s">
        <v>2785</v>
      </c>
      <c r="C132" s="3118" t="s">
        <v>2786</v>
      </c>
      <c r="D132" s="3092" t="s">
        <v>2787</v>
      </c>
      <c r="E132" s="3118">
        <v>0.1</v>
      </c>
      <c r="F132" s="3118">
        <v>15</v>
      </c>
    </row>
    <row r="133" spans="1:6" ht="13.5">
      <c r="A133" s="3118">
        <v>61</v>
      </c>
      <c r="B133" s="384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841" t="s">
        <v>2793</v>
      </c>
      <c r="C135" s="3118" t="s">
        <v>2794</v>
      </c>
      <c r="D135" s="3092" t="s">
        <v>2795</v>
      </c>
      <c r="E135" s="3118">
        <v>0.1</v>
      </c>
      <c r="F135" s="3118">
        <v>15</v>
      </c>
    </row>
    <row r="136" spans="1:6" ht="13.5">
      <c r="A136" s="3118">
        <v>64</v>
      </c>
      <c r="B136" s="3841"/>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SUMPRODUCT((A95:A184=ROUNDDOWN(基准地价修正商业!G3,1))*(B94:M94=基准地价修正商业!G2)*(B95:M184))</f>
        <v>0.91859999999999997</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SUMPRODUCT((A371:A460=ROUNDDOWN(基准地价修正商业!G3,1))*(B370:M370=基准地价修正商业!G2)*(B371:M460))</f>
        <v>0.87380000000000002</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42086</v>
      </c>
      <c r="C2" s="2" t="s">
        <v>106</v>
      </c>
      <c r="D2" s="199"/>
      <c r="E2" s="199"/>
      <c r="F2" s="199"/>
      <c r="G2" s="199"/>
    </row>
    <row r="3" spans="1:7" s="200" customFormat="1" ht="18" customHeight="1" thickBot="1">
      <c r="A3" s="203" t="s">
        <v>58</v>
      </c>
      <c r="B3" s="204">
        <f ca="1">ROUND(B2*10000/'数据-汇总表'!E3,0)</f>
        <v>17851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472</v>
      </c>
      <c r="D10" s="845">
        <f>'数据-汇总表'!E6</f>
        <v>23576.310000000005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472</v>
      </c>
      <c r="D19" s="849">
        <f>'数据-汇总表'!E3</f>
        <v>23576.310000000005</v>
      </c>
      <c r="E19" s="211">
        <f>'数据-取费表'!B31</f>
        <v>200</v>
      </c>
      <c r="F19" s="231"/>
      <c r="G19" s="1" t="s">
        <v>436</v>
      </c>
    </row>
    <row r="20" spans="1:7" s="214" customFormat="1" ht="13.5" customHeight="1">
      <c r="A20" s="777" t="s">
        <v>419</v>
      </c>
      <c r="B20" s="210" t="s">
        <v>77</v>
      </c>
      <c r="C20" s="232">
        <f>ROUND((C5+C19)*F20,0)</f>
        <v>632</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1502</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33</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3040</v>
      </c>
      <c r="D27" s="235">
        <f>C29</f>
        <v>4.1999999999999997E-3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3040</v>
      </c>
      <c r="D28" s="235"/>
      <c r="E28" s="236"/>
      <c r="F28" s="246"/>
      <c r="G28" s="247"/>
    </row>
    <row r="29" spans="1:7" s="214" customFormat="1" ht="13.5" customHeight="1">
      <c r="A29" s="780" t="s">
        <v>347</v>
      </c>
      <c r="B29" s="248" t="s">
        <v>425</v>
      </c>
      <c r="C29" s="238">
        <f>ROUND(C21*F27*'数据-取费表'!B21/'数据-取费表'!B20,4)</f>
        <v>4.1999999999999997E-3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28806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11772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10610</v>
      </c>
      <c r="D34" s="217"/>
      <c r="E34" s="220"/>
      <c r="F34" s="257">
        <f>IF('数据-取费表'!B24=0,1,'数据-取费表'!N16)</f>
        <v>1</v>
      </c>
      <c r="G34" s="219" t="s">
        <v>89</v>
      </c>
    </row>
    <row r="35" spans="1:7" ht="13.5" customHeight="1">
      <c r="A35" s="780" t="s">
        <v>351</v>
      </c>
      <c r="B35" s="215" t="s">
        <v>33</v>
      </c>
      <c r="C35" s="220">
        <f>ROUND(C34*F35,0)</f>
        <v>531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472</v>
      </c>
      <c r="D37" s="217">
        <f>'数据-汇总表'!E3</f>
        <v>23576.310000000005</v>
      </c>
      <c r="E37" s="249">
        <f>'数据-取费表'!B35</f>
        <v>200</v>
      </c>
      <c r="F37" s="259"/>
      <c r="G37" s="261" t="s">
        <v>92</v>
      </c>
    </row>
    <row r="38" spans="1:7" ht="13.5" customHeight="1">
      <c r="A38" s="780" t="s">
        <v>354</v>
      </c>
      <c r="B38" s="215" t="s">
        <v>36</v>
      </c>
      <c r="C38" s="220">
        <f>ROUND(C34*F38,0)</f>
        <v>159</v>
      </c>
      <c r="D38" s="220"/>
      <c r="E38" s="220"/>
      <c r="F38" s="259">
        <f>'数据-取费表'!B36</f>
        <v>1.4999999999999999E-2</v>
      </c>
      <c r="G38" s="219" t="s">
        <v>90</v>
      </c>
    </row>
    <row r="39" spans="1:7" s="214" customFormat="1" ht="13.5" customHeight="1">
      <c r="A39" s="777" t="s">
        <v>338</v>
      </c>
      <c r="B39" s="210" t="s">
        <v>77</v>
      </c>
      <c r="C39" s="232">
        <f>ROUND(C33*F20,0)</f>
        <v>353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418</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406</v>
      </c>
      <c r="D42" s="238"/>
      <c r="E42" s="238"/>
      <c r="F42" s="239"/>
      <c r="G42" s="3710" t="s">
        <v>94</v>
      </c>
    </row>
    <row r="43" spans="1:7" ht="13.5" customHeight="1">
      <c r="A43" s="780" t="s">
        <v>347</v>
      </c>
      <c r="B43" s="215" t="s">
        <v>426</v>
      </c>
      <c r="C43" s="238">
        <f ca="1">ROUND(IF('数据-取费表'!B22&lt;=1,C39*F22*'数据-取费表'!B21/2,C39*(POWER((1+F22),'数据-取费表'!B21/2)-1)),0)</f>
        <v>12</v>
      </c>
      <c r="D43" s="238"/>
      <c r="E43" s="238"/>
      <c r="F43" s="239"/>
      <c r="G43" s="3711"/>
    </row>
    <row r="44" spans="1:7" ht="13.5" customHeight="1">
      <c r="A44" s="780" t="s">
        <v>348</v>
      </c>
      <c r="B44" s="215" t="s">
        <v>428</v>
      </c>
      <c r="C44" s="238">
        <f ca="1">ROUND(IF('数据-取费表'!B22&lt;=1,C40*F22*'数据-取费表'!B21/2,C40*(POWER((1+F22),'数据-取费表'!B21/2)-1)),4)</f>
        <v>1E-3</v>
      </c>
      <c r="D44" s="238"/>
      <c r="E44" s="238"/>
      <c r="F44" s="239"/>
      <c r="G44" s="3712"/>
    </row>
    <row r="45" spans="1:7" s="214" customFormat="1" ht="13.5" customHeight="1">
      <c r="A45" s="777" t="s">
        <v>341</v>
      </c>
      <c r="B45" s="244" t="s">
        <v>85</v>
      </c>
      <c r="C45" s="245">
        <f>C46</f>
        <v>1698</v>
      </c>
      <c r="D45" s="235">
        <f>C47</f>
        <v>4.1999999999999997E-3</v>
      </c>
      <c r="E45" s="236" t="s">
        <v>102</v>
      </c>
      <c r="F45" s="246"/>
      <c r="G45" s="247" t="s">
        <v>434</v>
      </c>
    </row>
    <row r="46" spans="1:7" s="214" customFormat="1" ht="13.5" customHeight="1">
      <c r="A46" s="780" t="s">
        <v>349</v>
      </c>
      <c r="B46" s="248" t="s">
        <v>427</v>
      </c>
      <c r="C46" s="249">
        <f>ROUND((C33+C39)*F27,0)</f>
        <v>1698</v>
      </c>
      <c r="D46" s="263"/>
      <c r="E46" s="236"/>
      <c r="F46" s="246"/>
      <c r="G46" s="247"/>
    </row>
    <row r="47" spans="1:7" s="214" customFormat="1" ht="13.5" customHeight="1">
      <c r="A47" s="780" t="s">
        <v>347</v>
      </c>
      <c r="B47" s="248" t="s">
        <v>429</v>
      </c>
      <c r="C47" s="238">
        <f>ROUND(C40*F27,4)</f>
        <v>4.1999999999999997E-3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15624</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13280</v>
      </c>
      <c r="D51" s="232"/>
      <c r="E51" s="232"/>
      <c r="F51" s="264"/>
      <c r="G51" s="234" t="s">
        <v>37</v>
      </c>
    </row>
    <row r="52" spans="1:7" s="208" customFormat="1" ht="16.5" thickBot="1">
      <c r="A52" s="265" t="s">
        <v>38</v>
      </c>
      <c r="B52" s="266"/>
      <c r="C52" s="267">
        <f ca="1">C31+C51</f>
        <v>42086</v>
      </c>
      <c r="D52" s="266"/>
      <c r="E52" s="266"/>
      <c r="F52" s="266"/>
      <c r="G52" s="268"/>
    </row>
    <row r="55" spans="1:7" ht="15">
      <c r="B55" s="270" t="s">
        <v>39</v>
      </c>
      <c r="C55" s="271"/>
    </row>
    <row r="56" spans="1:7">
      <c r="B56" s="273" t="s">
        <v>40</v>
      </c>
      <c r="C56" s="274">
        <f ca="1">ROUND(C51/C52,3)</f>
        <v>0.316</v>
      </c>
    </row>
    <row r="57" spans="1:7">
      <c r="B57" s="273" t="s">
        <v>41</v>
      </c>
      <c r="C57" s="275">
        <f ca="1">1-C56</f>
        <v>0.68399999999999994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44" t="s">
        <v>2845</v>
      </c>
      <c r="B1" s="3844"/>
      <c r="C1" s="3844"/>
      <c r="D1" s="3844"/>
      <c r="E1" s="3844"/>
      <c r="F1" s="3844"/>
      <c r="G1" s="3845"/>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842"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843"/>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46" t="s">
        <v>3187</v>
      </c>
      <c r="B1" s="3846"/>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47" t="s">
        <v>3238</v>
      </c>
      <c r="B1" s="3847"/>
      <c r="C1" s="3847"/>
      <c r="D1" s="3847"/>
      <c r="E1" s="3847"/>
      <c r="F1" s="3848"/>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基准地价修正商业!G23</f>
        <v>45183</v>
      </c>
      <c r="B1" s="3210" t="s">
        <v>2844</v>
      </c>
      <c r="C1" s="3211"/>
      <c r="D1" s="3211"/>
      <c r="E1" s="3211"/>
      <c r="F1" s="3211"/>
      <c r="G1" s="3211"/>
      <c r="H1" s="3211"/>
      <c r="I1" s="3211"/>
      <c r="J1" s="3165"/>
      <c r="K1" s="3211" t="s">
        <v>454</v>
      </c>
      <c r="L1" s="3211"/>
      <c r="M1" s="3211"/>
      <c r="N1" s="3211"/>
      <c r="O1" s="3211"/>
      <c r="P1" s="3211"/>
      <c r="Q1" s="3165"/>
      <c r="R1" s="3849" t="s">
        <v>456</v>
      </c>
      <c r="S1" s="3850"/>
      <c r="T1" s="3850"/>
      <c r="U1" s="3850"/>
      <c r="V1" s="3850"/>
      <c r="W1" s="3850"/>
      <c r="X1" s="3165"/>
      <c r="Y1" s="3849" t="s">
        <v>457</v>
      </c>
      <c r="Z1" s="3850"/>
      <c r="AA1" s="3850"/>
      <c r="AB1" s="3850"/>
      <c r="AC1" s="3850"/>
      <c r="AD1" s="3850"/>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3378</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3377</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ROUND(IF([4]项目基本情况!B8="出让",SUMPRODUCT(PRODUCT(1+K9:K16)),SUMPRODUCT(PRODUCT(1+K9:K15))),4)</f>
        <v>1.0565</v>
      </c>
      <c r="S9" s="3183">
        <f>ROUND(IF([4]项目基本情况!B8="出让",SUMPRODUCT(PRODUCT(1+L9:L16)),SUMPRODUCT(PRODUCT(1+L9:L15))),4)</f>
        <v>1.0250999999999999</v>
      </c>
      <c r="T9" s="3183">
        <f>ROUND(IF([4]项目基本情况!B8="出让",SUMPRODUCT(PRODUCT(1+M9:M16)),SUMPRODUCT(PRODUCT(1+M9:M15))),4)</f>
        <v>1.0145</v>
      </c>
      <c r="U9" s="3183">
        <f>ROUND(IF([4]项目基本情况!B8="出让",SUMPRODUCT(PRODUCT(1+N9:N16)),SUMPRODUCT(PRODUCT(1+N9:N15))),4)</f>
        <v>1.0618000000000001</v>
      </c>
      <c r="V9" s="3183">
        <f>ROUND(IF([4]项目基本情况!B8="出让",SUMPRODUCT(PRODUCT(1+O9:O16)),SUMPRODUCT(PRODUCT(1+O9:O15))),4)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ROUND(IF([4]项目基本情况!B8="出让",SUMPRODUCT(PRODUCT(1+K10:K16)),SUMPRODUCT(PRODUCT(1+K10:K15))),4)</f>
        <v>1.05</v>
      </c>
      <c r="S10" s="3183">
        <f>ROUND(IF([4]项目基本情况!B8="出让",SUMPRODUCT(PRODUCT(1+L10:L16)),SUMPRODUCT(PRODUCT(1+L10:L15))),4)</f>
        <v>1.0229999999999999</v>
      </c>
      <c r="T10" s="3183">
        <f>ROUND(IF([4]项目基本情况!B8="出让",SUMPRODUCT(PRODUCT(1+M10:M16)),SUMPRODUCT(PRODUCT(1+M10:M15))),4)</f>
        <v>1.0134000000000001</v>
      </c>
      <c r="U10" s="3183">
        <f>ROUND(IF([4]项目基本情况!B8="出让",SUMPRODUCT(PRODUCT(1+N10:N16)),SUMPRODUCT(PRODUCT(1+N10:N15))),4)</f>
        <v>1.0545</v>
      </c>
      <c r="V10" s="3183">
        <f>ROUND(IF([4]项目基本情况!B8="出让",SUMPRODUCT(PRODUCT(1+O10:O16)),SUMPRODUCT(PRODUCT(1+O10:O15))),4)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ROUND(IF([4]项目基本情况!B8="出让",SUMPRODUCT(PRODUCT(1+K11:K16)),SUMPRODUCT(PRODUCT(1+K11:K15))),4)</f>
        <v>1.0430999999999999</v>
      </c>
      <c r="S11" s="3183">
        <f>ROUND(IF([4]项目基本情况!B8="出让",SUMPRODUCT(PRODUCT(1+L11:L16)),SUMPRODUCT(PRODUCT(1+L11:L15))),4)</f>
        <v>1.0197000000000001</v>
      </c>
      <c r="T11" s="3183">
        <f>ROUND(IF([4]项目基本情况!B8="出让",SUMPRODUCT(PRODUCT(1+M11:M16)),SUMPRODUCT(PRODUCT(1+M11:M15))),4)</f>
        <v>1.0109999999999999</v>
      </c>
      <c r="U11" s="3183">
        <f>ROUND(IF([4]项目基本情况!B8="出让",SUMPRODUCT(PRODUCT(1+N11:N16)),SUMPRODUCT(PRODUCT(1+N11:N15))),4)</f>
        <v>1.0468999999999999</v>
      </c>
      <c r="V11" s="3183">
        <f>ROUND(IF([4]项目基本情况!B8="出让",SUMPRODUCT(PRODUCT(1+O11:O16)),SUMPRODUCT(PRODUCT(1+O11:O15))),4)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ROUND(IF([4]项目基本情况!B8="出让",SUMPRODUCT(PRODUCT(1+K12:K16)),SUMPRODUCT(PRODUCT(1+K12:K15))),4)</f>
        <v>1.0335000000000001</v>
      </c>
      <c r="S12" s="3183">
        <f>ROUND(IF([4]项目基本情况!B8="出让",SUMPRODUCT(PRODUCT(1+L12:L16)),SUMPRODUCT(PRODUCT(1+L12:L15))),4)</f>
        <v>1.0182</v>
      </c>
      <c r="T12" s="3183">
        <f>ROUND(IF([4]项目基本情况!B8="出让",SUMPRODUCT(PRODUCT(1+M12:M16)),SUMPRODUCT(PRODUCT(1+M12:M15))),4)</f>
        <v>1.0108999999999999</v>
      </c>
      <c r="U12" s="3183">
        <f>ROUND(IF([4]项目基本情况!B8="出让",SUMPRODUCT(PRODUCT(1+N12:N16)),SUMPRODUCT(PRODUCT(1+N12:N15))),4)</f>
        <v>1.0361</v>
      </c>
      <c r="V12" s="3183">
        <f>ROUND(IF([4]项目基本情况!B8="出让",SUMPRODUCT(PRODUCT(1+O12:O16)),SUMPRODUCT(PRODUCT(1+O12:O15))),4)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ROUND(IF([4]项目基本情况!B8="出让",SUMPRODUCT(PRODUCT(1+K13:K16)),SUMPRODUCT(PRODUCT(1+K13:K15))),4)</f>
        <v>1.0244</v>
      </c>
      <c r="S13" s="3183">
        <f>ROUND(IF([4]项目基本情况!B8="出让",SUMPRODUCT(PRODUCT(1+L13:L16)),SUMPRODUCT(PRODUCT(1+L13:L15))),4)</f>
        <v>1.0138</v>
      </c>
      <c r="T13" s="3183">
        <f>ROUND(IF([4]项目基本情况!B8="出让",SUMPRODUCT(PRODUCT(1+M13:M16)),SUMPRODUCT(PRODUCT(1+M13:M15))),4)</f>
        <v>1.0072000000000001</v>
      </c>
      <c r="U13" s="3183">
        <f>ROUND(IF([4]项目基本情况!B8="出让",SUMPRODUCT(PRODUCT(1+N13:N16)),SUMPRODUCT(PRODUCT(1+N13:N15))),4)</f>
        <v>1.0262</v>
      </c>
      <c r="V13" s="3183">
        <f>ROUND(IF([4]项目基本情况!B8="出让",SUMPRODUCT(PRODUCT(1+O13:O16)),SUMPRODUCT(PRODUCT(1+O13:O15))),4)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ROUND(IF([4]项目基本情况!B8="出让",SUMPRODUCT(PRODUCT(1+K14:K16)),SUMPRODUCT(PRODUCT(1+K14:K15))),4)</f>
        <v>1.0139</v>
      </c>
      <c r="S14" s="3183">
        <f>ROUND(IF([4]项目基本情况!B8="出让",SUMPRODUCT(PRODUCT(1+L14:L16)),SUMPRODUCT(PRODUCT(1+L14:L15))),4)</f>
        <v>1.0113000000000001</v>
      </c>
      <c r="T14" s="3183">
        <f>ROUND(IF([4]项目基本情况!B8="出让",SUMPRODUCT(PRODUCT(1+M14:M16)),SUMPRODUCT(PRODUCT(1+M14:M15))),4)</f>
        <v>1.0065</v>
      </c>
      <c r="U14" s="3183">
        <f>ROUND(IF([4]项目基本情况!B8="出让",SUMPRODUCT(PRODUCT(1+N14:N16)),SUMPRODUCT(PRODUCT(1+N14:N15))),4)</f>
        <v>1.0143</v>
      </c>
      <c r="V14" s="3183">
        <f>ROUND(IF([4]项目基本情况!B8="出让",SUMPRODUCT(PRODUCT(1+O14:O16)),SUMPRODUCT(PRODUCT(1+O14:O15))),4)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ROUND(IF([4]项目基本情况!B8="出让",SUMPRODUCT(PRODUCT(1+K15:K16)),SUMPRODUCT(PRODUCT(1+K15:K15))),4)</f>
        <v>1.0092000000000001</v>
      </c>
      <c r="S15" s="3183">
        <f>ROUND(IF([4]项目基本情况!B8="出让",SUMPRODUCT(PRODUCT(1+L15:L16)),SUMPRODUCT(PRODUCT(1+L15:L15))),4)</f>
        <v>1.0072000000000001</v>
      </c>
      <c r="T15" s="3183">
        <f>ROUND(IF([4]项目基本情况!B8="出让",SUMPRODUCT(PRODUCT(1+M15:M16)),SUMPRODUCT(PRODUCT(1+M15:M15))),4)</f>
        <v>1.0041</v>
      </c>
      <c r="U15" s="3183">
        <f>ROUND(IF([4]项目基本情况!B8="出让",SUMPRODUCT(PRODUCT(1+N15:N16)),SUMPRODUCT(PRODUCT(1+N15:N15))),4)</f>
        <v>1.0095000000000001</v>
      </c>
      <c r="V15" s="3183">
        <f>ROUND(IF([4]项目基本情况!B8="出让",SUMPRODUCT(PRODUCT(1+O15:O16)),SUMPRODUCT(PRODUCT(1+O15:O15))),4)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849" t="s">
        <v>2832</v>
      </c>
      <c r="S21" s="3850"/>
      <c r="T21" s="3850"/>
      <c r="U21" s="3850"/>
      <c r="V21" s="3850"/>
      <c r="W21" s="3850"/>
      <c r="X21" s="3165"/>
      <c r="Y21" s="3849" t="s">
        <v>2833</v>
      </c>
      <c r="Z21" s="3850"/>
      <c r="AA21" s="3850"/>
      <c r="AB21" s="3850"/>
      <c r="AC21" s="3850"/>
      <c r="AD21" s="3850"/>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ROUND(IF([4]项目基本情况!$B$8="出让",SUMPRODUCT(PRODUCT(1+L25:L$36)),SUMPRODUCT(PRODUCT(1+L25:L$35))),4)</f>
        <v>1.0396000000000001</v>
      </c>
      <c r="T25" s="3183">
        <f>ROUND(IF([4]项目基本情况!$B$8="出让",SUMPRODUCT(PRODUCT(1+M25:M$36)),SUMPRODUCT(PRODUCT(1+M25:M$35))),4)</f>
        <v>1.0269999999999999</v>
      </c>
      <c r="U25" s="3183">
        <f>ROUND(IF([4]项目基本情况!$B$8="出让",SUMPRODUCT(PRODUCT(1+N25:N$36)),SUMPRODUCT(PRODUCT(1+N25:N$35))),4)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ROUND(IF([4]项目基本情况!$B$8="出让",SUMPRODUCT(PRODUCT(1+L26:L$36)),SUMPRODUCT(PRODUCT(1+L26:L$35))),4)</f>
        <v>1.0396000000000001</v>
      </c>
      <c r="T26" s="3183">
        <f>ROUND(IF([4]项目基本情况!$B$8="出让",SUMPRODUCT(PRODUCT(1+M26:M$36)),SUMPRODUCT(PRODUCT(1+M26:M$35))),4)</f>
        <v>1.0269999999999999</v>
      </c>
      <c r="U26" s="3183">
        <f>ROUND(IF([4]项目基本情况!$B$8="出让",SUMPRODUCT(PRODUCT(1+N26:N$36)),SUMPRODUCT(PRODUCT(1+N26:N$35))),4)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3376</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ROUND(IF([4]项目基本情况!$B$8="出让",SUMPRODUCT(PRODUCT(1+L27:L$36)),SUMPRODUCT(PRODUCT(1+L27:L$35))),4)</f>
        <v>1.0396000000000001</v>
      </c>
      <c r="T27" s="3192">
        <f>ROUND(IF([4]项目基本情况!$B$8="出让",SUMPRODUCT(PRODUCT(1+M27:M$36)),SUMPRODUCT(PRODUCT(1+M27:M$35))),4)</f>
        <v>1.0269999999999999</v>
      </c>
      <c r="U27" s="3192">
        <f>ROUND(IF([4]项目基本情况!$B$8="出让",SUMPRODUCT(PRODUCT(1+N27:N$36)),SUMPRODUCT(PRODUCT(1+N27:N$35))),4)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3377</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ROUND(IF([4]项目基本情况!$B$8="出让",SUMPRODUCT(PRODUCT(1+L28:L$36)),SUMPRODUCT(PRODUCT(1+L28:L$35))),4)</f>
        <v>1.0344</v>
      </c>
      <c r="T28" s="3183">
        <f>ROUND(IF([4]项目基本情况!$B$8="出让",SUMPRODUCT(PRODUCT(1+M28:M$36)),SUMPRODUCT(PRODUCT(1+M28:M$35))),4)</f>
        <v>1.0224</v>
      </c>
      <c r="U28" s="3183">
        <f>ROUND(IF([4]项目基本情况!$B$8="出让",SUMPRODUCT(PRODUCT(1+N28:N$36)),SUMPRODUCT(PRODUCT(1+N28:N$35))),4)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ROUND(IF([4]项目基本情况!$B$8="出让",SUMPRODUCT(PRODUCT(1+L29:L$36)),SUMPRODUCT(PRODUCT(1+L29:L$35))),4)</f>
        <v>1.0286999999999999</v>
      </c>
      <c r="T29" s="3183">
        <f>ROUND(IF([4]项目基本情况!$B$8="出让",SUMPRODUCT(PRODUCT(1+M29:M$36)),SUMPRODUCT(PRODUCT(1+M29:M$35))),4)</f>
        <v>1.0164</v>
      </c>
      <c r="U29" s="3183">
        <f>ROUND(IF([4]项目基本情况!$B$8="出让",SUMPRODUCT(PRODUCT(1+N29:N$36)),SUMPRODUCT(PRODUCT(1+N29:N$35))),4)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ROUND(IF([4]项目基本情况!$B$8="出让",SUMPRODUCT(PRODUCT(1+L30:L$36)),SUMPRODUCT(PRODUCT(1+L30:L$35))),4)</f>
        <v>1.0241</v>
      </c>
      <c r="T30" s="3183">
        <f>ROUND(IF([4]项目基本情况!$B$8="出让",SUMPRODUCT(PRODUCT(1+M30:M$36)),SUMPRODUCT(PRODUCT(1+M30:M$35))),4)</f>
        <v>1.0144</v>
      </c>
      <c r="U30" s="3183">
        <f>ROUND(IF([4]项目基本情况!$B$8="出让",SUMPRODUCT(PRODUCT(1+N30:N$36)),SUMPRODUCT(PRODUCT(1+N30:N$35))),4)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ROUND(IF([4]项目基本情况!$B$8="出让",SUMPRODUCT(PRODUCT(1+L31:L$36)),SUMPRODUCT(PRODUCT(1+L31:L$35))),4)</f>
        <v>1.0210999999999999</v>
      </c>
      <c r="T31" s="3183">
        <f>ROUND(IF([4]项目基本情况!$B$8="出让",SUMPRODUCT(PRODUCT(1+M31:M$36)),SUMPRODUCT(PRODUCT(1+M31:M$35))),4)</f>
        <v>1.0114000000000001</v>
      </c>
      <c r="U31" s="3183">
        <f>ROUND(IF([4]项目基本情况!$B$8="出让",SUMPRODUCT(PRODUCT(1+N31:N$36)),SUMPRODUCT(PRODUCT(1+N31:N$35))),4)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ROUND(IF([4]项目基本情况!$B$8="出让",SUMPRODUCT(PRODUCT(1+L32:L$36)),SUMPRODUCT(PRODUCT(1+L32:L$35))),4)</f>
        <v>1.0222</v>
      </c>
      <c r="T32" s="3183">
        <f>ROUND(IF([4]项目基本情况!$B$8="出让",SUMPRODUCT(PRODUCT(1+M32:M$36)),SUMPRODUCT(PRODUCT(1+M32:M$35))),4)</f>
        <v>1.0127999999999999</v>
      </c>
      <c r="U32" s="3183">
        <f>ROUND(IF([4]项目基本情况!$B$8="出让",SUMPRODUCT(PRODUCT(1+N32:N$36)),SUMPRODUCT(PRODUCT(1+N32:N$35))),4)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ROUND(IF([4]项目基本情况!$B$8="出让",SUMPRODUCT(PRODUCT(1+L33:L$36)),SUMPRODUCT(PRODUCT(1+L33:L$35))),4)</f>
        <v>1.0161</v>
      </c>
      <c r="T33" s="3183">
        <f>ROUND(IF([4]项目基本情况!$B$8="出让",SUMPRODUCT(PRODUCT(1+M33:M$36)),SUMPRODUCT(PRODUCT(1+M33:M$35))),4)</f>
        <v>1.0082</v>
      </c>
      <c r="U33" s="3183">
        <f>ROUND(IF([4]项目基本情况!$B$8="出让",SUMPRODUCT(PRODUCT(1+N33:N$36)),SUMPRODUCT(PRODUCT(1+N33:N$35))),4)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ROUND(IF([4]项目基本情况!$B$8="出让",SUMPRODUCT(PRODUCT(1+L34:L$36)),SUMPRODUCT(PRODUCT(1+L34:L$35))),4)</f>
        <v>1.0102</v>
      </c>
      <c r="T34" s="3183">
        <f>ROUND(IF([4]项目基本情况!$B$8="出让",SUMPRODUCT(PRODUCT(1+M34:M$36)),SUMPRODUCT(PRODUCT(1+M34:M$35))),4)</f>
        <v>1.0074000000000001</v>
      </c>
      <c r="U34" s="3183">
        <f>ROUND(IF([4]项目基本情况!$B$8="出让",SUMPRODUCT(PRODUCT(1+N34:N$36)),SUMPRODUCT(PRODUCT(1+N34:N$35))),4)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ROUND(IF([4]项目基本情况!$B$8="出让",SUMPRODUCT(PRODUCT(1+L35:L$36)),SUMPRODUCT(PRODUCT(1+L35:L$35))),4)</f>
        <v>1.0055000000000001</v>
      </c>
      <c r="T35" s="3183">
        <f>ROUND(IF([4]项目基本情况!$B$8="出让",SUMPRODUCT(PRODUCT(1+M35:M$36)),SUMPRODUCT(PRODUCT(1+M35:M$35))),4)</f>
        <v>1.0045999999999999</v>
      </c>
      <c r="U35" s="3183">
        <f>ROUND(IF([4]项目基本情况!$B$8="出让",SUMPRODUCT(PRODUCT(1+N35:N$36)),SUMPRODUCT(PRODUCT(1+N35:N$35))),4)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56" t="s">
        <v>452</v>
      </c>
      <c r="C1" s="3856"/>
      <c r="D1" s="3856"/>
      <c r="E1" s="3856"/>
      <c r="F1" s="3856"/>
      <c r="G1" s="3852" t="s">
        <v>453</v>
      </c>
      <c r="H1" s="3852"/>
      <c r="I1" s="3852"/>
      <c r="J1" s="3852"/>
      <c r="K1" s="3852"/>
      <c r="L1" s="3852"/>
      <c r="N1" s="3852" t="s">
        <v>454</v>
      </c>
      <c r="O1" s="3852"/>
      <c r="P1" s="3852"/>
      <c r="Q1" s="3852"/>
      <c r="S1" s="3852" t="s">
        <v>455</v>
      </c>
      <c r="T1" s="3852"/>
      <c r="U1" s="3852"/>
      <c r="V1" s="3852"/>
      <c r="X1" s="3851" t="s">
        <v>456</v>
      </c>
      <c r="Y1" s="3852"/>
      <c r="Z1" s="3852"/>
      <c r="AA1" s="3852"/>
      <c r="AB1" s="3852"/>
      <c r="AD1" s="3851" t="s">
        <v>457</v>
      </c>
      <c r="AE1" s="3852"/>
      <c r="AF1" s="3852"/>
      <c r="AG1" s="3852"/>
      <c r="AH1" s="385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5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5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5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6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5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5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5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6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5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5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5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5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5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5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5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5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5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5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5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5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5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5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5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6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5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5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5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5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5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5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5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5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5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5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5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5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5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5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5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5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5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5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5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5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5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5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5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5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5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5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5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5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5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5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5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5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5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5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5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5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5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5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5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5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5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5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5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5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26" t="str">
        <f>IF(项目基本情况!B9="房地产市场价值","估价结果一览表","结果表-2")</f>
        <v>结果表-2</v>
      </c>
      <c r="B1" s="3526"/>
      <c r="C1" s="3526"/>
      <c r="D1" s="3526"/>
      <c r="E1" s="3526"/>
      <c r="F1" s="3526"/>
      <c r="G1" s="3526"/>
      <c r="H1" s="3526"/>
      <c r="I1" s="3526"/>
    </row>
    <row r="2" spans="1:9" ht="30" customHeight="1" thickTop="1">
      <c r="A2" s="3527" t="s">
        <v>928</v>
      </c>
      <c r="B2" s="3527" t="s">
        <v>929</v>
      </c>
      <c r="C2" s="3527" t="s">
        <v>930</v>
      </c>
      <c r="D2" s="3527" t="str">
        <f>结果表!D116</f>
        <v>出让国有建设用地使用权价值</v>
      </c>
      <c r="E2" s="3527"/>
      <c r="F2" s="3527" t="str">
        <f>结果表!F116</f>
        <v>在建建筑物价值</v>
      </c>
      <c r="G2" s="3527"/>
      <c r="H2" s="3527" t="str">
        <f>IF(项目基本情况!B9="房地产市场价值","房地产市场价值","房地产价值")</f>
        <v>房地产价值</v>
      </c>
      <c r="I2" s="3527"/>
    </row>
    <row r="3" spans="1:9" ht="15">
      <c r="A3" s="3528"/>
      <c r="B3" s="3528"/>
      <c r="C3" s="3528"/>
      <c r="D3" s="854" t="s">
        <v>925</v>
      </c>
      <c r="E3" s="854" t="s">
        <v>931</v>
      </c>
      <c r="F3" s="854" t="s">
        <v>925</v>
      </c>
      <c r="G3" s="854" t="s">
        <v>926</v>
      </c>
      <c r="H3" s="854" t="s">
        <v>925</v>
      </c>
      <c r="I3" s="854" t="s">
        <v>926</v>
      </c>
    </row>
    <row r="4" spans="1:9" ht="15">
      <c r="A4" s="1505" t="str">
        <f>项目基本情况!S2</f>
        <v>北京市房地产</v>
      </c>
      <c r="B4" s="854">
        <f>项目基本情况!C17</f>
        <v>23576.310000000005</v>
      </c>
      <c r="C4" s="854">
        <f>项目基本情况!C18</f>
        <v>2435.9</v>
      </c>
      <c r="D4" s="854">
        <f ca="1">结果表!D118</f>
        <v>35871</v>
      </c>
      <c r="E4" s="854">
        <f ca="1">结果表!E118</f>
        <v>15214</v>
      </c>
      <c r="F4" s="854">
        <f ca="1">结果表!F118</f>
        <v>12214</v>
      </c>
      <c r="G4" s="854">
        <f ca="1">结果表!G118</f>
        <v>5181</v>
      </c>
      <c r="H4" s="854">
        <f ca="1">结果表!H118</f>
        <v>48085</v>
      </c>
      <c r="I4" s="854">
        <f ca="1">结果表!I118</f>
        <v>20395</v>
      </c>
    </row>
    <row r="5" spans="1:9" ht="30" customHeight="1">
      <c r="A5" s="3528" t="s">
        <v>927</v>
      </c>
      <c r="B5" s="3528"/>
      <c r="C5" s="3528"/>
      <c r="D5" s="3528" t="str">
        <f ca="1">结果表!D119</f>
        <v>叁亿伍仟捌佰柒拾壹万元整</v>
      </c>
      <c r="E5" s="3528"/>
      <c r="F5" s="3528" t="str">
        <f ca="1">结果表!F119</f>
        <v>壹亿贰仟贰佰壹拾肆万元整</v>
      </c>
      <c r="G5" s="3528"/>
      <c r="H5" s="3528" t="str">
        <f ca="1">结果表!H119</f>
        <v>肆亿捌仟零捌拾伍万元整</v>
      </c>
      <c r="I5" s="3528"/>
    </row>
    <row r="6" spans="1:9" ht="15.75">
      <c r="A6" s="3529" t="str">
        <f>结果表!A120</f>
        <v>估价师知悉的法定优先受偿款</v>
      </c>
      <c r="B6" s="3529"/>
      <c r="C6" s="3529"/>
      <c r="D6" s="3529">
        <f>结果表!D120</f>
        <v>0</v>
      </c>
      <c r="E6" s="3529"/>
      <c r="F6" s="3529"/>
      <c r="G6" s="3529"/>
      <c r="H6" s="3529"/>
      <c r="I6" s="3529"/>
    </row>
    <row r="7" spans="1:9" ht="15">
      <c r="A7" s="3528" t="s">
        <v>927</v>
      </c>
      <c r="B7" s="3528"/>
      <c r="C7" s="3528"/>
      <c r="D7" s="3530" t="str">
        <f>结果表!D121</f>
        <v>零元整</v>
      </c>
      <c r="E7" s="3531"/>
      <c r="F7" s="3531"/>
      <c r="G7" s="3531"/>
      <c r="H7" s="3531"/>
      <c r="I7" s="3532"/>
    </row>
    <row r="8" spans="1:9" ht="15.75">
      <c r="A8" s="3529" t="str">
        <f>结果表!A122</f>
        <v>房地产抵押价值</v>
      </c>
      <c r="B8" s="3529"/>
      <c r="C8" s="3529"/>
      <c r="D8" s="3529">
        <f ca="1">结果表!D122</f>
        <v>48085</v>
      </c>
      <c r="E8" s="3529"/>
      <c r="F8" s="3529"/>
      <c r="G8" s="3529"/>
      <c r="H8" s="3529"/>
      <c r="I8" s="3529"/>
    </row>
    <row r="9" spans="1:9" ht="15">
      <c r="A9" s="3528" t="s">
        <v>927</v>
      </c>
      <c r="B9" s="3528"/>
      <c r="C9" s="3528"/>
      <c r="D9" s="3528" t="str">
        <f ca="1">结果表!D123</f>
        <v>肆亿捌仟零捌拾伍万元整</v>
      </c>
      <c r="E9" s="3528"/>
      <c r="F9" s="3528"/>
      <c r="G9" s="3528"/>
      <c r="H9" s="3528"/>
      <c r="I9" s="3528"/>
    </row>
    <row r="10" spans="1:9" ht="15.75">
      <c r="A10" s="3529" t="str">
        <f>结果表!A124</f>
        <v/>
      </c>
      <c r="B10" s="3529"/>
      <c r="C10" s="3529"/>
      <c r="D10" s="3529" t="str">
        <f>结果表!D124</f>
        <v>——</v>
      </c>
      <c r="E10" s="3529"/>
      <c r="F10" s="3529"/>
      <c r="G10" s="3529"/>
      <c r="H10" s="3529"/>
      <c r="I10" s="3529"/>
    </row>
    <row r="11" spans="1:9" ht="15">
      <c r="A11" s="3528" t="s">
        <v>927</v>
      </c>
      <c r="B11" s="3528"/>
      <c r="C11" s="3528"/>
      <c r="D11" s="3528" t="e">
        <f>结果表!D125</f>
        <v>#VALUE!</v>
      </c>
      <c r="E11" s="3528"/>
      <c r="F11" s="3528"/>
      <c r="G11" s="3528"/>
      <c r="H11" s="3528"/>
      <c r="I11" s="3528"/>
    </row>
    <row r="12" spans="1:9" ht="15.75">
      <c r="A12" s="3529" t="str">
        <f>结果表!A126</f>
        <v>抵押净值</v>
      </c>
      <c r="B12" s="3529"/>
      <c r="C12" s="3529"/>
      <c r="D12" s="3529">
        <f ca="1">结果表!D126</f>
        <v>41287</v>
      </c>
      <c r="E12" s="3529"/>
      <c r="F12" s="3529"/>
      <c r="G12" s="3529"/>
      <c r="H12" s="3529"/>
      <c r="I12" s="3529"/>
    </row>
    <row r="13" spans="1:9" ht="15.75" thickBot="1">
      <c r="A13" s="3533" t="s">
        <v>927</v>
      </c>
      <c r="B13" s="3533"/>
      <c r="C13" s="3533"/>
      <c r="D13" s="3533" t="str">
        <f ca="1">结果表!D127</f>
        <v>肆亿壹仟贰佰捌拾柒万元整</v>
      </c>
      <c r="E13" s="3533"/>
      <c r="F13" s="3533"/>
      <c r="G13" s="3533"/>
      <c r="H13" s="3533"/>
      <c r="I13" s="3533"/>
    </row>
    <row r="14" spans="1:9" ht="15" thickTop="1">
      <c r="A14" s="3534" t="s">
        <v>932</v>
      </c>
      <c r="B14" s="3534"/>
      <c r="C14" s="3534"/>
      <c r="D14" s="3534"/>
      <c r="E14" s="3534"/>
      <c r="F14" s="3534"/>
      <c r="G14" s="3534"/>
      <c r="H14" s="3534"/>
      <c r="I14" s="353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45183</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35" t="s">
        <v>949</v>
      </c>
      <c r="B1" s="3535"/>
      <c r="C1" s="3535"/>
      <c r="D1" s="3535"/>
    </row>
    <row r="2" spans="1:4" ht="18">
      <c r="A2" s="3536" t="s">
        <v>933</v>
      </c>
      <c r="B2" s="3536"/>
      <c r="C2" s="3536"/>
      <c r="D2" s="3536"/>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36" t="s">
        <v>939</v>
      </c>
      <c r="B6" s="3536"/>
      <c r="C6" s="3536"/>
      <c r="D6" s="353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37" t="s">
        <v>942</v>
      </c>
      <c r="B11" s="3538"/>
      <c r="C11" s="3538"/>
      <c r="D11" s="3538"/>
    </row>
    <row r="12" spans="1:4" ht="15.75">
      <c r="A12" s="35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9"/>
      <c r="C12" s="3539"/>
      <c r="D12" s="3539"/>
    </row>
    <row r="13" spans="1:4" ht="30" customHeight="1">
      <c r="A13" s="35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9"/>
      <c r="C13" s="3539"/>
      <c r="D13" s="3539"/>
    </row>
    <row r="14" spans="1:4" ht="15.75" customHeight="1">
      <c r="A14" s="3538" t="str">
        <f>IF(项目基本情况!B8="抵押","4.本次评估估价师所知悉的法定优先受偿款情况说明如下：","——")</f>
        <v>4.本次评估估价师所知悉的法定优先受偿款情况说明如下：</v>
      </c>
      <c r="B14" s="3539"/>
      <c r="C14" s="3539"/>
      <c r="D14" s="3539"/>
    </row>
    <row r="15" spans="1:4" ht="42" customHeight="1">
      <c r="A15" s="35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8"/>
      <c r="C15" s="3538"/>
      <c r="D15" s="3538"/>
    </row>
    <row r="16" spans="1:4" ht="30" customHeight="1">
      <c r="A16" s="3541" t="s">
        <v>943</v>
      </c>
      <c r="B16" s="3541"/>
      <c r="C16" s="3541"/>
      <c r="D16" s="3541"/>
    </row>
    <row r="17" spans="1:4" ht="144" customHeight="1">
      <c r="A17" s="3541" t="s">
        <v>944</v>
      </c>
      <c r="B17" s="3541"/>
      <c r="C17" s="3541"/>
      <c r="D17" s="3541"/>
    </row>
    <row r="18" spans="1:4" ht="15.75" customHeight="1">
      <c r="A18" s="3538" t="str">
        <f>IF(项目基本情况!B8="抵押",结果表!K120,"——")</f>
        <v>故，本次评估不存在估价师知悉的法定优先受偿款</v>
      </c>
      <c r="B18" s="3538"/>
      <c r="C18" s="3538"/>
      <c r="D18" s="3538"/>
    </row>
    <row r="19" spans="1:4" ht="46.5" customHeight="1">
      <c r="A19" s="35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8"/>
      <c r="C19" s="3538"/>
      <c r="D19" s="3538"/>
    </row>
    <row r="20" spans="1:4" ht="57.75" customHeight="1">
      <c r="A20" s="35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8"/>
      <c r="C20" s="3538"/>
      <c r="D20" s="3538"/>
    </row>
    <row r="21" spans="1:4" ht="57.75" customHeight="1">
      <c r="A21" s="35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2"/>
      <c r="C21" s="3542"/>
      <c r="D21" s="3542"/>
    </row>
    <row r="22" spans="1:4" ht="18.75" customHeight="1">
      <c r="A22" s="3543" t="s">
        <v>945</v>
      </c>
      <c r="B22" s="3543"/>
      <c r="C22" s="3543"/>
      <c r="D22" s="354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40">
        <v>42551</v>
      </c>
      <c r="D31" s="35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49" t="s">
        <v>956</v>
      </c>
      <c r="B15" s="3544" t="s">
        <v>109</v>
      </c>
      <c r="C15" s="3545"/>
    </row>
    <row r="16" spans="1:7" ht="13.5">
      <c r="A16" s="3550"/>
      <c r="B16" s="3544" t="s">
        <v>42</v>
      </c>
      <c r="C16" s="3545"/>
    </row>
    <row r="17" spans="1:3" ht="13.5">
      <c r="A17" s="3550"/>
      <c r="B17" s="3547" t="s">
        <v>957</v>
      </c>
      <c r="C17" s="1532" t="s">
        <v>956</v>
      </c>
    </row>
    <row r="18" spans="1:3" ht="13.5">
      <c r="A18" s="3550"/>
      <c r="B18" s="3547"/>
      <c r="C18" s="1532" t="s">
        <v>958</v>
      </c>
    </row>
    <row r="19" spans="1:3" ht="13.5">
      <c r="A19" s="3550"/>
      <c r="B19" s="3547"/>
      <c r="C19" s="1532" t="s">
        <v>959</v>
      </c>
    </row>
    <row r="20" spans="1:3" ht="13.5">
      <c r="A20" s="3551"/>
      <c r="B20" s="3546" t="s">
        <v>960</v>
      </c>
      <c r="C20" s="3545"/>
    </row>
    <row r="21" spans="1:3" ht="13.5">
      <c r="A21" s="1533" t="s">
        <v>961</v>
      </c>
      <c r="B21" s="1534"/>
      <c r="C21" s="1535"/>
    </row>
    <row r="22" spans="1:3" ht="13.5">
      <c r="A22" s="3548" t="s">
        <v>962</v>
      </c>
      <c r="B22" s="3546" t="s">
        <v>963</v>
      </c>
      <c r="C22" s="3545"/>
    </row>
    <row r="23" spans="1:3" ht="13.5">
      <c r="A23" s="3548"/>
      <c r="B23" s="3546" t="s">
        <v>964</v>
      </c>
      <c r="C23" s="3545"/>
    </row>
    <row r="24" spans="1:3" ht="13.5">
      <c r="A24" s="3548"/>
      <c r="B24" s="3546" t="s">
        <v>965</v>
      </c>
      <c r="C24" s="3545"/>
    </row>
    <row r="25" spans="1:3" ht="13.5">
      <c r="A25" s="3548"/>
      <c r="B25" s="3547" t="s">
        <v>966</v>
      </c>
      <c r="C25" s="1532" t="s">
        <v>967</v>
      </c>
    </row>
    <row r="26" spans="1:3" ht="13.5">
      <c r="A26" s="3548"/>
      <c r="B26" s="3547"/>
      <c r="C26" s="1532" t="s">
        <v>968</v>
      </c>
    </row>
    <row r="27" spans="1:3" ht="13.5">
      <c r="A27" s="3548"/>
      <c r="B27" s="3547"/>
      <c r="C27" s="1532" t="s">
        <v>969</v>
      </c>
    </row>
    <row r="28" spans="1:3" ht="13.5">
      <c r="A28" s="3548"/>
      <c r="B28" s="3547"/>
      <c r="C28" s="1532" t="s">
        <v>970</v>
      </c>
    </row>
    <row r="29" spans="1:3" ht="13.5">
      <c r="A29" s="3548"/>
      <c r="B29" s="3547"/>
      <c r="C29" s="1532" t="s">
        <v>971</v>
      </c>
    </row>
    <row r="30" spans="1:3" ht="13.5">
      <c r="A30" s="3548"/>
      <c r="B30" s="3547"/>
      <c r="C30" s="1532" t="s">
        <v>972</v>
      </c>
    </row>
    <row r="31" spans="1:3" ht="13.5">
      <c r="A31" s="3548"/>
      <c r="B31" s="3547"/>
      <c r="C31" s="1532" t="s">
        <v>973</v>
      </c>
    </row>
    <row r="32" spans="1:3" ht="13.5">
      <c r="A32" s="3548"/>
      <c r="B32" s="3547"/>
      <c r="C32" s="1532" t="s">
        <v>974</v>
      </c>
    </row>
    <row r="33" spans="1:3" ht="13.5">
      <c r="A33" s="3548"/>
      <c r="B33" s="354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45184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52" t="s">
        <v>2160</v>
      </c>
      <c r="B17" s="3552"/>
      <c r="C17" s="3552"/>
      <c r="D17" s="3552"/>
      <c r="E17" s="3552"/>
      <c r="F17" s="3552"/>
      <c r="G17" s="3552"/>
      <c r="H17" s="3552"/>
    </row>
    <row r="18" spans="1:8" ht="24" customHeight="1">
      <c r="A18" s="3553" t="s">
        <v>2161</v>
      </c>
      <c r="B18" s="3553"/>
      <c r="C18" s="3553"/>
      <c r="D18" s="2343"/>
      <c r="E18" s="3554" t="s">
        <v>2162</v>
      </c>
      <c r="F18" s="3553"/>
      <c r="G18" s="355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vt:lpstr>
      <vt:lpstr>Sheet3</vt:lpstr>
      <vt:lpstr>估价对象房地状况</vt:lpstr>
      <vt:lpstr>系统读取表</vt:lpstr>
      <vt:lpstr>结果表</vt:lpstr>
      <vt:lpstr>收益法（汇总）</vt:lpstr>
      <vt:lpstr>收益法</vt:lpstr>
      <vt:lpstr>收益法车库</vt:lpstr>
      <vt:lpstr>成本法</vt:lpstr>
      <vt:lpstr>成本法 (元)</vt:lpstr>
      <vt:lpstr>假设开发法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基准地价修正商业</vt:lpstr>
      <vt:lpstr>基准地价修正办公</vt:lpstr>
      <vt:lpstr>租赁台账</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2023-09-15T07:12:46Z</dcterms:modified>
</cp:coreProperties>
</file>