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9440" windowHeight="5568"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4" i="31"/>
  <c r="D4" i="31"/>
  <c r="B29" i="1" l="1"/>
  <c r="U24" i="31"/>
  <c r="I13" i="3" l="1"/>
  <c r="E23" i="80"/>
  <c r="E22" i="80" l="1"/>
  <c r="B21" i="80"/>
  <c r="B20" i="80"/>
  <c r="A19" i="80"/>
  <c r="B19" i="80"/>
  <c r="A20" i="80"/>
  <c r="E14" i="80"/>
  <c r="B13" i="80"/>
  <c r="B12" i="80"/>
  <c r="B14" i="80" s="1"/>
  <c r="A13" i="80"/>
  <c r="A12" i="80"/>
  <c r="B22" i="80" l="1"/>
  <c r="E5" i="80"/>
  <c r="B4" i="80"/>
  <c r="B3" i="80"/>
  <c r="A4" i="80"/>
  <c r="A3" i="80"/>
  <c r="E104" i="33"/>
  <c r="Y6" i="1"/>
  <c r="N6" i="1"/>
  <c r="F19" i="6"/>
  <c r="C33" i="33" s="1"/>
  <c r="D3" i="4"/>
  <c r="F104" i="33" l="1"/>
  <c r="F4" i="31" s="1"/>
  <c r="E4" i="31"/>
  <c r="B5"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15"/>
  <c r="D35" i="9"/>
  <c r="F37" i="15"/>
  <c r="M29" i="15"/>
  <c r="E2" i="68"/>
  <c r="D4" i="73"/>
  <c r="E12" i="76"/>
  <c r="M22" i="15"/>
  <c r="M6" i="67"/>
  <c r="F42" i="15"/>
  <c r="D34" i="9"/>
  <c r="B13" i="76"/>
  <c r="E8" i="76"/>
  <c r="E11" i="76"/>
  <c r="F40" i="67"/>
  <c r="F38" i="15"/>
  <c r="M9" i="15"/>
  <c r="B11" i="76"/>
  <c r="E2" i="69"/>
  <c r="F16" i="67"/>
  <c r="L47" i="67"/>
  <c r="J15" i="67"/>
  <c r="F13" i="67"/>
  <c r="F16" i="15"/>
  <c r="E10" i="76"/>
  <c r="D6" i="73"/>
  <c r="F26" i="67"/>
  <c r="D5" i="73"/>
  <c r="M26" i="15"/>
  <c r="M23" i="15"/>
  <c r="M23" i="67"/>
  <c r="L48" i="67"/>
  <c r="L48" i="15"/>
  <c r="F40" i="15"/>
  <c r="F6" i="15"/>
  <c r="M8" i="15"/>
  <c r="M9" i="67"/>
  <c r="AO13" i="1"/>
  <c r="L47" i="15"/>
  <c r="F42" i="67"/>
  <c r="B10" i="76"/>
  <c r="E13" i="76"/>
  <c r="F7" i="73"/>
  <c r="B7" i="76"/>
  <c r="D7" i="73"/>
  <c r="E7" i="76"/>
  <c r="M22" i="67"/>
  <c r="F8" i="67"/>
  <c r="M24" i="15"/>
  <c r="F26" i="15"/>
  <c r="M29" i="67"/>
  <c r="M28" i="67"/>
  <c r="J15" i="15"/>
  <c r="F20" i="31"/>
  <c r="F4" i="73"/>
  <c r="F37" i="67"/>
  <c r="F7" i="15"/>
  <c r="M28" i="15"/>
  <c r="F6" i="73"/>
  <c r="B8" i="76"/>
  <c r="F43" i="67"/>
  <c r="F43" i="15"/>
  <c r="F13" i="15"/>
  <c r="D3" i="73"/>
  <c r="F8" i="15"/>
  <c r="C76" i="67"/>
  <c r="C76" i="15"/>
  <c r="M8" i="67"/>
  <c r="F7" i="67"/>
  <c r="F36" i="15"/>
  <c r="F36" i="67"/>
  <c r="M24" i="67"/>
  <c r="B9" i="76"/>
  <c r="B12" i="76"/>
  <c r="F6" i="67"/>
  <c r="F9" i="67"/>
  <c r="F5" i="73"/>
  <c r="M6" i="15"/>
  <c r="E9" i="76"/>
  <c r="M26" i="67"/>
  <c r="F38" i="67"/>
  <c r="F3" i="73"/>
  <c r="D19" i="53" l="1"/>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C19" i="9"/>
  <c r="D2" i="37"/>
  <c r="D2" i="35"/>
  <c r="D2" i="36"/>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9" i="1"/>
  <c r="AO10" i="1"/>
  <c r="AO7" i="1"/>
  <c r="AO12" i="1"/>
  <c r="C20" i="9"/>
  <c r="AO11" i="1"/>
  <c r="D19"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C20" i="80"/>
  <c r="D20" i="80" s="1"/>
  <c r="S27" i="31"/>
  <c r="C13" i="80"/>
  <c r="D13" i="80" s="1"/>
  <c r="F13" i="80" s="1"/>
  <c r="S26" i="31"/>
  <c r="C12" i="80"/>
  <c r="D12" i="80" s="1"/>
  <c r="S29" i="31"/>
  <c r="C4" i="80"/>
  <c r="D4" i="80" s="1"/>
  <c r="S25" i="31"/>
  <c r="C3" i="80"/>
  <c r="D3" i="80" s="1"/>
  <c r="D14" i="74" l="1"/>
  <c r="H3" i="80"/>
  <c r="H20" i="80"/>
  <c r="H13" i="80"/>
  <c r="H4" i="80"/>
  <c r="J19" i="80"/>
  <c r="H12" i="80"/>
  <c r="F4" i="80"/>
  <c r="F3" i="80"/>
  <c r="T24" i="31"/>
  <c r="V24" i="31" s="1"/>
  <c r="F20" i="80"/>
  <c r="F12" i="80"/>
  <c r="D14" i="80"/>
  <c r="F14" i="80" s="1"/>
  <c r="D5" i="80"/>
  <c r="S22" i="31"/>
  <c r="R22" i="31" s="1"/>
  <c r="B6" i="74"/>
  <c r="D6" i="74" s="1"/>
  <c r="J3" i="80" l="1"/>
  <c r="J21" i="80"/>
  <c r="K21" i="80" s="1"/>
  <c r="I20" i="80"/>
  <c r="K20" i="80" s="1"/>
  <c r="I13" i="80"/>
  <c r="K13" i="80" s="1"/>
  <c r="I4" i="80"/>
  <c r="K4" i="80" s="1"/>
  <c r="O19" i="80"/>
  <c r="P19" i="80" s="1"/>
  <c r="I12" i="80"/>
  <c r="K12" i="80" s="1"/>
  <c r="I3" i="80"/>
  <c r="B5" i="74"/>
  <c r="C5" i="80"/>
  <c r="F5" i="80"/>
  <c r="B20" i="31"/>
  <c r="B21" i="31" s="1"/>
  <c r="O21" i="80" l="1"/>
  <c r="P21" i="80" s="1"/>
  <c r="N21" i="80"/>
  <c r="O20" i="80"/>
  <c r="P20" i="80" s="1"/>
  <c r="N20" i="80"/>
  <c r="O13" i="80"/>
  <c r="P13" i="80" s="1"/>
  <c r="N13" i="80"/>
  <c r="O12" i="80"/>
  <c r="P12" i="80" s="1"/>
  <c r="N12" i="80"/>
  <c r="O4" i="80"/>
  <c r="P4" i="80" s="1"/>
  <c r="N4" i="80"/>
  <c r="K3" i="80"/>
  <c r="N3" i="80" s="1"/>
  <c r="E14" i="74"/>
  <c r="F14" i="74"/>
  <c r="D5" i="74"/>
  <c r="O3" i="80" l="1"/>
  <c r="P3" i="80" s="1"/>
  <c r="C21" i="80" l="1"/>
  <c r="D21" i="80" s="1"/>
  <c r="D22" i="80" s="1"/>
  <c r="F21" i="80" l="1"/>
  <c r="F22" i="80"/>
  <c r="D23" i="80"/>
  <c r="F23" i="80" s="1"/>
  <c r="D52" i="9" l="1"/>
  <c r="D53" i="9"/>
  <c r="I4" i="52"/>
  <c r="C105" i="9"/>
  <c r="C104" i="9"/>
  <c r="H4" i="52"/>
  <c r="N58" i="9"/>
  <c r="P57" i="9"/>
  <c r="N61" i="9"/>
  <c r="N60" i="9"/>
  <c r="N59" i="9"/>
  <c r="C81" i="9"/>
  <c r="C6" i="74"/>
  <c r="L68" i="9"/>
  <c r="M68" i="9"/>
  <c r="L65" i="9"/>
  <c r="M65" i="9"/>
  <c r="B30" i="72"/>
  <c r="D8" i="52"/>
  <c r="E97" i="9"/>
  <c r="C5" i="74"/>
  <c r="L64" i="9"/>
  <c r="M64" i="9"/>
  <c r="D54" i="9"/>
  <c r="C68" i="9"/>
  <c r="N57" i="9"/>
  <c r="L67" i="9"/>
  <c r="M67" i="9"/>
  <c r="L66" i="9"/>
  <c r="M66" i="9"/>
  <c r="N69" i="9"/>
  <c r="C78" i="9"/>
  <c r="C73" i="9"/>
  <c r="M48" i="9"/>
  <c r="B48" i="72"/>
  <c r="B20" i="72"/>
  <c r="M69" i="9"/>
  <c r="B53" i="72"/>
  <c r="D59" i="9"/>
  <c r="M55" i="9"/>
  <c r="F4" i="52"/>
  <c r="B51" i="72"/>
  <c r="D56" i="9"/>
  <c r="M54" i="9"/>
  <c r="H108" i="9"/>
  <c r="D15" i="53"/>
  <c r="B31" i="72"/>
  <c r="G4" i="52"/>
  <c r="B52" i="72"/>
  <c r="C67" i="9"/>
  <c r="D5" i="53"/>
  <c r="D6" i="53"/>
  <c r="B22" i="72"/>
  <c r="E81" i="9"/>
  <c r="D55" i="9"/>
  <c r="M53" i="9"/>
  <c r="E4" i="52"/>
  <c r="G118" i="9"/>
  <c r="F118" i="9"/>
  <c r="F119" i="9"/>
  <c r="F5" i="52"/>
  <c r="H119" i="9"/>
  <c r="H5" i="52"/>
  <c r="B47" i="72"/>
  <c r="D13" i="53"/>
  <c r="D14" i="53"/>
  <c r="B32" i="72"/>
  <c r="D122" i="9"/>
  <c r="D123" i="9"/>
  <c r="D9" i="52"/>
  <c r="D4" i="52"/>
  <c r="C64" i="9"/>
  <c r="C63" i="9"/>
  <c r="C97" i="9"/>
  <c r="D58" i="9"/>
  <c r="E118" i="9"/>
  <c r="D118" i="9"/>
  <c r="D119" i="9"/>
  <c r="D5" i="52"/>
  <c r="B49" i="72"/>
  <c r="C72" i="9"/>
  <c r="C79" i="9"/>
  <c r="C80" i="9"/>
  <c r="E80" i="9"/>
  <c r="H102" i="9"/>
  <c r="D7" i="53"/>
  <c r="B21" i="72"/>
  <c r="C93" i="9"/>
  <c r="C86" i="9"/>
  <c r="D45" i="9"/>
  <c r="C85" i="9"/>
  <c r="C95" i="9"/>
  <c r="C96" i="9"/>
  <c r="E96"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<sst xmlns="http://schemas.openxmlformats.org/spreadsheetml/2006/main" count="7927" uniqueCount="3475">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</sst>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8376;&#22836;&#27807;&#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比较法-办公"/>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219.43</v>
          </cell>
        </row>
      </sheetData>
      <sheetData sheetId="17">
        <row r="32">
          <cell r="C32">
            <v>25328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87.01</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2" t="s">
        <v>385</v>
      </c>
      <c r="C54" s="1549" t="s">
        <v>583</v>
      </c>
    </row>
    <row r="55" spans="1:4">
      <c r="A55" s="3504"/>
      <c r="B55" s="1552" t="s">
        <v>386</v>
      </c>
      <c r="C55" s="1549" t="s">
        <v>584</v>
      </c>
    </row>
    <row r="56" spans="1:4">
      <c r="A56" s="3504"/>
      <c r="B56" s="1552" t="s">
        <v>387</v>
      </c>
      <c r="C56" s="1549" t="s">
        <v>588</v>
      </c>
    </row>
    <row r="57" spans="1:4">
      <c r="A57" s="350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5" t="s">
        <v>2579</v>
      </c>
      <c r="J2" s="3505"/>
      <c r="K2" s="3505"/>
      <c r="L2" s="3505"/>
      <c r="M2" s="3505"/>
      <c r="N2" s="3505"/>
      <c r="O2" s="3505"/>
      <c r="P2" s="3505"/>
      <c r="Q2" s="3505"/>
      <c r="R2" s="3505"/>
    </row>
    <row r="3" spans="1:18">
      <c r="A3" s="3018" t="s">
        <v>2500</v>
      </c>
      <c r="B3" s="3019">
        <f>项目基本情况!D3</f>
        <v>45322</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2.88</v>
      </c>
      <c r="D5" s="3023">
        <f>IF(ISERROR(ROUND(POWER(1+E5,A5-C5)*(POWER(1+E5,C5)-1)/(POWER(1+E5,A5)-1),3)),0,ROUND(POWER(1+E5,A5-C5)*(POWER(1+E5,C5)-1)/(POWER(1+E5,A5)-1),4))</f>
        <v>0.13489999999999999</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12.89</v>
      </c>
      <c r="D6" s="3023">
        <f>IF(ISERROR(ROUND(POWER(1+E6,A6-C6)*(POWER(1+E6,C6)-1)/(POWER(1+E6,A6)-1),3)),0,ROUND(POWER(1+E6,A6-C6)*(POWER(1+E6,C6)-1)/(POWER(1+E6,A6)-1),4))</f>
        <v>0.46179999999999999</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32.9</v>
      </c>
      <c r="D7" s="3023">
        <f>IF(ISERROR(ROUND(POWER(1+E7,A7-C7)*(POWER(1+E7,C7)-1)/(POWER(1+E7,A7)-1),3)),0,ROUND(POWER(1+E7,A7-C7)*(POWER(1+E7,C7)-1)/(POWER(1+E7,A7)-1),4))</f>
        <v>0.77459999999999996</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5" thickBot="1">
      <c r="A18" s="3029" t="s">
        <v>2515</v>
      </c>
      <c r="B18" s="3030">
        <f>ROUND(B17*F11/F12,2)</f>
        <v>5541.87</v>
      </c>
      <c r="C18" s="3030">
        <f>ROUND(F11/F12,4)</f>
        <v>1.1521999999999999</v>
      </c>
      <c r="D18" s="3031"/>
      <c r="E18" s="3031"/>
      <c r="F18" s="3032"/>
    </row>
    <row r="19" spans="1:13" ht="15" thickBot="1"/>
    <row r="20" spans="1:13" s="3067" customFormat="1" ht="1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8" sqref="L38"/>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2163</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45322</v>
      </c>
      <c r="C3" s="2372" t="s">
        <v>2166</v>
      </c>
      <c r="D3" s="2371">
        <f>B3</f>
        <v>45322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8"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8"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7" t="s">
        <v>2172</v>
      </c>
      <c r="E8" s="2389" t="s">
        <v>3441</v>
      </c>
      <c r="F8" s="2390"/>
      <c r="G8" s="2661"/>
      <c r="H8" s="2661"/>
      <c r="I8" s="2661"/>
      <c r="J8" s="2437"/>
      <c r="K8" s="2612"/>
      <c r="L8" s="2611"/>
      <c r="M8" s="2611"/>
      <c r="N8" s="2437"/>
      <c r="O8" s="2448"/>
      <c r="P8" s="2437"/>
      <c r="Q8" s="2437"/>
      <c r="R8" s="2437"/>
    </row>
    <row r="9" spans="1:30" ht="13.8" thickBot="1">
      <c r="A9" s="2391" t="s">
        <v>2173</v>
      </c>
      <c r="B9" s="2392" t="s">
        <v>3441</v>
      </c>
      <c r="C9" s="2393"/>
      <c r="D9" s="3518"/>
      <c r="E9" s="2392"/>
      <c r="F9" s="2394"/>
      <c r="G9" s="2663"/>
      <c r="H9" s="2663"/>
      <c r="I9" s="2663"/>
      <c r="J9" s="2437"/>
      <c r="K9" s="2614"/>
      <c r="L9" s="2611"/>
      <c r="M9" s="2611"/>
      <c r="N9" s="2437"/>
      <c r="O9" s="2448"/>
      <c r="P9" s="2437"/>
      <c r="Q9" s="2437"/>
      <c r="R9" s="2437"/>
    </row>
    <row r="10" spans="1:30" ht="13.8"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30.78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24"/>
      <c r="C16" s="3525"/>
      <c r="D16" s="3526"/>
      <c r="E16" s="2411" t="s">
        <v>2189</v>
      </c>
      <c r="F16" s="3527"/>
      <c r="G16" s="3528"/>
      <c r="H16" s="3528"/>
      <c r="I16" s="3529"/>
      <c r="J16" s="2437"/>
      <c r="K16" s="2615"/>
      <c r="L16" s="2449"/>
      <c r="M16" s="2449"/>
      <c r="N16" s="2507"/>
      <c r="O16" s="2449"/>
      <c r="P16" s="2507"/>
      <c r="Q16" s="2437"/>
      <c r="R16" s="2437"/>
    </row>
    <row r="17" spans="1:28">
      <c r="A17" s="313" t="s">
        <v>2190</v>
      </c>
      <c r="B17" s="302" t="s">
        <v>2191</v>
      </c>
      <c r="C17" s="8">
        <f>'数据-汇总表'!E3</f>
        <v>87.01</v>
      </c>
      <c r="D17" s="2320" t="s">
        <v>2192</v>
      </c>
      <c r="E17" s="3530" t="s">
        <v>2193</v>
      </c>
      <c r="F17" s="3531"/>
      <c r="G17" s="3531"/>
      <c r="H17" s="3531"/>
      <c r="I17" s="3532"/>
      <c r="J17" s="2437"/>
      <c r="K17" s="2616"/>
      <c r="L17" s="2449"/>
      <c r="M17" s="2449"/>
      <c r="N17" s="2507"/>
      <c r="O17" s="2449"/>
      <c r="P17" s="2507"/>
      <c r="Q17" s="2437"/>
      <c r="R17" s="2437"/>
      <c r="S17" s="2437"/>
      <c r="T17" s="2437"/>
      <c r="U17" s="2437"/>
      <c r="V17" s="2437"/>
    </row>
    <row r="18" spans="1:28" ht="24.6" thickBot="1">
      <c r="A18" s="2412" t="s">
        <v>2194</v>
      </c>
      <c r="B18" s="1089" t="s">
        <v>2195</v>
      </c>
      <c r="C18" s="2413">
        <f>'数据-汇总表'!D3</f>
        <v>0</v>
      </c>
      <c r="D18" s="1091" t="s">
        <v>2196</v>
      </c>
      <c r="E18" s="3533" t="s">
        <v>2197</v>
      </c>
      <c r="F18" s="3534"/>
      <c r="G18" s="3534"/>
      <c r="H18" s="3534"/>
      <c r="I18" s="3535"/>
      <c r="J18" s="2437"/>
      <c r="K18" s="2616"/>
      <c r="L18" s="2449"/>
      <c r="M18" s="2449"/>
      <c r="N18" s="2507"/>
      <c r="O18" s="2449"/>
      <c r="P18" s="2507"/>
      <c r="Q18" s="2437"/>
      <c r="R18" s="2437"/>
      <c r="S18" s="2437"/>
      <c r="T18" s="2437"/>
      <c r="U18" s="2437"/>
      <c r="V18" s="2437"/>
    </row>
    <row r="19" spans="1:28" ht="37.200000000000003"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20" t="s">
        <v>2201</v>
      </c>
      <c r="C20" s="3521"/>
      <c r="D20" s="3522" t="s">
        <v>2202</v>
      </c>
      <c r="E20" s="3523"/>
      <c r="F20" s="2645" t="s">
        <v>1056</v>
      </c>
      <c r="G20" s="2662"/>
      <c r="H20" s="2662"/>
      <c r="I20" s="2662"/>
      <c r="J20" s="2437"/>
      <c r="K20" s="3519"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36.6" thickBot="1">
      <c r="A21" s="2630"/>
      <c r="B21" s="2631" t="s">
        <v>2204</v>
      </c>
      <c r="C21" s="2632" t="s">
        <v>1057</v>
      </c>
      <c r="D21" s="1566" t="s">
        <v>2205</v>
      </c>
      <c r="E21" s="2633" t="s">
        <v>1057</v>
      </c>
      <c r="F21" s="2646"/>
      <c r="G21" s="2662"/>
      <c r="H21" s="2662"/>
      <c r="I21" s="2662"/>
      <c r="J21" s="2437"/>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36.6" thickBot="1">
      <c r="A22" s="2630"/>
      <c r="B22" s="2634" t="s">
        <v>2206</v>
      </c>
      <c r="C22" s="2632" t="s">
        <v>1058</v>
      </c>
      <c r="D22" s="2661"/>
      <c r="E22" s="2661"/>
      <c r="F22" s="2661"/>
      <c r="G22" s="2662"/>
      <c r="H22" s="2662"/>
      <c r="I22" s="2662"/>
      <c r="J22" s="2437"/>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07"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7"/>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7"/>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8"/>
      <c r="B30" s="302" t="s">
        <v>2213</v>
      </c>
      <c r="C30" s="3509"/>
      <c r="D30" s="3510"/>
      <c r="E30" s="2662"/>
      <c r="F30" s="2662"/>
      <c r="G30" s="2662"/>
      <c r="H30" s="2662"/>
      <c r="I30" s="2662"/>
      <c r="J30" s="2437"/>
      <c r="K30" s="2614"/>
      <c r="L30" s="2611"/>
      <c r="M30" s="2611"/>
      <c r="N30" s="2437"/>
      <c r="O30" s="2448"/>
      <c r="P30" s="2437"/>
      <c r="Q30" s="2437"/>
      <c r="R30" s="2437"/>
      <c r="S30" s="2437"/>
      <c r="T30" s="2437"/>
      <c r="U30" s="2437"/>
      <c r="V30" s="2437"/>
    </row>
    <row r="31" spans="1:28">
      <c r="A31" s="3511"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06" t="s">
        <v>2223</v>
      </c>
      <c r="T34" s="2426" t="str">
        <f>NUMBERSTRING(7-K34,1)&amp;"通"</f>
        <v>七通</v>
      </c>
      <c r="U34" s="2437"/>
      <c r="V34" s="2437"/>
    </row>
    <row r="35" spans="1:30">
      <c r="A35" s="2427"/>
      <c r="B35" s="3513" t="s">
        <v>2224</v>
      </c>
      <c r="C35" s="3513"/>
      <c r="D35" s="3513"/>
      <c r="E35" s="3513"/>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2">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7"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8"/>
      <c r="C1" s="1138"/>
      <c r="D1" s="1138"/>
      <c r="E1" s="1138"/>
      <c r="F1" s="1138"/>
      <c r="G1" s="1138"/>
      <c r="H1" s="1138"/>
      <c r="I1" s="1138"/>
      <c r="J1" s="1138"/>
      <c r="K1" s="1138"/>
      <c r="L1" s="1138"/>
      <c r="M1" s="1138"/>
      <c r="N1" s="1138"/>
      <c r="O1" s="1138"/>
      <c r="P1" s="1138"/>
    </row>
    <row r="2" spans="1:16" ht="14.4">
      <c r="A2" s="3545" t="s">
        <v>1131</v>
      </c>
      <c r="B2" s="3545"/>
      <c r="C2" s="3545"/>
      <c r="D2" s="796" t="s">
        <v>1107</v>
      </c>
      <c r="E2" s="1637" t="s">
        <v>1108</v>
      </c>
      <c r="F2" s="2657"/>
      <c r="G2" s="2648"/>
      <c r="H2" s="2649"/>
      <c r="I2" s="2323" t="s">
        <v>1132</v>
      </c>
      <c r="J2" s="2657"/>
      <c r="K2" s="2657"/>
      <c r="L2" s="2657"/>
      <c r="M2" s="2657"/>
      <c r="N2" s="2659"/>
      <c r="O2" s="2657"/>
      <c r="P2" s="2657"/>
    </row>
    <row r="3" spans="1:16" ht="15" thickBot="1">
      <c r="A3" s="3546" t="s">
        <v>1105</v>
      </c>
      <c r="B3" s="3546"/>
      <c r="C3" s="3546"/>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4.4">
      <c r="A4" s="3547"/>
      <c r="B4" s="3548"/>
      <c r="C4" s="3549"/>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ht="14.4">
      <c r="A5" s="44" t="s">
        <v>1109</v>
      </c>
      <c r="B5" s="3550" t="s">
        <v>1110</v>
      </c>
      <c r="C5" s="3550"/>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0" t="s">
        <v>1111</v>
      </c>
      <c r="C6" s="3550"/>
      <c r="D6" s="45">
        <f>ROUND($D$3*E6/$E$3,2)</f>
        <v>0</v>
      </c>
      <c r="E6" s="46">
        <f>E3-E5</f>
        <v>87.01</v>
      </c>
      <c r="F6" s="2657"/>
      <c r="G6" s="2651" t="s">
        <v>1112</v>
      </c>
      <c r="H6" s="1145" t="s">
        <v>1113</v>
      </c>
      <c r="I6" s="2652" t="e">
        <f>ROUND(F31/D31,2)</f>
        <v>#DIV/0!</v>
      </c>
      <c r="J6" s="2657"/>
      <c r="K6" s="2657"/>
      <c r="L6" s="2657"/>
      <c r="M6" s="2657"/>
      <c r="N6" s="2657"/>
      <c r="O6" s="2657"/>
      <c r="P6" s="2657"/>
    </row>
    <row r="7" spans="1:16" ht="15" thickBot="1">
      <c r="A7" s="3542"/>
      <c r="B7" s="3543"/>
      <c r="C7" s="3544"/>
      <c r="D7" s="1639" t="s">
        <v>1107</v>
      </c>
      <c r="E7" s="1643"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ht="14.4">
      <c r="A9" s="1644"/>
      <c r="B9" s="1645"/>
      <c r="C9" s="45" t="s">
        <v>1119</v>
      </c>
      <c r="D9" s="45">
        <f t="shared" si="0"/>
        <v>0</v>
      </c>
      <c r="E9" s="49">
        <v>0</v>
      </c>
      <c r="F9" s="2657"/>
      <c r="G9" s="2658"/>
      <c r="H9" s="2658"/>
      <c r="I9" s="2657"/>
      <c r="J9" s="2657"/>
      <c r="K9" s="2657"/>
      <c r="L9" s="2657"/>
      <c r="M9" s="2657"/>
      <c r="N9" s="2657"/>
      <c r="O9" s="2657"/>
      <c r="P9" s="2657"/>
    </row>
    <row r="10" spans="1:16" ht="14.4">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2"/>
      <c r="B16" s="1645"/>
      <c r="C16" s="47" t="s">
        <v>1123</v>
      </c>
      <c r="D16" s="47">
        <f>SUM(D8:D15)</f>
        <v>0</v>
      </c>
      <c r="E16" s="50">
        <f>SUM(E8:E15)</f>
        <v>87.01</v>
      </c>
      <c r="F16" s="2657"/>
      <c r="G16" s="2658"/>
      <c r="H16" s="1646" t="s">
        <v>1135</v>
      </c>
      <c r="I16" s="1647"/>
      <c r="J16" s="1138"/>
      <c r="K16" s="3539" t="s">
        <v>1135</v>
      </c>
      <c r="L16" s="3540"/>
      <c r="M16" s="3540"/>
      <c r="N16" s="3540"/>
      <c r="O16" s="3540"/>
      <c r="P16" s="3541"/>
    </row>
    <row r="17" spans="1:19" ht="14.4">
      <c r="A17" s="1648" t="s">
        <v>1136</v>
      </c>
      <c r="B17" s="1649" t="s">
        <v>1137</v>
      </c>
      <c r="C17" s="1650" t="s">
        <v>1138</v>
      </c>
      <c r="D17" s="1651" t="s">
        <v>1126</v>
      </c>
      <c r="E17" s="1652" t="s">
        <v>1127</v>
      </c>
      <c r="F17" s="1653"/>
      <c r="G17" s="1654"/>
      <c r="H17" s="1655" t="s">
        <v>1139</v>
      </c>
      <c r="I17" s="1656" t="s">
        <v>1124</v>
      </c>
      <c r="J17" s="1138"/>
      <c r="K17" s="3536" t="s">
        <v>1140</v>
      </c>
      <c r="L17" s="3537"/>
      <c r="M17" s="3538"/>
      <c r="N17" s="3536" t="s">
        <v>1141</v>
      </c>
      <c r="O17" s="3537"/>
      <c r="P17" s="3538"/>
      <c r="R17" s="1638" t="s">
        <v>1142</v>
      </c>
      <c r="S17" s="56"/>
    </row>
    <row r="18" spans="1:19" ht="14.4">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ht="14.4">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ht="14.4">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ht="14.4">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ht="14.4">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ht="14.4">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ht="14.4">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ht="14.4">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ht="14.4">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ht="14.4">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ht="14.4">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 thickBot="1">
      <c r="A2" s="1681" t="s">
        <v>1161</v>
      </c>
      <c r="B2" s="1044">
        <f>项目基本情况!D3</f>
        <v>45322</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30.78</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227.5557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3"/>
      <c r="D16" s="1718"/>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8.8">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8.8">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9.4"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8.8">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8.8">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9.4"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4">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4">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4">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8" customWidth="1"/>
    <col min="4" max="4" width="2.6640625" style="2508" customWidth="1"/>
    <col min="5" max="5" width="5.88671875" style="2508" customWidth="1"/>
    <col min="6" max="6" width="27" style="1570"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4"/>
  </cols>
  <sheetData>
    <row r="1" spans="1:29" s="2455" customFormat="1" ht="18" thickBot="1">
      <c r="A1" s="3551" t="s">
        <v>2281</v>
      </c>
      <c r="B1" s="3552"/>
      <c r="C1" s="3552"/>
      <c r="D1" s="3552"/>
      <c r="E1" s="3552"/>
      <c r="F1" s="3552"/>
      <c r="G1" s="355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7.200000000000003">
      <c r="A4" s="2440"/>
      <c r="B4" s="323" t="s">
        <v>2249</v>
      </c>
      <c r="C4" s="2466" t="s">
        <v>2250</v>
      </c>
      <c r="D4" s="2463"/>
      <c r="E4" s="2467"/>
      <c r="F4" s="1371" t="s">
        <v>2251</v>
      </c>
      <c r="G4" s="2468" t="s">
        <v>2252</v>
      </c>
      <c r="H4" s="799"/>
      <c r="I4" s="799"/>
      <c r="J4" s="799"/>
      <c r="K4" s="799"/>
      <c r="L4" s="799"/>
      <c r="M4" s="799"/>
      <c r="N4" s="799"/>
      <c r="O4" s="799"/>
      <c r="P4" s="799"/>
      <c r="Q4" s="799"/>
      <c r="R4" s="799"/>
    </row>
    <row r="5" spans="1:29" ht="37.200000000000003">
      <c r="A5" s="2440"/>
      <c r="B5" s="323" t="s">
        <v>2253</v>
      </c>
      <c r="C5" s="2466" t="s">
        <v>2254</v>
      </c>
      <c r="D5" s="2463"/>
      <c r="E5" s="2467"/>
      <c r="F5" s="323" t="s">
        <v>2255</v>
      </c>
      <c r="G5" s="2468" t="s">
        <v>2256</v>
      </c>
      <c r="H5" s="799"/>
      <c r="I5" s="799"/>
      <c r="J5" s="799"/>
      <c r="K5" s="799"/>
      <c r="L5" s="799"/>
      <c r="M5" s="799"/>
      <c r="N5" s="799"/>
      <c r="O5" s="799"/>
      <c r="P5" s="799"/>
      <c r="Q5" s="799"/>
      <c r="R5" s="799"/>
    </row>
    <row r="6" spans="1:29" ht="48">
      <c r="A6" s="2440"/>
      <c r="B6" s="323" t="s">
        <v>2257</v>
      </c>
      <c r="C6" s="2468" t="s">
        <v>2252</v>
      </c>
      <c r="D6" s="2463"/>
      <c r="E6" s="2467"/>
      <c r="F6" s="323" t="s">
        <v>2258</v>
      </c>
      <c r="G6" s="2468" t="s">
        <v>2259</v>
      </c>
      <c r="H6" s="799"/>
      <c r="I6" s="799"/>
      <c r="J6" s="799"/>
      <c r="K6" s="799"/>
      <c r="L6" s="799"/>
      <c r="M6" s="799"/>
      <c r="N6" s="799"/>
      <c r="O6" s="799"/>
      <c r="P6" s="799"/>
      <c r="Q6" s="799"/>
      <c r="R6" s="799"/>
    </row>
    <row r="7" spans="1:29" ht="36.6"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ht="24">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4.4"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2282</v>
      </c>
      <c r="B13" s="2482"/>
      <c r="C13" s="2482"/>
      <c r="D13" s="2480"/>
      <c r="E13" s="2482"/>
      <c r="F13" s="2482"/>
      <c r="G13" s="2482"/>
    </row>
    <row r="14" spans="1:29" ht="14.4" thickBot="1">
      <c r="A14" s="2492"/>
      <c r="B14" s="2492"/>
      <c r="C14" s="2493" t="s">
        <v>2265</v>
      </c>
      <c r="D14" s="2463"/>
      <c r="E14" s="2494"/>
      <c r="F14" s="2494"/>
      <c r="G14" s="2458" t="s">
        <v>2266</v>
      </c>
    </row>
    <row r="15" spans="1:29" ht="52.8">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9.6">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9.6">
      <c r="A17" s="2444"/>
      <c r="B17" s="2498" t="s">
        <v>2253</v>
      </c>
      <c r="C17" s="2499" t="str">
        <f>C5</f>
        <v>估价对象位于XX商圈，周边办公楼项目较多，入驻率高，办公集聚程度较好</v>
      </c>
      <c r="D17" s="2469"/>
      <c r="E17" s="2445"/>
      <c r="F17" s="2500" t="s">
        <v>2270</v>
      </c>
      <c r="G17" s="2502"/>
    </row>
    <row r="18" spans="1:18" ht="52.8">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6.4">
      <c r="A19" s="2444"/>
      <c r="B19" s="2500" t="s">
        <v>2271</v>
      </c>
      <c r="C19" s="2502"/>
      <c r="D19" s="2463"/>
      <c r="E19" s="2445"/>
      <c r="F19" s="323" t="s">
        <v>2255</v>
      </c>
      <c r="G19" s="2501" t="str">
        <f>G5</f>
        <v>估价对象所在区域公共配套设施齐备情况</v>
      </c>
    </row>
    <row r="20" spans="1:18" ht="26.4">
      <c r="A20" s="2444"/>
      <c r="B20" s="2500" t="s">
        <v>2272</v>
      </c>
      <c r="C20" s="2499" t="str">
        <f>C9</f>
        <v>区域自然环境：；人文环境；综合评价环境状况一般</v>
      </c>
      <c r="D20" s="2469"/>
      <c r="E20" s="2445"/>
      <c r="F20" s="323" t="s">
        <v>2258</v>
      </c>
      <c r="G20" s="2501" t="str">
        <f>G6</f>
        <v>估价对象所在区域基础设施水平</v>
      </c>
    </row>
    <row r="21" spans="1:18" ht="26.4">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4.4"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4.4"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364.32</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45322</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1467</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3355</v>
      </c>
      <c r="D10" s="2510" t="s">
        <v>3356</v>
      </c>
      <c r="E10" s="3439"/>
      <c r="F10" s="3443" t="s">
        <v>3357</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典型户型修正!B26+典型户型修正!B27</f>
        <v>364.32</v>
      </c>
      <c r="C14" s="2516"/>
      <c r="D14" s="2516">
        <f ca="1">典型户型修正!S26+典型户型修正!S27</f>
        <v>1467</v>
      </c>
      <c r="E14" s="2516">
        <f ca="1">ROUND(D14*10000/B14,0)</f>
        <v>40267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640625" defaultRowHeight="21.75" customHeight="1"/>
  <cols>
    <col min="1" max="2" width="12.6640625" style="1751"/>
    <col min="3" max="4" width="12.6640625" style="1751" customWidth="1"/>
    <col min="5" max="9" width="12.6640625" style="1751"/>
    <col min="10" max="11" width="12.6640625" style="725" customWidth="1"/>
    <col min="12" max="12" width="12.6640625" style="725"/>
    <col min="13" max="13" width="14.109375" style="725" bestFit="1" customWidth="1"/>
    <col min="14" max="26" width="12.6640625" style="725"/>
    <col min="27" max="35" width="12.6640625" style="1750"/>
    <col min="36" max="16384" width="12.6640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7" t="str">
        <f>项目基本情况!S2</f>
        <v>北京市房地产</v>
      </c>
      <c r="B2" s="3588"/>
      <c r="C2" s="3588"/>
      <c r="D2" s="3588"/>
      <c r="E2" s="3588"/>
      <c r="F2" s="3588"/>
      <c r="G2" s="3588"/>
      <c r="H2" s="3588"/>
      <c r="I2" s="3589"/>
    </row>
    <row r="3" spans="1:12" ht="13.2">
      <c r="A3" s="3591" t="s">
        <v>1264</v>
      </c>
      <c r="B3" s="3592"/>
      <c r="C3" s="3592"/>
      <c r="D3" s="3592"/>
      <c r="E3" s="3592"/>
      <c r="F3" s="3592"/>
      <c r="G3" s="3592"/>
      <c r="H3" s="3592"/>
      <c r="I3" s="3592"/>
    </row>
    <row r="4" spans="1:12" ht="14.4">
      <c r="A4" s="1752" t="s">
        <v>1265</v>
      </c>
      <c r="B4" s="1753" t="s">
        <v>1266</v>
      </c>
      <c r="C4" s="1754" t="s">
        <v>3416</v>
      </c>
      <c r="D4" s="1754" t="s">
        <v>3388</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7" t="s">
        <v>1268</v>
      </c>
      <c r="B5" s="3554">
        <v>25</v>
      </c>
      <c r="C5" s="3570"/>
      <c r="D5" s="3590"/>
      <c r="E5" s="131" t="s">
        <v>1269</v>
      </c>
      <c r="F5" s="1755"/>
      <c r="G5" s="1755"/>
      <c r="H5" s="1755"/>
      <c r="I5" s="1371"/>
    </row>
    <row r="6" spans="1:12" ht="13.2">
      <c r="A6" s="3567"/>
      <c r="B6" s="3554"/>
      <c r="C6" s="3571"/>
      <c r="D6" s="3590"/>
      <c r="E6" s="131" t="s">
        <v>1270</v>
      </c>
      <c r="F6" s="1755"/>
      <c r="G6" s="1755"/>
      <c r="H6" s="1755"/>
      <c r="I6" s="1371"/>
    </row>
    <row r="7" spans="1:12" ht="13.2">
      <c r="A7" s="3567"/>
      <c r="B7" s="3554"/>
      <c r="C7" s="3572"/>
      <c r="D7" s="3590"/>
      <c r="E7" s="131" t="s">
        <v>1271</v>
      </c>
      <c r="F7" s="1755"/>
      <c r="G7" s="1755"/>
      <c r="H7" s="1755"/>
      <c r="I7" s="1371"/>
    </row>
    <row r="8" spans="1:12" ht="13.2">
      <c r="A8" s="3567" t="s">
        <v>1272</v>
      </c>
      <c r="B8" s="3554">
        <v>15</v>
      </c>
      <c r="C8" s="3570"/>
      <c r="D8" s="3590"/>
      <c r="E8" s="131" t="s">
        <v>1273</v>
      </c>
      <c r="F8" s="1755"/>
      <c r="G8" s="1755"/>
      <c r="H8" s="1755"/>
      <c r="I8" s="1371"/>
    </row>
    <row r="9" spans="1:12" ht="13.2">
      <c r="A9" s="3567"/>
      <c r="B9" s="3554"/>
      <c r="C9" s="3572"/>
      <c r="D9" s="3590"/>
      <c r="E9" s="131" t="s">
        <v>1274</v>
      </c>
      <c r="F9" s="1755"/>
      <c r="G9" s="1755"/>
      <c r="H9" s="1755"/>
      <c r="I9" s="1371"/>
    </row>
    <row r="10" spans="1:12" ht="13.2">
      <c r="A10" s="3567" t="s">
        <v>1275</v>
      </c>
      <c r="B10" s="3554">
        <v>15</v>
      </c>
      <c r="C10" s="3570"/>
      <c r="D10" s="3590"/>
      <c r="E10" s="131" t="s">
        <v>1276</v>
      </c>
      <c r="F10" s="1755"/>
      <c r="G10" s="1755"/>
      <c r="H10" s="1755"/>
      <c r="I10" s="1371"/>
    </row>
    <row r="11" spans="1:12" ht="13.2">
      <c r="A11" s="3567"/>
      <c r="B11" s="3554"/>
      <c r="C11" s="3572"/>
      <c r="D11" s="3590"/>
      <c r="E11" s="131" t="s">
        <v>1277</v>
      </c>
      <c r="F11" s="1755"/>
      <c r="G11" s="1755"/>
      <c r="H11" s="1755"/>
      <c r="I11" s="1371"/>
    </row>
    <row r="12" spans="1:12" ht="13.2">
      <c r="A12" s="3567" t="s">
        <v>1278</v>
      </c>
      <c r="B12" s="3554">
        <v>15</v>
      </c>
      <c r="C12" s="3570"/>
      <c r="D12" s="3590"/>
      <c r="E12" s="131" t="s">
        <v>1279</v>
      </c>
      <c r="F12" s="1755"/>
      <c r="G12" s="1755"/>
      <c r="H12" s="1755"/>
      <c r="I12" s="1371"/>
    </row>
    <row r="13" spans="1:12" ht="13.2">
      <c r="A13" s="3567"/>
      <c r="B13" s="3554"/>
      <c r="C13" s="3572"/>
      <c r="D13" s="3590"/>
      <c r="E13" s="131" t="s">
        <v>1280</v>
      </c>
      <c r="F13" s="1755"/>
      <c r="G13" s="1755"/>
      <c r="H13" s="1755"/>
      <c r="I13" s="1371"/>
    </row>
    <row r="14" spans="1:12" ht="13.2">
      <c r="A14" s="3567" t="s">
        <v>1281</v>
      </c>
      <c r="B14" s="3554">
        <v>30</v>
      </c>
      <c r="C14" s="3570">
        <v>7</v>
      </c>
      <c r="D14" s="3590">
        <v>3</v>
      </c>
      <c r="E14" s="131" t="s">
        <v>1282</v>
      </c>
      <c r="F14" s="1755"/>
      <c r="G14" s="1755"/>
      <c r="H14" s="1755"/>
      <c r="I14" s="1371"/>
    </row>
    <row r="15" spans="1:12" ht="13.2">
      <c r="A15" s="3567"/>
      <c r="B15" s="3554"/>
      <c r="C15" s="3571"/>
      <c r="D15" s="3590"/>
      <c r="E15" s="131" t="s">
        <v>1283</v>
      </c>
      <c r="F15" s="1755"/>
      <c r="G15" s="1755"/>
      <c r="H15" s="1755"/>
      <c r="I15" s="1371"/>
    </row>
    <row r="16" spans="1:12" ht="13.2">
      <c r="A16" s="3567"/>
      <c r="B16" s="3554"/>
      <c r="C16" s="3572"/>
      <c r="D16" s="3590"/>
      <c r="E16" s="131" t="s">
        <v>1284</v>
      </c>
      <c r="F16" s="1755"/>
      <c r="G16" s="1755"/>
      <c r="H16" s="1755"/>
      <c r="I16" s="1371"/>
    </row>
    <row r="17" spans="1:36" ht="14.4">
      <c r="A17" s="1756" t="s">
        <v>1285</v>
      </c>
      <c r="B17" s="56"/>
      <c r="C17" s="132">
        <f>SUM(C5:C16)</f>
        <v>7</v>
      </c>
      <c r="D17" s="132">
        <f>SUM(D5:D16)</f>
        <v>3</v>
      </c>
      <c r="E17" s="129"/>
      <c r="F17" s="129"/>
      <c r="G17" s="129"/>
      <c r="H17" s="129"/>
      <c r="I17" s="129"/>
      <c r="K17" s="302"/>
      <c r="L17" s="302" t="s">
        <v>1286</v>
      </c>
      <c r="M17" s="302" t="s">
        <v>1287</v>
      </c>
    </row>
    <row r="18" spans="1:36" ht="31.95" customHeight="1" thickBot="1">
      <c r="A18" s="1757" t="s">
        <v>1288</v>
      </c>
      <c r="B18" s="1758"/>
      <c r="C18" s="133">
        <f>ROUND(C17/SUM(C17:D17),2)</f>
        <v>0.7</v>
      </c>
      <c r="D18" s="133">
        <f>1-C18</f>
        <v>0.30000000000000004</v>
      </c>
      <c r="E18" s="3577" t="s">
        <v>2126</v>
      </c>
      <c r="F18" s="3578"/>
      <c r="G18" s="3578"/>
      <c r="H18" s="3578"/>
      <c r="I18" s="3578"/>
      <c r="K18" s="302" t="s">
        <v>1289</v>
      </c>
      <c r="L18" s="302">
        <f>IF(C1="",'数据-汇总表'!E3,SUMIF(项目类型,C1,'数据-汇总表'!E17:E26)+SUMIF(项目类型,C1,'数据-汇总表'!I17:I26))</f>
        <v>87.01</v>
      </c>
      <c r="M18" s="302">
        <f>IF(C1="",'数据-汇总表'!E3,SUMIF(项目类型,C1,'数据-汇总表'!E17:E26))</f>
        <v>87.01</v>
      </c>
    </row>
    <row r="19" spans="1:36" ht="14.4">
      <c r="A19" s="1759" t="s">
        <v>1290</v>
      </c>
      <c r="B19" s="1760" t="s">
        <v>1291</v>
      </c>
      <c r="C19" s="134">
        <f ca="1">SUMIF(INDIRECT("'"&amp;C4&amp;"'"&amp;"!A:A"),结果表!B19,INDIRECT("'"&amp;C4&amp;"'"&amp;"!B:B"))</f>
        <v>394.12920000000003</v>
      </c>
      <c r="D19" s="135">
        <f ca="1">SUMIF(INDIRECT("'"&amp;D4&amp;"'"&amp;"!A:A"),结果表!B19,INDIRECT("'"&amp;D4&amp;"'"&amp;"!B:B"))</f>
        <v>227.5557</v>
      </c>
      <c r="E19" s="1759" t="s">
        <v>1292</v>
      </c>
      <c r="F19" s="1760" t="s">
        <v>1291</v>
      </c>
      <c r="G19" s="136">
        <f ca="1">ROUND(C19*$C$18+D19*$D$18,0)</f>
        <v>344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2"/>
      <c r="B20" s="1025" t="s">
        <v>1295</v>
      </c>
      <c r="C20" s="137">
        <f ca="1">SUMIF(INDIRECT("'"&amp;C4&amp;"'"&amp;"!A:A"),结果表!B20,INDIRECT("'"&amp;C4&amp;"'"&amp;"!B:B"))</f>
        <v>45297</v>
      </c>
      <c r="D20" s="138">
        <f ca="1">SUMIF(INDIRECT("'"&amp;D4&amp;"'"&amp;"!A:A"),结果表!B20,INDIRECT("'"&amp;D4&amp;"'"&amp;"!B:B"))</f>
        <v>26153</v>
      </c>
      <c r="E20" s="1762"/>
      <c r="F20" s="1025" t="s">
        <v>1295</v>
      </c>
      <c r="G20" s="139">
        <f ca="1">ROUND(C20*$C$18+D20*$D$18,0)</f>
        <v>39554</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0.73201198651582899</v>
      </c>
      <c r="E22" s="129"/>
      <c r="F22" s="129"/>
      <c r="G22" s="129"/>
      <c r="H22" s="129"/>
      <c r="I22" s="129"/>
    </row>
    <row r="23" spans="1:36" ht="13.8" thickBot="1">
      <c r="A23" s="1745"/>
      <c r="B23" s="1745"/>
      <c r="C23" s="1745"/>
      <c r="D23" s="1745"/>
      <c r="E23" s="129"/>
      <c r="F23" s="129"/>
      <c r="G23" s="129"/>
      <c r="H23" s="129"/>
      <c r="I23" s="129"/>
    </row>
    <row r="24" spans="1:36" ht="14.4">
      <c r="A24" s="3561" t="s">
        <v>1299</v>
      </c>
      <c r="B24" s="1760" t="s">
        <v>1291</v>
      </c>
      <c r="C24" s="136">
        <f>IF(B30=0,0,D30)</f>
        <v>0</v>
      </c>
      <c r="D24" s="1767"/>
      <c r="E24" s="129"/>
      <c r="F24" s="129"/>
      <c r="G24" s="129"/>
      <c r="H24" s="129"/>
      <c r="I24" s="129"/>
    </row>
    <row r="25" spans="1:36" ht="14.4">
      <c r="A25" s="3562"/>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39554</v>
      </c>
      <c r="D32" s="1773"/>
      <c r="E32" s="129"/>
      <c r="F32" s="129"/>
      <c r="G32" s="129"/>
      <c r="H32" s="129"/>
      <c r="I32" s="129"/>
    </row>
    <row r="33" spans="1:15" ht="14.4">
      <c r="A33" s="786"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581" t="s">
        <v>1312</v>
      </c>
      <c r="B36" s="1785" t="s">
        <v>1313</v>
      </c>
      <c r="C36" s="145"/>
      <c r="D36" s="1786"/>
      <c r="E36" s="1787"/>
      <c r="F36" s="1788"/>
      <c r="G36" s="129"/>
      <c r="H36" s="129"/>
      <c r="I36" s="129"/>
    </row>
    <row r="37" spans="1:15" ht="15" thickBot="1">
      <c r="A37" s="3582"/>
      <c r="B37" s="1672" t="s">
        <v>1314</v>
      </c>
      <c r="C37" s="147"/>
      <c r="D37" s="1138"/>
      <c r="E37" s="1138"/>
      <c r="F37" s="1788"/>
      <c r="G37" s="129"/>
      <c r="H37" s="129"/>
      <c r="I37" s="129"/>
    </row>
    <row r="38" spans="1:15" ht="15" thickBot="1">
      <c r="A38" s="3583"/>
      <c r="B38" s="1789" t="s">
        <v>1315</v>
      </c>
      <c r="C38" s="674"/>
      <c r="D38" s="1790" t="s">
        <v>1316</v>
      </c>
      <c r="E38" s="1138"/>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8" t="s">
        <v>1326</v>
      </c>
      <c r="B45" s="3559"/>
      <c r="C45" s="3560"/>
      <c r="D45" s="155" t="e">
        <f ca="1">ROUND(H101*F45,0)</f>
        <v>#REF!</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4"/>
      <c r="I46" s="159"/>
      <c r="J46" s="2521">
        <v>1</v>
      </c>
      <c r="K46" s="3617" t="s">
        <v>1331</v>
      </c>
      <c r="L46" s="3617"/>
      <c r="M46" s="3637"/>
      <c r="N46" s="3637"/>
      <c r="O46" s="3637"/>
    </row>
    <row r="47" spans="1:15" ht="12" customHeight="1">
      <c r="A47" s="160" t="s">
        <v>1332</v>
      </c>
      <c r="B47" s="161"/>
      <c r="C47" s="162"/>
      <c r="D47" s="1086" t="s">
        <v>1333</v>
      </c>
      <c r="E47" s="302" t="s">
        <v>1334</v>
      </c>
      <c r="F47" s="163" t="s">
        <v>1335</v>
      </c>
      <c r="G47" s="2544" t="s">
        <v>1336</v>
      </c>
      <c r="H47" s="2545"/>
      <c r="I47" s="159"/>
      <c r="J47" s="2521">
        <v>2</v>
      </c>
      <c r="K47" s="3617" t="s">
        <v>1337</v>
      </c>
      <c r="L47" s="3617"/>
      <c r="M47" s="3638">
        <f>'数据-取费表'!B2</f>
        <v>45322</v>
      </c>
      <c r="N47" s="3638"/>
      <c r="O47" s="3638"/>
    </row>
    <row r="48" spans="1:15" ht="26.4">
      <c r="A48" s="3586" t="s">
        <v>1338</v>
      </c>
      <c r="B48" s="3569"/>
      <c r="C48" s="356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7" t="s">
        <v>1340</v>
      </c>
      <c r="L48" s="3617"/>
      <c r="M48" s="3639" t="e">
        <f ca="1">H101</f>
        <v>#REF!</v>
      </c>
      <c r="N48" s="3639"/>
      <c r="O48" s="3639"/>
    </row>
    <row r="49" spans="1:35" ht="25.5" customHeight="1">
      <c r="A49" s="2331" t="s">
        <v>1341</v>
      </c>
      <c r="B49" s="3553" t="s">
        <v>1342</v>
      </c>
      <c r="C49" s="3553"/>
      <c r="D49" s="1588">
        <v>0</v>
      </c>
      <c r="E49" s="324" t="s">
        <v>1343</v>
      </c>
      <c r="F49" s="2422" t="s">
        <v>28</v>
      </c>
      <c r="G49" s="3623"/>
      <c r="H49" s="2308" t="s">
        <v>2129</v>
      </c>
      <c r="I49" s="2309"/>
      <c r="J49" s="2521">
        <v>4</v>
      </c>
      <c r="K49" s="3617" t="str">
        <f>IF(项目基本情况!E8="房地产抵押价值","房地产抵押价值","抵押担保权已注销时的房地产抵押价值")</f>
        <v>房地产抵押价值</v>
      </c>
      <c r="L49" s="3617"/>
      <c r="M49" s="3639" t="str">
        <f ca="1">IF(项目基本情况!E8="房地产抵押价值",H107,H109)</f>
        <v>——</v>
      </c>
      <c r="N49" s="3639"/>
      <c r="O49" s="3639"/>
    </row>
    <row r="50" spans="1:35" ht="25.5" customHeight="1">
      <c r="A50" s="2549"/>
      <c r="B50" s="3553" t="s">
        <v>1344</v>
      </c>
      <c r="C50" s="3553"/>
      <c r="D50" s="2550"/>
      <c r="E50" s="332"/>
      <c r="F50" s="2422"/>
      <c r="G50" s="3624"/>
      <c r="H50" s="2310" t="s">
        <v>2130</v>
      </c>
      <c r="I50" s="2309"/>
      <c r="J50" s="3636" t="s">
        <v>1345</v>
      </c>
      <c r="K50" s="3636"/>
      <c r="L50" s="3636"/>
      <c r="M50" s="3636"/>
      <c r="N50" s="3636"/>
      <c r="O50" s="3636"/>
    </row>
    <row r="51" spans="1:35" ht="20.399999999999999" customHeight="1">
      <c r="A51" s="2551"/>
      <c r="B51" s="3553" t="s">
        <v>1346</v>
      </c>
      <c r="C51" s="3553"/>
      <c r="D51" s="1086"/>
      <c r="E51" s="327"/>
      <c r="F51" s="2422"/>
      <c r="G51" s="3625"/>
      <c r="H51" s="2310" t="s">
        <v>2131</v>
      </c>
      <c r="I51" s="2309"/>
      <c r="J51" s="2522" t="s">
        <v>1347</v>
      </c>
      <c r="K51" s="3617" t="s">
        <v>1348</v>
      </c>
      <c r="L51" s="3617"/>
      <c r="M51" s="2522" t="s">
        <v>1349</v>
      </c>
      <c r="N51" s="2522" t="s">
        <v>1350</v>
      </c>
      <c r="O51" s="2522" t="s">
        <v>1351</v>
      </c>
    </row>
    <row r="52" spans="1:35" ht="24" customHeight="1">
      <c r="A52" s="2333" t="s">
        <v>1352</v>
      </c>
      <c r="B52" s="3553" t="s">
        <v>1353</v>
      </c>
      <c r="C52" s="3553"/>
      <c r="D52" s="1086" t="e">
        <f ca="1">ROUND(D45*'数据-取费表'!B41/(1+'数据-取费表'!C42),0)</f>
        <v>#REF!</v>
      </c>
      <c r="E52" s="2332" t="s">
        <v>1354</v>
      </c>
      <c r="F52" s="2552">
        <f>'数据-取费表'!B41</f>
        <v>5.6000000000000001E-2</v>
      </c>
      <c r="G52" s="2553"/>
      <c r="H52" s="2542"/>
      <c r="I52" s="1805"/>
      <c r="J52" s="2521">
        <v>1</v>
      </c>
      <c r="K52" s="3618" t="s">
        <v>1355</v>
      </c>
      <c r="L52" s="3618"/>
      <c r="M52" s="2523" t="b">
        <f>D48</f>
        <v>0</v>
      </c>
      <c r="N52" s="2521" t="str">
        <f>E48</f>
        <v>销售额×税（费）率</v>
      </c>
      <c r="O52" s="2524">
        <f>F48</f>
        <v>5.6000000000000001E-2</v>
      </c>
    </row>
    <row r="53" spans="1:35" ht="12" customHeight="1">
      <c r="A53" s="2333" t="s">
        <v>1356</v>
      </c>
      <c r="B53" s="3579" t="s">
        <v>2286</v>
      </c>
      <c r="C53" s="3580"/>
      <c r="D53" s="1086" t="e">
        <f ca="1">ROUND(D45*'数据-取费表'!B41/(1+'数据-取费表'!C42),0)</f>
        <v>#REF!</v>
      </c>
      <c r="E53" s="2332" t="s">
        <v>1354</v>
      </c>
      <c r="F53" s="2552">
        <f>'数据-取费表'!B41</f>
        <v>5.6000000000000001E-2</v>
      </c>
      <c r="G53" s="2553"/>
      <c r="H53" s="2542"/>
      <c r="I53" s="1805"/>
      <c r="J53" s="2521">
        <v>2</v>
      </c>
      <c r="K53" s="3618" t="s">
        <v>1357</v>
      </c>
      <c r="L53" s="3618"/>
      <c r="M53" s="2523" t="e">
        <f t="shared" ref="M53:O54" ca="1" si="0">D55</f>
        <v>#REF!</v>
      </c>
      <c r="N53" s="2521" t="str">
        <f t="shared" si="0"/>
        <v>销售额×税（费）率</v>
      </c>
      <c r="O53" s="2524" t="str">
        <f t="shared" si="0"/>
        <v>免征</v>
      </c>
    </row>
    <row r="54" spans="1:35" ht="12" customHeight="1">
      <c r="A54" s="2333" t="s">
        <v>1358</v>
      </c>
      <c r="B54" s="3579" t="s">
        <v>2287</v>
      </c>
      <c r="C54" s="3580"/>
      <c r="D54" s="1086" t="e">
        <f ca="1">C68</f>
        <v>#REF!</v>
      </c>
      <c r="E54" s="327" t="s">
        <v>1359</v>
      </c>
      <c r="F54" s="2552">
        <f>'数据-取费表'!B41</f>
        <v>5.6000000000000001E-2</v>
      </c>
      <c r="G54" s="2553"/>
      <c r="H54" s="2554"/>
      <c r="I54" s="1805"/>
      <c r="J54" s="2521">
        <v>3</v>
      </c>
      <c r="K54" s="3618" t="s">
        <v>1360</v>
      </c>
      <c r="L54" s="3618"/>
      <c r="M54" s="2523" t="e">
        <f t="shared" ca="1" si="0"/>
        <v>#REF!</v>
      </c>
      <c r="N54" s="2521" t="str">
        <f t="shared" si="0"/>
        <v>增值额×税（费）率</v>
      </c>
      <c r="O54" s="2525" t="str">
        <f t="shared" si="0"/>
        <v>免征</v>
      </c>
    </row>
    <row r="55" spans="1:35" ht="24" customHeight="1">
      <c r="A55" s="3568" t="s">
        <v>1361</v>
      </c>
      <c r="B55" s="3569"/>
      <c r="C55" s="3569"/>
      <c r="D55" s="2322" t="e">
        <f ca="1">IF(H55="个人住宅",0,ROUND(D45*I55,0))</f>
        <v>#REF!</v>
      </c>
      <c r="E55" s="2332" t="s">
        <v>1362</v>
      </c>
      <c r="F55" s="2552" t="str">
        <f>IF(H55="正常",I55,"免征")</f>
        <v>免征</v>
      </c>
      <c r="G55" s="2553"/>
      <c r="H55" s="2548"/>
      <c r="I55" s="165">
        <f>'数据-取费表'!B49</f>
        <v>5.0000000000000001E-4</v>
      </c>
      <c r="J55" s="2521">
        <f>IF(H59="非个人房产","",4)</f>
        <v>4</v>
      </c>
      <c r="K55" s="3618" t="str">
        <f>IF(H59="非个人房产","——","个人所得税")</f>
        <v>个人所得税</v>
      </c>
      <c r="L55" s="3618"/>
      <c r="M55" s="2526" t="e">
        <f ca="1">D59</f>
        <v>#REF!</v>
      </c>
      <c r="N55" s="2038" t="str">
        <f>E59</f>
        <v>差额计税</v>
      </c>
      <c r="O55" s="2527">
        <f>F59</f>
        <v>0.01</v>
      </c>
    </row>
    <row r="56" spans="1:35" ht="25.2">
      <c r="A56" s="3568" t="s">
        <v>1363</v>
      </c>
      <c r="B56" s="3569"/>
      <c r="C56" s="3569"/>
      <c r="D56" s="2322" t="e">
        <f ca="1">IF(H56="个人住宅",D57,D58)</f>
        <v>#REF!</v>
      </c>
      <c r="E56" s="2332" t="s">
        <v>1364</v>
      </c>
      <c r="F56" s="2552" t="str">
        <f>IF(H56="正常",F58,"免征")</f>
        <v>免征</v>
      </c>
      <c r="G56" s="2555" t="s">
        <v>1365</v>
      </c>
      <c r="H56" s="2556"/>
      <c r="I56" s="1806"/>
      <c r="J56" s="2521" t="str">
        <f>IF(项目基本情况!K6="上海银行",IF(J55="",4,J55+1),"")</f>
        <v/>
      </c>
      <c r="K56" s="3641" t="str">
        <f>IF(项目基本情况!K6="上海银行","其他处置费用","")</f>
        <v/>
      </c>
      <c r="L56" s="3642"/>
      <c r="M56" s="2523" t="str">
        <f>IF(项目基本情况!K6="上海银行",M69,"")</f>
        <v/>
      </c>
      <c r="N56" s="3641" t="str">
        <f>IF(项目基本情况!K6="上海银行","包含处置中涉及的律师、诉讼、拍卖、评估等费用","")</f>
        <v/>
      </c>
      <c r="O56" s="3644"/>
    </row>
    <row r="57" spans="1:35" ht="13.2">
      <c r="A57" s="2333" t="s">
        <v>1341</v>
      </c>
      <c r="B57" s="3579" t="s">
        <v>1366</v>
      </c>
      <c r="C57" s="3580"/>
      <c r="D57" s="1588">
        <v>0</v>
      </c>
      <c r="E57" s="324" t="s">
        <v>1343</v>
      </c>
      <c r="F57" s="302"/>
      <c r="G57" s="2553"/>
      <c r="H57" s="2557"/>
      <c r="I57" s="1806"/>
      <c r="J57" s="3618">
        <f>IF(AND(J55="",J56=""),4,IF(项目基本情况!K6="上海银行",结果表!J56+1,结果表!J55+1))</f>
        <v>5</v>
      </c>
      <c r="K57" s="3618" t="s">
        <v>1367</v>
      </c>
      <c r="L57" s="2528" t="s">
        <v>1368</v>
      </c>
      <c r="M57" s="2529"/>
      <c r="N57" s="2530">
        <f ca="1">SUMIF(M52:M56,"&lt;9e307")</f>
        <v>0</v>
      </c>
      <c r="O57" s="2531"/>
      <c r="P57" s="2688" t="e">
        <f ca="1">N57/M49</f>
        <v>#VALUE!</v>
      </c>
    </row>
    <row r="58" spans="1:35" ht="25.2">
      <c r="A58" s="2333" t="s">
        <v>1352</v>
      </c>
      <c r="B58" s="3579" t="s">
        <v>1369</v>
      </c>
      <c r="C58" s="3553"/>
      <c r="D58" s="2322" t="e">
        <f ca="1">IF(H58="转让取得",C81,C97)</f>
        <v>#REF!</v>
      </c>
      <c r="E58" s="2332" t="s">
        <v>1364</v>
      </c>
      <c r="F58" s="302" t="s">
        <v>28</v>
      </c>
      <c r="G58" s="2553"/>
      <c r="H58" s="2556"/>
      <c r="I58" s="1806"/>
      <c r="J58" s="3618"/>
      <c r="K58" s="3618"/>
      <c r="L58" s="2528" t="s">
        <v>1370</v>
      </c>
      <c r="M58" s="2532"/>
      <c r="N58" s="2533" t="str">
        <f ca="1">NUMBERSTRING(INT(N57*10000),2)&amp;"元整"</f>
        <v>零元整</v>
      </c>
      <c r="O58" s="2534"/>
    </row>
    <row r="59" spans="1:35" ht="24.6" thickBot="1">
      <c r="A59" s="3621" t="s">
        <v>1371</v>
      </c>
      <c r="B59" s="3622"/>
      <c r="C59" s="362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619">
        <f>J57+1</f>
        <v>6</v>
      </c>
      <c r="K59" s="3618" t="s">
        <v>1372</v>
      </c>
      <c r="L59" s="2521" t="s">
        <v>1368</v>
      </c>
      <c r="M59" s="2535"/>
      <c r="N59" s="2536" t="e">
        <f ca="1">M49-N57</f>
        <v>#VALUE!</v>
      </c>
      <c r="O59" s="2537"/>
    </row>
    <row r="60" spans="1:35" ht="12" customHeight="1">
      <c r="A60" s="1807"/>
      <c r="B60" s="1745"/>
      <c r="C60" s="1745"/>
      <c r="D60" s="1745"/>
      <c r="E60" s="1576"/>
      <c r="F60" s="1806"/>
      <c r="G60" s="1806"/>
      <c r="H60" s="1808"/>
      <c r="I60" s="129"/>
      <c r="J60" s="3620"/>
      <c r="K60" s="3618"/>
      <c r="L60" s="2528" t="s">
        <v>1370</v>
      </c>
      <c r="M60" s="2532"/>
      <c r="N60" s="2533" t="e">
        <f ca="1">NUMBERSTRING(INT(N59*10000),2)&amp;"元整"</f>
        <v>#VALUE!</v>
      </c>
      <c r="O60" s="2534"/>
    </row>
    <row r="61" spans="1:35" ht="13.8" thickBot="1">
      <c r="A61" s="3566" t="s">
        <v>1373</v>
      </c>
      <c r="B61" s="3566"/>
      <c r="C61" s="3566"/>
      <c r="D61" s="3566"/>
      <c r="E61" s="3566"/>
      <c r="F61" s="1806"/>
      <c r="G61" s="1806"/>
      <c r="H61" s="1808"/>
      <c r="I61" s="129"/>
      <c r="J61" s="2521">
        <f>J59+1</f>
        <v>7</v>
      </c>
      <c r="K61" s="3618" t="s">
        <v>1374</v>
      </c>
      <c r="L61" s="3618"/>
      <c r="M61" s="2538"/>
      <c r="N61" s="2539" t="e">
        <f ca="1">ROUND(N59*10000/'数据-汇总表'!E3,0)</f>
        <v>#VALUE!</v>
      </c>
      <c r="O61" s="2540"/>
    </row>
    <row r="62" spans="1:35" ht="13.2">
      <c r="A62" s="3584" t="s">
        <v>1375</v>
      </c>
      <c r="B62" s="3585"/>
      <c r="C62" s="2019"/>
      <c r="D62" s="2019" t="s">
        <v>1376</v>
      </c>
      <c r="E62" s="166" t="s">
        <v>1377</v>
      </c>
      <c r="F62" s="1806"/>
      <c r="G62" s="1806"/>
      <c r="H62" s="1808"/>
      <c r="I62" s="129"/>
    </row>
    <row r="63" spans="1:35" ht="13.2">
      <c r="A63" s="173" t="s">
        <v>330</v>
      </c>
      <c r="B63" s="167" t="s">
        <v>1378</v>
      </c>
      <c r="C63" s="2562" t="e">
        <f ca="1">ROUND((C64+C65)/(1+'数据-取费表'!C42),0)</f>
        <v>#REF!</v>
      </c>
      <c r="D63" s="167"/>
      <c r="E63" s="168"/>
      <c r="F63" s="1806"/>
      <c r="G63" s="1806"/>
      <c r="H63" s="1808"/>
      <c r="I63" s="129"/>
      <c r="J63" s="3643"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3"/>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43"/>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43"/>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3"/>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3"/>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43"/>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4.4" thickBot="1">
      <c r="A70" s="3605" t="s">
        <v>1394</v>
      </c>
      <c r="B70" s="3606"/>
      <c r="C70" s="3606"/>
      <c r="D70" s="3606"/>
      <c r="E70" s="3606"/>
      <c r="F70" s="3606"/>
      <c r="G70" s="3606"/>
      <c r="H70" s="360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584" t="s">
        <v>1375</v>
      </c>
      <c r="B71" s="358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9" t="s">
        <v>1402</v>
      </c>
      <c r="F76" s="3553"/>
      <c r="G76" s="3553"/>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63" t="s">
        <v>1406</v>
      </c>
      <c r="F78" s="3564"/>
      <c r="G78" s="3564"/>
      <c r="H78" s="357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05" t="s">
        <v>1410</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584" t="s">
        <v>1375</v>
      </c>
      <c r="B84" s="358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80"/>
      <c r="D90" s="2575"/>
      <c r="E90" s="193" t="str">
        <f>IF(H88="-","土地取得成本中已包含该笔费用"," ")</f>
        <v xml:space="preserve"> </v>
      </c>
      <c r="F90" s="2325"/>
      <c r="G90" s="3645" t="s">
        <v>2124</v>
      </c>
      <c r="H90" s="3646"/>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3" t="s">
        <v>1419</v>
      </c>
      <c r="F91" s="3564"/>
      <c r="G91" s="356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3" t="s">
        <v>1422</v>
      </c>
      <c r="F92" s="3564"/>
      <c r="G92" s="3564"/>
      <c r="H92" s="3573"/>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63" t="s">
        <v>1406</v>
      </c>
      <c r="F93" s="3564"/>
      <c r="G93" s="3564"/>
      <c r="H93" s="357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4" t="s">
        <v>1426</v>
      </c>
      <c r="F94" s="3575"/>
      <c r="G94" s="3575"/>
      <c r="H94" s="357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3" t="str">
        <f>C4</f>
        <v>比较法-商业</v>
      </c>
      <c r="D101" s="2584" t="str">
        <f>D4</f>
        <v>收益法 (元)</v>
      </c>
      <c r="E101" s="3640" t="s">
        <v>1431</v>
      </c>
      <c r="F101" s="3597"/>
      <c r="G101" s="1825" t="s">
        <v>1432</v>
      </c>
      <c r="H101" s="2593" t="e">
        <f ca="1">H118</f>
        <v>#REF!</v>
      </c>
      <c r="I101" s="129"/>
    </row>
    <row r="102" spans="1:35" ht="18.75" customHeight="1">
      <c r="A102" s="3599" t="s">
        <v>1433</v>
      </c>
      <c r="B102" s="2582" t="s">
        <v>1432</v>
      </c>
      <c r="C102" s="2583">
        <f ca="1">IF(D32="楼面单价",ROUND(C19,0),C19)</f>
        <v>394.12920000000003</v>
      </c>
      <c r="D102" s="2584">
        <f ca="1">IF(D32="楼面单价",ROUND(D19,0),D19)</f>
        <v>227.5557</v>
      </c>
      <c r="E102" s="3640"/>
      <c r="F102" s="3597"/>
      <c r="G102" s="1825" t="s">
        <v>1434</v>
      </c>
      <c r="H102" s="2553" t="e">
        <f ca="1">I118</f>
        <v>#REF!</v>
      </c>
      <c r="I102" s="129"/>
    </row>
    <row r="103" spans="1:35" ht="42.75" customHeight="1">
      <c r="A103" s="3599"/>
      <c r="B103" s="2582" t="s">
        <v>1434</v>
      </c>
      <c r="C103" s="2585">
        <f ca="1">C20</f>
        <v>45297</v>
      </c>
      <c r="D103" s="2586">
        <f ca="1">D20</f>
        <v>26153</v>
      </c>
      <c r="E103" s="3634" t="s">
        <v>1435</v>
      </c>
      <c r="F103" s="3635"/>
      <c r="G103" s="1826" t="s">
        <v>1436</v>
      </c>
      <c r="H103" s="2593">
        <f>IF(D36="正常操作",H104+H105+H106,H105+H106)</f>
        <v>0</v>
      </c>
      <c r="I103" s="129"/>
    </row>
    <row r="104" spans="1:35" ht="18.75" customHeight="1">
      <c r="A104" s="3599"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0"/>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6" t="str">
        <f>IF(项目基本情况!E8="已注销","——","3.房地产抵押价值")</f>
        <v>3.房地产抵押价值</v>
      </c>
      <c r="F107" s="3597"/>
      <c r="G107" s="1825" t="s">
        <v>1432</v>
      </c>
      <c r="H107" s="2593" t="e">
        <f ca="1">IF(E107="——","——",H101-H103)</f>
        <v>#REF!</v>
      </c>
      <c r="I107" s="129"/>
    </row>
    <row r="108" spans="1:35" ht="18.75" customHeight="1">
      <c r="A108" s="129"/>
      <c r="B108" s="129"/>
      <c r="C108" s="129"/>
      <c r="D108" s="129"/>
      <c r="E108" s="3596"/>
      <c r="F108" s="3597"/>
      <c r="G108" s="1825" t="s">
        <v>1434</v>
      </c>
      <c r="H108" s="2553">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5" t="s">
        <v>1432</v>
      </c>
      <c r="H109" s="2596" t="str">
        <f>IF(E109="——","——",H101-H105-H106)</f>
        <v>——</v>
      </c>
      <c r="I109" s="129"/>
    </row>
    <row r="110" spans="1:35" ht="18.75" customHeight="1">
      <c r="A110" s="129"/>
      <c r="B110" s="129"/>
      <c r="C110" s="129"/>
      <c r="D110" s="129"/>
      <c r="E110" s="3596"/>
      <c r="F110" s="3597"/>
      <c r="G110" s="1825" t="s">
        <v>1434</v>
      </c>
      <c r="H110" s="2553"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5" t="s">
        <v>1432</v>
      </c>
      <c r="H111" s="2593" t="str">
        <f>IF(E111="——","——",N59)</f>
        <v>——</v>
      </c>
      <c r="I111" s="129"/>
    </row>
    <row r="112" spans="1:35" ht="18.75" customHeight="1" thickBot="1">
      <c r="A112" s="129"/>
      <c r="B112" s="129"/>
      <c r="C112" s="129"/>
      <c r="D112" s="129"/>
      <c r="E112" s="3629"/>
      <c r="F112" s="3630"/>
      <c r="G112" s="1828" t="s">
        <v>1434</v>
      </c>
      <c r="H112" s="2597" t="str">
        <f>IF(E111="——","——",N61)</f>
        <v>——</v>
      </c>
      <c r="I112" s="129"/>
    </row>
    <row r="113" spans="1:27" ht="18.75" customHeight="1">
      <c r="A113" s="129"/>
      <c r="B113" s="129"/>
      <c r="C113" s="129"/>
      <c r="D113" s="129"/>
      <c r="E113" s="3601" t="s">
        <v>1440</v>
      </c>
      <c r="F113" s="3601"/>
      <c r="G113" s="3601"/>
      <c r="H113" s="3601"/>
      <c r="I113" s="129"/>
    </row>
    <row r="114" spans="1:27" ht="3.75" customHeight="1">
      <c r="A114" s="1745"/>
      <c r="B114" s="1745"/>
      <c r="C114" s="1745"/>
      <c r="D114" s="1745"/>
      <c r="E114" s="1807"/>
      <c r="F114" s="1807"/>
      <c r="G114" s="1807"/>
      <c r="H114" s="1807"/>
      <c r="I114" s="1745"/>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7" t="s">
        <v>1452</v>
      </c>
      <c r="B119" s="3567"/>
      <c r="C119" s="3567"/>
      <c r="D119" s="3607" t="e">
        <f ca="1">NUMBERSTRING(INT(D118*10000),2)&amp;"元整"</f>
        <v>#REF!</v>
      </c>
      <c r="E119" s="3609"/>
      <c r="F119" s="3607" t="e">
        <f ca="1">NUMBERSTRING(INT(F118*10000),2)&amp;"元整"</f>
        <v>#REF!</v>
      </c>
      <c r="G119" s="3609"/>
      <c r="H119" s="3607" t="e">
        <f ca="1">NUMBERSTRING(INT(H118*10000),2)&amp;"元整"</f>
        <v>#REF!</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t="e">
        <f ca="1">H107</f>
        <v>#REF!</v>
      </c>
      <c r="E122" s="3632"/>
      <c r="F122" s="3632"/>
      <c r="G122" s="3632"/>
      <c r="H122" s="3632"/>
      <c r="I122" s="3633"/>
      <c r="AA122" s="725"/>
    </row>
    <row r="123" spans="1:27" ht="18.75" customHeight="1">
      <c r="A123" s="3567" t="s">
        <v>1452</v>
      </c>
      <c r="B123" s="3567"/>
      <c r="C123" s="3567"/>
      <c r="D123" s="3607" t="e">
        <f ca="1">NUMBERSTRING(INT(D122*10000),2)&amp;"元整"</f>
        <v>#REF!</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8"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7" t="s">
        <v>1591</v>
      </c>
    </row>
    <row r="43" spans="1:7" ht="13.5" customHeight="1">
      <c r="A43" s="780" t="s">
        <v>347</v>
      </c>
      <c r="B43" s="215" t="s">
        <v>1545</v>
      </c>
      <c r="C43" s="238">
        <f ca="1">ROUND(IF('数据-取费表'!B22&lt;=1,C39*F22*'数据-取费表'!B20/2,C39*(POWER((1+F22),'数据-取费表'!B20/2)-1)),0)</f>
        <v>294</v>
      </c>
      <c r="D43" s="238"/>
      <c r="E43" s="238"/>
      <c r="F43" s="239"/>
      <c r="G43" s="3648"/>
    </row>
    <row r="44" spans="1:7" ht="13.5" customHeight="1">
      <c r="A44" s="780"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8"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2" t="s">
        <v>694</v>
      </c>
      <c r="C6" s="1073">
        <f ca="1">ROUND(F6*F8*F7*(1-F9)/10000,0)</f>
        <v>0</v>
      </c>
      <c r="D6" s="155" t="s">
        <v>2104</v>
      </c>
      <c r="E6" s="302" t="s">
        <v>696</v>
      </c>
      <c r="F6" s="303">
        <f ca="1">INDIRECT("'数据-取费表'!u"&amp;$G$1)</f>
        <v>0</v>
      </c>
      <c r="G6" s="1382"/>
      <c r="H6" s="1068" t="s">
        <v>398</v>
      </c>
      <c r="I6" s="3652" t="s">
        <v>694</v>
      </c>
      <c r="J6" s="301">
        <f ca="1">ROUND(M6*M8*M7*(1-M9)/10000,0)</f>
        <v>0</v>
      </c>
      <c r="K6" s="155" t="s">
        <v>2103</v>
      </c>
      <c r="L6" s="302" t="s">
        <v>696</v>
      </c>
      <c r="M6" s="303">
        <f ca="1">INDIRECT("'数据-取费表'!z"&amp;$G$1)</f>
        <v>0</v>
      </c>
    </row>
    <row r="7" spans="1:37" ht="18" customHeight="1">
      <c r="A7" s="1072"/>
      <c r="B7" s="3653"/>
      <c r="C7" s="1074"/>
      <c r="D7" s="307"/>
      <c r="E7" s="1075" t="s">
        <v>697</v>
      </c>
      <c r="F7" s="303">
        <f ca="1">IF(INDIRECT("'数据-取费表'!ah"&amp;$G$1)="",INDIRECT("'数据-取费表'!k"&amp;$G$1),INDIRECT("'数据-取费表'!ah"&amp;$G$1))</f>
        <v>0</v>
      </c>
      <c r="G7" s="1382"/>
      <c r="H7" s="304"/>
      <c r="I7" s="3653"/>
      <c r="J7" s="306"/>
      <c r="K7" s="307"/>
      <c r="L7" s="302" t="s">
        <v>697</v>
      </c>
      <c r="M7" s="303">
        <f ca="1">F7</f>
        <v>0</v>
      </c>
    </row>
    <row r="8" spans="1:37" ht="18" customHeight="1">
      <c r="A8" s="304"/>
      <c r="B8" s="3653"/>
      <c r="C8" s="306"/>
      <c r="D8" s="307"/>
      <c r="E8" s="302" t="s">
        <v>698</v>
      </c>
      <c r="F8" s="303">
        <f ca="1">INDIRECT("'数据-取费表'!ai"&amp;$G$1)</f>
        <v>0</v>
      </c>
      <c r="G8" s="1382"/>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2"/>
      <c r="H9" s="304"/>
      <c r="I9" s="365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8"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36.6"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0" t="s">
        <v>837</v>
      </c>
      <c r="L53" s="3651"/>
      <c r="O53" s="1416" t="s">
        <v>409</v>
      </c>
      <c r="P53" s="1417" t="s">
        <v>838</v>
      </c>
      <c r="Q53" s="1418" t="e">
        <f ca="1">Q47+Q48</f>
        <v>#DIV/0!</v>
      </c>
      <c r="R53" s="1418" t="s">
        <v>410</v>
      </c>
    </row>
    <row r="54" spans="1:18" s="1382" customFormat="1" ht="24.6"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7.200000000000003"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6"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6"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24.6"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2"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8" thickBot="1">
      <c r="A69" s="951"/>
      <c r="B69" s="952"/>
      <c r="C69" s="306"/>
      <c r="D69" s="970" t="s">
        <v>762</v>
      </c>
      <c r="E69" s="950" t="s">
        <v>763</v>
      </c>
      <c r="F69" s="333">
        <f ca="1">F41</f>
        <v>0</v>
      </c>
      <c r="O69" s="1426" t="s">
        <v>411</v>
      </c>
      <c r="P69" s="1465" t="s">
        <v>872</v>
      </c>
      <c r="Q69" s="1418">
        <f ca="1">C39</f>
        <v>0</v>
      </c>
      <c r="R69" s="1418" t="s">
        <v>818</v>
      </c>
    </row>
    <row r="70" spans="1:18" s="1382" customFormat="1" ht="13.8" thickBot="1">
      <c r="A70" s="954"/>
      <c r="B70" s="955"/>
      <c r="C70" s="310"/>
      <c r="D70" s="966"/>
      <c r="E70" s="950" t="s">
        <v>766</v>
      </c>
      <c r="F70" s="1053"/>
      <c r="O70" s="1426" t="s">
        <v>412</v>
      </c>
      <c r="P70" s="1465" t="s">
        <v>873</v>
      </c>
      <c r="Q70" s="1418">
        <f ca="1">C13</f>
        <v>0</v>
      </c>
      <c r="R70" s="1418" t="s">
        <v>818</v>
      </c>
    </row>
    <row r="71" spans="1:18" s="1382" customFormat="1" ht="13.8"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D3" sqref="D3"/>
    </sheetView>
  </sheetViews>
  <sheetFormatPr defaultRowHeight="14.4"/>
  <cols>
    <col min="8" max="8" width="10.5546875" bestFit="1" customWidth="1"/>
    <col min="10" max="10" width="10.4414062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f ca="1">典型户型修正!R25</f>
        <v>33419</v>
      </c>
      <c r="D3">
        <f ca="1">ROUND(C3*B3/10000,2)</f>
        <v>745.71</v>
      </c>
      <c r="E3">
        <v>774.99</v>
      </c>
      <c r="F3" s="3459">
        <f ca="1">E3/D3-1</f>
        <v>3.9264593474675147E-2</v>
      </c>
      <c r="H3">
        <f ca="1">H19</f>
        <v>44300.5631536605</v>
      </c>
      <c r="I3">
        <f ca="1">I19</f>
        <v>33225.422365245373</v>
      </c>
      <c r="J3">
        <f ca="1">J19</f>
        <v>28795.366049879325</v>
      </c>
      <c r="K3">
        <f ca="1">(H3*1+I3*1+J3*4)/6</f>
        <v>32117.908286403865</v>
      </c>
      <c r="L3" s="3458" t="s">
        <v>3474</v>
      </c>
      <c r="M3" s="3458" t="s">
        <v>3453</v>
      </c>
      <c r="N3" s="3458">
        <f ca="1">K3/K19</f>
        <v>0.81200000000000006</v>
      </c>
      <c r="O3">
        <f ca="1">K3*B3/10000</f>
        <v>716.67900550281581</v>
      </c>
      <c r="P3" s="3460">
        <f ca="1">E3/O3-1</f>
        <v>8.1362777546795551E-2</v>
      </c>
    </row>
    <row r="4" spans="1:16">
      <c r="A4" s="3457" t="str">
        <f>典型户型修正!A29</f>
        <v>10-18</v>
      </c>
      <c r="B4">
        <f>典型户型修正!B29</f>
        <v>153.22</v>
      </c>
      <c r="C4">
        <f ca="1">典型户型修正!R29</f>
        <v>37005</v>
      </c>
      <c r="D4">
        <f ca="1">ROUND(C4*B4/10000,2)</f>
        <v>566.99</v>
      </c>
      <c r="E4">
        <v>596.37</v>
      </c>
      <c r="F4" s="3459">
        <f t="shared" ref="F4:F5" ca="1" si="0">E4/D4-1</f>
        <v>5.1817492371999396E-2</v>
      </c>
      <c r="H4">
        <f ca="1">H19</f>
        <v>44300.5631536605</v>
      </c>
      <c r="I4">
        <f ca="1">I19</f>
        <v>33225.422365245373</v>
      </c>
      <c r="K4">
        <f ca="1">AVERAGE(H4:I4)*0.95</f>
        <v>36824.843121480291</v>
      </c>
      <c r="L4" s="3458" t="s">
        <v>3446</v>
      </c>
      <c r="M4" s="3458" t="s">
        <v>3448</v>
      </c>
      <c r="N4" s="3458">
        <f ca="1">K4/K19</f>
        <v>0.93100000000000005</v>
      </c>
      <c r="O4">
        <f ca="1">K4*B4/10000</f>
        <v>564.23024630732095</v>
      </c>
      <c r="P4" s="3460">
        <f ca="1">E4/O4-1</f>
        <v>5.6962124776227308E-2</v>
      </c>
    </row>
    <row r="5" spans="1:16">
      <c r="B5">
        <f>SUM(B3:B4)</f>
        <v>376.36</v>
      </c>
      <c r="C5">
        <f ca="1">D5/B5*10000</f>
        <v>34878.83940907642</v>
      </c>
      <c r="D5">
        <f ca="1">SUM(D3:D4)</f>
        <v>1312.7</v>
      </c>
      <c r="E5">
        <f>SUM(E3:E4)</f>
        <v>1371.3600000000001</v>
      </c>
      <c r="F5" s="3459">
        <f t="shared" ca="1" si="0"/>
        <v>4.4686523958254121E-2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f ca="1">典型户型修正!R26</f>
        <v>39550</v>
      </c>
      <c r="D12">
        <f ca="1">ROUND(C12*B12/10000,2)</f>
        <v>798.71</v>
      </c>
      <c r="E12">
        <v>867.92</v>
      </c>
      <c r="F12" s="3459">
        <f ca="1">E12/D12-1</f>
        <v>8.6652226715578706E-2</v>
      </c>
      <c r="H12">
        <f ca="1">H19</f>
        <v>44300.5631536605</v>
      </c>
      <c r="I12">
        <f ca="1">I19</f>
        <v>33225.422365245373</v>
      </c>
      <c r="K12">
        <f t="shared" ref="K12:K13" ca="1" si="1">AVERAGE(H12:I12)</f>
        <v>38762.992759452936</v>
      </c>
      <c r="L12" s="3458" t="s">
        <v>3466</v>
      </c>
      <c r="M12" s="3458" t="s">
        <v>3448</v>
      </c>
      <c r="N12" s="3458">
        <f ca="1">K12/K19</f>
        <v>0.98</v>
      </c>
      <c r="O12">
        <f t="shared" ref="O12:O13" ca="1" si="2">K12*B12/10000</f>
        <v>782.81863877715193</v>
      </c>
      <c r="P12" s="3460">
        <f t="shared" ref="P12:P13" ca="1" si="3">E12/O12-1</f>
        <v>0.10871146521981845</v>
      </c>
    </row>
    <row r="13" spans="1:16">
      <c r="A13" s="3457" t="str">
        <f>典型户型修正!A27</f>
        <v>4-14</v>
      </c>
      <c r="B13">
        <f>典型户型修正!B27</f>
        <v>162.37</v>
      </c>
      <c r="C13">
        <f ca="1">典型户型修正!R27</f>
        <v>41116</v>
      </c>
      <c r="D13">
        <f ca="1">ROUND(C13*B13/10000,2)</f>
        <v>667.6</v>
      </c>
      <c r="E13">
        <v>709.24</v>
      </c>
      <c r="F13" s="3459">
        <f t="shared" ref="F13:F14" ca="1" si="4">E13/D13-1</f>
        <v>6.2372678250449454E-2</v>
      </c>
      <c r="H13">
        <f ca="1">H19</f>
        <v>44300.5631536605</v>
      </c>
      <c r="I13">
        <f ca="1">I19</f>
        <v>33225.422365245373</v>
      </c>
      <c r="K13">
        <f t="shared" ca="1" si="1"/>
        <v>38762.992759452936</v>
      </c>
      <c r="L13" s="3458" t="s">
        <v>3466</v>
      </c>
      <c r="M13" s="3458" t="s">
        <v>3448</v>
      </c>
      <c r="N13" s="3458">
        <f ca="1">K13/K19</f>
        <v>0.98</v>
      </c>
      <c r="O13">
        <f t="shared" ca="1" si="2"/>
        <v>629.39471343523735</v>
      </c>
      <c r="P13" s="3460">
        <f t="shared" ca="1" si="3"/>
        <v>0.1268604340970183</v>
      </c>
    </row>
    <row r="14" spans="1:16">
      <c r="B14">
        <f>SUM(B12:B13)</f>
        <v>364.32</v>
      </c>
      <c r="D14">
        <f ca="1">SUM(D12:D13)</f>
        <v>1466.31</v>
      </c>
      <c r="E14">
        <f>SUM(E12:E13)</f>
        <v>1577.1599999999999</v>
      </c>
      <c r="F14" s="3459">
        <f t="shared" ca="1" si="4"/>
        <v>7.5597929496491023E-2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f ca="1">典型户型修正!R24</f>
        <v>39554</v>
      </c>
      <c r="D19">
        <f ca="1">ROUND(C19*B19/10000,2)</f>
        <v>344.16</v>
      </c>
      <c r="E19">
        <v>364.95</v>
      </c>
      <c r="F19" s="3459">
        <f ca="1">E19/D19-1</f>
        <v>6.0407949790794779E-2</v>
      </c>
      <c r="H19">
        <f ca="1">D19*10000/(B19*4/7+I1*B19*3/7)</f>
        <v>44300.5631536605</v>
      </c>
      <c r="I19">
        <f ca="1">H19*I1</f>
        <v>33225.422365245373</v>
      </c>
      <c r="J19">
        <f ca="1">H19*J1</f>
        <v>28795.366049879325</v>
      </c>
      <c r="K19">
        <f ca="1">(H19*B19*4/7+I19*B19*3/7)/B19</f>
        <v>39554.074244339732</v>
      </c>
      <c r="L19" s="3458" t="s">
        <v>3466</v>
      </c>
      <c r="M19" s="3458" t="s">
        <v>3452</v>
      </c>
      <c r="O19">
        <f t="shared" ref="O19:O20" ca="1" si="5">K19*B19/10000</f>
        <v>344.16</v>
      </c>
      <c r="P19" s="3460">
        <f t="shared" ref="P19:P21" ca="1" si="6">E19/O19-1</f>
        <v>6.0407949790794779E-2</v>
      </c>
    </row>
    <row r="20" spans="1:16">
      <c r="A20" s="3457" t="str">
        <f>典型户型修正!A28</f>
        <v>10-2</v>
      </c>
      <c r="B20">
        <f>典型户型修正!B28</f>
        <v>141.19999999999999</v>
      </c>
      <c r="C20">
        <f ca="1">典型户型修正!R28</f>
        <v>37988</v>
      </c>
      <c r="D20">
        <f ca="1">ROUND(C20*B20/10000,2)</f>
        <v>536.39</v>
      </c>
      <c r="E20">
        <v>572.54</v>
      </c>
      <c r="F20" s="3459">
        <f t="shared" ref="F20" ca="1" si="7">E20/D20-1</f>
        <v>6.7394992449523627E-2</v>
      </c>
      <c r="H20">
        <f ca="1">H19</f>
        <v>44300.5631536605</v>
      </c>
      <c r="I20">
        <f ca="1">I19</f>
        <v>33225.422365245373</v>
      </c>
      <c r="K20">
        <f ca="1">(H20*0.6+I20)/1.6</f>
        <v>37378.600160901042</v>
      </c>
      <c r="L20" s="3458" t="s">
        <v>3466</v>
      </c>
      <c r="M20" s="3458" t="s">
        <v>3450</v>
      </c>
      <c r="N20" s="3458">
        <f ca="1">K20/K19</f>
        <v>0.94499999999999984</v>
      </c>
      <c r="O20">
        <f t="shared" ca="1" si="5"/>
        <v>527.78583427192268</v>
      </c>
      <c r="P20" s="3460">
        <f t="shared" ca="1" si="6"/>
        <v>8.4796072236033693E-2</v>
      </c>
    </row>
    <row r="21" spans="1:16">
      <c r="A21" s="3458" t="s">
        <v>3433</v>
      </c>
      <c r="B21">
        <f>219.43</f>
        <v>219.43</v>
      </c>
      <c r="C21">
        <f>[2]结果表!$C$32</f>
        <v>25328</v>
      </c>
      <c r="D21">
        <f>ROUND(C21*B21/10000,2)</f>
        <v>555.77</v>
      </c>
      <c r="E21">
        <v>627.62</v>
      </c>
      <c r="F21" s="3459">
        <f t="shared" ref="F21" si="8">E21/D21-1</f>
        <v>0.1292800978822175</v>
      </c>
      <c r="J21">
        <f ca="1">J19</f>
        <v>28795.366049879325</v>
      </c>
      <c r="K21">
        <f ca="1">J21</f>
        <v>28795.366049879325</v>
      </c>
      <c r="L21" s="3458" t="s">
        <v>3466</v>
      </c>
      <c r="N21">
        <f ca="1">K21/K19</f>
        <v>0.72799999999999998</v>
      </c>
      <c r="O21">
        <f ca="1">K21*B21/10000</f>
        <v>631.85671723250209</v>
      </c>
      <c r="P21" s="3460">
        <f t="shared" ca="1" si="6"/>
        <v>-6.7051866617144906E-3</v>
      </c>
    </row>
    <row r="22" spans="1:16">
      <c r="B22">
        <f>SUM(B19:B21)</f>
        <v>447.64</v>
      </c>
      <c r="D22">
        <f ca="1">SUM(D19:D21)</f>
        <v>1436.32</v>
      </c>
      <c r="E22">
        <f>SUM(E19:E21)</f>
        <v>1565.1100000000001</v>
      </c>
      <c r="F22" s="3459">
        <f t="shared" ref="F22:F23" ca="1" si="9">E22/D22-1</f>
        <v>8.9666648100702018E-2</v>
      </c>
    </row>
    <row r="23" spans="1:16">
      <c r="D23">
        <f ca="1">D5+D14+D22</f>
        <v>4215.33</v>
      </c>
      <c r="E23">
        <f>E5+E14+E22</f>
        <v>4513.63</v>
      </c>
      <c r="F23" s="3459">
        <f t="shared" ca="1" si="9"/>
        <v>7.0765515392626543E-2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6" sqref="A26:XFD27"/>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9" width="2.2187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8" t="s">
        <v>2084</v>
      </c>
      <c r="D1" s="3659"/>
      <c r="E1" s="3659"/>
      <c r="F1" s="3659"/>
      <c r="G1" s="3659"/>
      <c r="H1" s="3659"/>
      <c r="I1" s="3659"/>
      <c r="J1" s="3659"/>
      <c r="K1" s="3659"/>
      <c r="L1" s="3659"/>
      <c r="M1" s="3659"/>
      <c r="N1" s="3659"/>
      <c r="O1" s="3659"/>
      <c r="P1" s="3659"/>
      <c r="Q1" s="3659"/>
      <c r="R1" s="3659"/>
      <c r="S1" s="3660"/>
      <c r="T1" s="983" t="s">
        <v>2085</v>
      </c>
    </row>
    <row r="2" spans="1:45" s="655" customFormat="1" ht="39.6">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25.2">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8"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2" thickBot="1">
      <c r="A20" s="662" t="s">
        <v>2092</v>
      </c>
      <c r="B20" s="294">
        <f ca="1">IF(D20="——",S22,S22-F20)</f>
        <v>3660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6">
      <c r="A21" s="662" t="s">
        <v>2094</v>
      </c>
      <c r="B21" s="294">
        <f ca="1">ROUND(B20*10000/B22,0)</f>
        <v>37775</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5" t="s">
        <v>27</v>
      </c>
      <c r="D22" s="3656"/>
      <c r="E22" s="3656"/>
      <c r="F22" s="3656"/>
      <c r="G22" s="3656"/>
      <c r="H22" s="3656"/>
      <c r="I22" s="3656"/>
      <c r="J22" s="3656"/>
      <c r="K22" s="3656"/>
      <c r="L22" s="3656"/>
      <c r="M22" s="3656"/>
      <c r="N22" s="3656"/>
      <c r="O22" s="3656"/>
      <c r="P22" s="3656"/>
      <c r="Q22" s="3657"/>
      <c r="R22" s="663">
        <f ca="1">ROUND(S22*10000/B22,0)</f>
        <v>37775</v>
      </c>
      <c r="S22" s="21">
        <f ca="1">SUM(S24:S10000)</f>
        <v>3660</v>
      </c>
    </row>
    <row r="23" spans="1:45" s="9" customFormat="1" ht="52.8">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f ca="1">结果表!G20</f>
        <v>39554</v>
      </c>
      <c r="S24" s="666">
        <f t="shared" ref="S24:S54" ca="1" si="11">ROUND(R24*B24/10000,0)</f>
        <v>344</v>
      </c>
      <c r="T24" s="730">
        <f ca="1">S25+S29</f>
        <v>1313</v>
      </c>
      <c r="U24" s="730">
        <f>B25+B29</f>
        <v>376.36</v>
      </c>
      <c r="V24" s="730">
        <f ca="1">T24/U24</f>
        <v>3.4886810500584544</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f ca="1">IF(B25="",0,ROUND($R$24*C25*E25*G25*I25*K25*M25*O25*Q25,0))</f>
        <v>33419</v>
      </c>
      <c r="S25" s="316">
        <f t="shared" ca="1" si="11"/>
        <v>746</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f t="shared" ref="R26:R89" ca="1" si="20">IF(B26="",0,ROUND($R$24*C26*E26*G26*I26*K26*M26*O26*Q26,0))</f>
        <v>39550</v>
      </c>
      <c r="S26" s="316">
        <f t="shared" ca="1" si="11"/>
        <v>799</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f t="shared" ca="1" si="20"/>
        <v>41116</v>
      </c>
      <c r="S27" s="316">
        <f t="shared" ca="1" si="11"/>
        <v>668</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f t="shared" ca="1" si="20"/>
        <v>37988</v>
      </c>
      <c r="S28" s="316">
        <f t="shared" ca="1" si="11"/>
        <v>536</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f t="shared" ca="1" si="20"/>
        <v>37005</v>
      </c>
      <c r="S29" s="316">
        <f t="shared" ca="1" si="11"/>
        <v>567</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f>IF(E1="项目模式",IF(C2="——",ROUND(C49*D3/10000,0),ROUND(C49*D3/10000,0)-D2),IF(E1="单套模式",IF(C2="——",ROUND(C49*D3/10000,4),ROUND(C49*D3/10000,4)-D2)))</f>
        <v>394.12920000000003</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45297</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5" t="s">
        <v>1772</v>
      </c>
      <c r="AC4" s="3677" t="s">
        <v>1773</v>
      </c>
    </row>
    <row r="5" spans="1:29">
      <c r="A5" s="358"/>
      <c r="B5" s="359"/>
      <c r="C5" s="3703" t="s">
        <v>3412</v>
      </c>
      <c r="D5" s="3699"/>
      <c r="E5" s="3706" t="s">
        <v>3413</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5"/>
      <c r="AC5" s="3678"/>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5"/>
      <c r="AC6" s="3679"/>
    </row>
    <row r="7" spans="1:29" s="108" customFormat="1" ht="1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5"/>
      <c r="M7" s="2716"/>
      <c r="N7" s="2716"/>
      <c r="O7" s="2716"/>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700" t="s">
        <v>1683</v>
      </c>
      <c r="Q8" s="3701"/>
      <c r="R8" s="701" t="s">
        <v>14</v>
      </c>
      <c r="S8" s="702">
        <f t="shared" si="0"/>
        <v>102</v>
      </c>
      <c r="T8" s="701" t="s">
        <v>14</v>
      </c>
      <c r="U8" s="702">
        <f t="shared" si="1"/>
        <v>102</v>
      </c>
      <c r="V8" s="701" t="s">
        <v>14</v>
      </c>
      <c r="W8" s="702">
        <f t="shared" si="2"/>
        <v>102</v>
      </c>
      <c r="X8" s="703"/>
      <c r="Y8" s="3700" t="s">
        <v>1683</v>
      </c>
      <c r="Z8" s="3701"/>
      <c r="AA8" s="704">
        <f t="shared" ref="AA8:AA46" si="3">D8/F8</f>
        <v>0.98039215686274506</v>
      </c>
      <c r="AB8" s="704">
        <f t="shared" ref="AB8:AB46" si="4">D8/H8</f>
        <v>0.98039215686274506</v>
      </c>
      <c r="AC8" s="704">
        <f t="shared" ref="AC8:AC46" si="5">D8/J8</f>
        <v>0.98039215686274506</v>
      </c>
    </row>
    <row r="9" spans="1:29" s="108" customFormat="1" ht="14.4">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6" t="s">
        <v>1691</v>
      </c>
      <c r="Q15" s="1350" t="str">
        <f t="shared" si="6"/>
        <v>商业繁华度</v>
      </c>
      <c r="R15" s="705" t="s">
        <v>14</v>
      </c>
      <c r="S15" s="706">
        <f t="shared" si="0"/>
        <v>100</v>
      </c>
      <c r="T15" s="705" t="s">
        <v>14</v>
      </c>
      <c r="U15" s="706">
        <f t="shared" si="1"/>
        <v>100</v>
      </c>
      <c r="V15" s="705" t="s">
        <v>14</v>
      </c>
      <c r="W15" s="706">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67"/>
      <c r="Q16" s="1350"/>
      <c r="R16" s="705"/>
      <c r="S16" s="706"/>
      <c r="T16" s="705"/>
      <c r="U16" s="706"/>
      <c r="V16" s="705"/>
      <c r="W16" s="706"/>
      <c r="X16" s="1353"/>
      <c r="Y16" s="3669"/>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7"/>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67"/>
      <c r="Q18" s="1350"/>
      <c r="R18" s="705"/>
      <c r="S18" s="706"/>
      <c r="T18" s="705"/>
      <c r="U18" s="706"/>
      <c r="V18" s="705"/>
      <c r="W18" s="706"/>
      <c r="X18" s="1353"/>
      <c r="Y18" s="3669"/>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7"/>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67"/>
      <c r="Q20" s="1350"/>
      <c r="R20" s="705"/>
      <c r="S20" s="706"/>
      <c r="T20" s="705"/>
      <c r="U20" s="706"/>
      <c r="V20" s="705"/>
      <c r="W20" s="706"/>
      <c r="X20" s="1353"/>
      <c r="Y20" s="3669"/>
      <c r="Z20" s="1354"/>
      <c r="AA20" s="1351">
        <v>1</v>
      </c>
      <c r="AB20" s="1351">
        <v>1</v>
      </c>
      <c r="AC20" s="1351">
        <v>1</v>
      </c>
    </row>
    <row r="21" spans="1:29" ht="27.6">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67"/>
      <c r="Q22" s="1350"/>
      <c r="R22" s="705"/>
      <c r="S22" s="706"/>
      <c r="T22" s="705"/>
      <c r="U22" s="706"/>
      <c r="V22" s="705"/>
      <c r="W22" s="706"/>
      <c r="X22" s="1353"/>
      <c r="Y22" s="3669"/>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7"/>
      <c r="Q23" s="1350" t="str">
        <f>B23</f>
        <v>自然及人文环境</v>
      </c>
      <c r="R23" s="705" t="s">
        <v>14</v>
      </c>
      <c r="S23" s="706">
        <f>F23</f>
        <v>100</v>
      </c>
      <c r="T23" s="705" t="s">
        <v>14</v>
      </c>
      <c r="U23" s="706">
        <f>H23</f>
        <v>100</v>
      </c>
      <c r="V23" s="705" t="s">
        <v>14</v>
      </c>
      <c r="W23" s="706">
        <f>J23</f>
        <v>100</v>
      </c>
      <c r="X23" s="1353"/>
      <c r="Y23" s="3669"/>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67"/>
      <c r="Q24" s="1350"/>
      <c r="R24" s="705"/>
      <c r="S24" s="706"/>
      <c r="T24" s="705"/>
      <c r="U24" s="706"/>
      <c r="V24" s="705"/>
      <c r="W24" s="706"/>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7"/>
      <c r="Q25" s="1350" t="str">
        <f t="shared" ref="Q25:Q46" si="11">B25</f>
        <v>临街状况</v>
      </c>
      <c r="R25" s="705" t="s">
        <v>14</v>
      </c>
      <c r="S25" s="706">
        <f>F25</f>
        <v>100</v>
      </c>
      <c r="T25" s="705" t="s">
        <v>14</v>
      </c>
      <c r="U25" s="706">
        <f>H25</f>
        <v>100</v>
      </c>
      <c r="V25" s="705" t="s">
        <v>14</v>
      </c>
      <c r="W25" s="706">
        <f>J25</f>
        <v>100</v>
      </c>
      <c r="X25" s="1353"/>
      <c r="Y25" s="3669"/>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7"/>
      <c r="Q26" s="1350" t="str">
        <f t="shared" si="11"/>
        <v>平面位置/可视性</v>
      </c>
      <c r="R26" s="705" t="s">
        <v>14</v>
      </c>
      <c r="S26" s="706">
        <f>F26</f>
        <v>100</v>
      </c>
      <c r="T26" s="705" t="s">
        <v>14</v>
      </c>
      <c r="U26" s="706">
        <f>H26</f>
        <v>100</v>
      </c>
      <c r="V26" s="705" t="s">
        <v>14</v>
      </c>
      <c r="W26" s="706">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67"/>
      <c r="Q27" s="1341" t="str">
        <f t="shared" si="11"/>
        <v>人流量</v>
      </c>
      <c r="R27" s="701" t="s">
        <v>14</v>
      </c>
      <c r="S27" s="702">
        <f>F27</f>
        <v>100</v>
      </c>
      <c r="T27" s="701" t="s">
        <v>14</v>
      </c>
      <c r="U27" s="702">
        <f>H27</f>
        <v>100</v>
      </c>
      <c r="V27" s="701" t="s">
        <v>14</v>
      </c>
      <c r="W27" s="702">
        <f>J27</f>
        <v>100</v>
      </c>
      <c r="X27" s="703"/>
      <c r="Y27" s="3669"/>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67"/>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69"/>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7"/>
      <c r="Q29" s="1350">
        <f t="shared" si="11"/>
        <v>111</v>
      </c>
      <c r="R29" s="705" t="s">
        <v>14</v>
      </c>
      <c r="S29" s="706">
        <f t="shared" si="12"/>
        <v>100</v>
      </c>
      <c r="T29" s="705" t="s">
        <v>14</v>
      </c>
      <c r="U29" s="706">
        <f t="shared" si="13"/>
        <v>100</v>
      </c>
      <c r="V29" s="705" t="s">
        <v>14</v>
      </c>
      <c r="W29" s="706">
        <f t="shared" si="14"/>
        <v>100</v>
      </c>
      <c r="X29" s="1353"/>
      <c r="Y29" s="3669"/>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351">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5" t="s">
        <v>14</v>
      </c>
      <c r="S32" s="706">
        <f t="shared" si="12"/>
        <v>100</v>
      </c>
      <c r="T32" s="705" t="s">
        <v>14</v>
      </c>
      <c r="U32" s="706">
        <f t="shared" si="13"/>
        <v>100</v>
      </c>
      <c r="V32" s="705" t="s">
        <v>14</v>
      </c>
      <c r="W32" s="706">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671"/>
      <c r="Q33" s="707" t="str">
        <f t="shared" si="11"/>
        <v>项目建筑规模</v>
      </c>
      <c r="R33" s="708" t="s">
        <v>14</v>
      </c>
      <c r="S33" s="709">
        <f t="shared" si="12"/>
        <v>100</v>
      </c>
      <c r="T33" s="708" t="s">
        <v>14</v>
      </c>
      <c r="U33" s="709">
        <f t="shared" si="13"/>
        <v>101</v>
      </c>
      <c r="V33" s="708" t="s">
        <v>14</v>
      </c>
      <c r="W33" s="709">
        <f t="shared" si="14"/>
        <v>101</v>
      </c>
      <c r="X33" s="710"/>
      <c r="Y33" s="3673"/>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671"/>
      <c r="Q34" s="1350" t="str">
        <f t="shared" si="11"/>
        <v>建筑结构</v>
      </c>
      <c r="R34" s="705" t="s">
        <v>14</v>
      </c>
      <c r="S34" s="706">
        <f t="shared" si="12"/>
        <v>100</v>
      </c>
      <c r="T34" s="705" t="s">
        <v>14</v>
      </c>
      <c r="U34" s="706">
        <f t="shared" si="13"/>
        <v>100</v>
      </c>
      <c r="V34" s="705" t="s">
        <v>14</v>
      </c>
      <c r="W34" s="706">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5" t="s">
        <v>14</v>
      </c>
      <c r="S35" s="706">
        <f t="shared" si="12"/>
        <v>100</v>
      </c>
      <c r="T35" s="705" t="s">
        <v>14</v>
      </c>
      <c r="U35" s="706">
        <f t="shared" si="13"/>
        <v>100</v>
      </c>
      <c r="V35" s="705" t="s">
        <v>14</v>
      </c>
      <c r="W35" s="706">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71"/>
      <c r="Q36" s="1350" t="str">
        <f t="shared" si="11"/>
        <v>成新度</v>
      </c>
      <c r="R36" s="705" t="s">
        <v>14</v>
      </c>
      <c r="S36" s="706">
        <f t="shared" si="12"/>
        <v>100</v>
      </c>
      <c r="T36" s="705" t="s">
        <v>14</v>
      </c>
      <c r="U36" s="706">
        <f t="shared" si="13"/>
        <v>100</v>
      </c>
      <c r="V36" s="705" t="s">
        <v>14</v>
      </c>
      <c r="W36" s="706">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5" t="s">
        <v>14</v>
      </c>
      <c r="S38" s="706">
        <f t="shared" si="12"/>
        <v>100</v>
      </c>
      <c r="T38" s="705" t="s">
        <v>14</v>
      </c>
      <c r="U38" s="706">
        <f t="shared" si="13"/>
        <v>100</v>
      </c>
      <c r="V38" s="705" t="s">
        <v>14</v>
      </c>
      <c r="W38" s="706">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5" t="s">
        <v>14</v>
      </c>
      <c r="S39" s="706">
        <f t="shared" si="12"/>
        <v>100</v>
      </c>
      <c r="T39" s="705" t="s">
        <v>14</v>
      </c>
      <c r="U39" s="706">
        <f t="shared" si="13"/>
        <v>100</v>
      </c>
      <c r="V39" s="705" t="s">
        <v>14</v>
      </c>
      <c r="W39" s="706">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5" t="s">
        <v>14</v>
      </c>
      <c r="S40" s="706">
        <f t="shared" si="12"/>
        <v>100</v>
      </c>
      <c r="T40" s="705" t="s">
        <v>14</v>
      </c>
      <c r="U40" s="706">
        <f t="shared" si="13"/>
        <v>100</v>
      </c>
      <c r="V40" s="705" t="s">
        <v>14</v>
      </c>
      <c r="W40" s="706">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5" t="s">
        <v>14</v>
      </c>
      <c r="S42" s="706">
        <f t="shared" si="12"/>
        <v>100</v>
      </c>
      <c r="T42" s="705" t="s">
        <v>14</v>
      </c>
      <c r="U42" s="706">
        <f t="shared" si="13"/>
        <v>100</v>
      </c>
      <c r="V42" s="705" t="s">
        <v>14</v>
      </c>
      <c r="W42" s="706">
        <f t="shared" si="14"/>
        <v>100</v>
      </c>
      <c r="X42" s="1353"/>
      <c r="Y42" s="3673"/>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5" t="s">
        <v>14</v>
      </c>
      <c r="S43" s="706">
        <f t="shared" si="12"/>
        <v>100</v>
      </c>
      <c r="T43" s="705" t="s">
        <v>14</v>
      </c>
      <c r="U43" s="706">
        <f t="shared" si="13"/>
        <v>100</v>
      </c>
      <c r="V43" s="705" t="s">
        <v>14</v>
      </c>
      <c r="W43" s="706">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5" t="s">
        <v>14</v>
      </c>
      <c r="S45" s="706">
        <f t="shared" si="12"/>
        <v>100</v>
      </c>
      <c r="T45" s="705" t="s">
        <v>14</v>
      </c>
      <c r="U45" s="706">
        <f t="shared" si="13"/>
        <v>100</v>
      </c>
      <c r="V45" s="705" t="s">
        <v>14</v>
      </c>
      <c r="W45" s="706">
        <f t="shared" si="14"/>
        <v>100</v>
      </c>
      <c r="X45" s="1353"/>
      <c r="Y45" s="3673"/>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5" t="s">
        <v>14</v>
      </c>
      <c r="S46" s="706">
        <f t="shared" si="12"/>
        <v>100</v>
      </c>
      <c r="T46" s="705" t="s">
        <v>14</v>
      </c>
      <c r="U46" s="706">
        <f t="shared" si="13"/>
        <v>100</v>
      </c>
      <c r="V46" s="705" t="s">
        <v>14</v>
      </c>
      <c r="W46" s="706">
        <f t="shared" si="14"/>
        <v>100</v>
      </c>
      <c r="X46" s="1353"/>
      <c r="Y46" s="3674"/>
      <c r="Z46" s="1354">
        <f t="shared" si="15"/>
        <v>111</v>
      </c>
      <c r="AA46" s="1351">
        <f t="shared" si="3"/>
        <v>1</v>
      </c>
      <c r="AB46" s="1351">
        <f t="shared" si="4"/>
        <v>1</v>
      </c>
      <c r="AC46" s="1351">
        <f t="shared" si="5"/>
        <v>1</v>
      </c>
    </row>
    <row r="47" spans="1:29" ht="14.4">
      <c r="A47" s="430" t="s">
        <v>1708</v>
      </c>
      <c r="B47" s="431"/>
      <c r="C47" s="1153" t="s">
        <v>0</v>
      </c>
      <c r="D47" s="1154"/>
      <c r="E47" s="1155">
        <v>53725</v>
      </c>
      <c r="F47" s="1156"/>
      <c r="G47" s="1157">
        <v>48656</v>
      </c>
      <c r="H47" s="1158"/>
      <c r="I47" s="1155">
        <v>53878</v>
      </c>
      <c r="J47" s="1158"/>
      <c r="K47" s="714"/>
      <c r="L47" s="2722"/>
      <c r="M47" s="2723"/>
      <c r="N47" s="2714"/>
      <c r="O47" s="2723"/>
      <c r="P47" s="3661" t="str">
        <f>A47</f>
        <v>成交单价（元/平方米）</v>
      </c>
      <c r="Q47" s="3661"/>
      <c r="R47" s="3675">
        <f>E47</f>
        <v>53725</v>
      </c>
      <c r="S47" s="3675"/>
      <c r="T47" s="3675">
        <f>G47</f>
        <v>48656</v>
      </c>
      <c r="U47" s="3675"/>
      <c r="V47" s="3675">
        <f>I47</f>
        <v>53878</v>
      </c>
      <c r="W47" s="3675"/>
      <c r="X47" s="690"/>
      <c r="Y47" s="712"/>
      <c r="Z47" s="690"/>
      <c r="AA47" s="690"/>
      <c r="AB47" s="690"/>
      <c r="AC47" s="690"/>
    </row>
    <row r="48" spans="1:29" ht="15" thickBot="1">
      <c r="A48" s="437" t="s">
        <v>1793</v>
      </c>
      <c r="B48" s="438"/>
      <c r="C48" s="1159">
        <f>R49</f>
        <v>45297</v>
      </c>
      <c r="D48" s="2315" t="s">
        <v>2133</v>
      </c>
      <c r="E48" s="1160">
        <f>R48</f>
        <v>47028</v>
      </c>
      <c r="F48" s="2316"/>
      <c r="G48" s="1159">
        <f>T48</f>
        <v>42169</v>
      </c>
      <c r="H48" s="2316"/>
      <c r="I48" s="1160">
        <f>V48</f>
        <v>46695</v>
      </c>
      <c r="J48" s="2316"/>
      <c r="K48" s="2318">
        <f>F48+H48+J48</f>
        <v>0</v>
      </c>
      <c r="L48" s="2722"/>
      <c r="M48" s="2723"/>
      <c r="N48" s="2714"/>
      <c r="O48" s="2723"/>
      <c r="P48" s="3661" t="str">
        <f>A48</f>
        <v>比较价值（元/平方米）</v>
      </c>
      <c r="Q48" s="3661"/>
      <c r="R48" s="3662">
        <f>IF(F1="售价",ROUND(PRODUCT(R47,AA7:AA46),0),ROUND(PRODUCT(R47,AA7:AA46),1))</f>
        <v>47028</v>
      </c>
      <c r="S48" s="3662"/>
      <c r="T48" s="3662">
        <f>IF(F1="售价",ROUND(PRODUCT(T47,AB7:AB46),0),ROUND(PRODUCT(T47,AB7:AB46),1))</f>
        <v>42169</v>
      </c>
      <c r="U48" s="3662"/>
      <c r="V48" s="3662">
        <f>IF(F1="售价",ROUND(PRODUCT(V47,AC7:AC46),0),ROUND(PRODUCT(V47,AC7:AC46),1))</f>
        <v>46695</v>
      </c>
      <c r="W48" s="3662"/>
      <c r="X48" s="690"/>
      <c r="Y48" s="690"/>
      <c r="Z48" s="690"/>
      <c r="AA48" s="690"/>
      <c r="AB48" s="690"/>
      <c r="AC48" s="690"/>
    </row>
    <row r="49" spans="1:29" ht="15" thickBot="1">
      <c r="A49" s="441" t="s">
        <v>1794</v>
      </c>
      <c r="B49" s="442"/>
      <c r="C49" s="1162">
        <f>R49</f>
        <v>45297</v>
      </c>
      <c r="D49" s="1162"/>
      <c r="E49" s="1162"/>
      <c r="F49" s="1162"/>
      <c r="G49" s="1162"/>
      <c r="H49" s="1162"/>
      <c r="I49" s="1162"/>
      <c r="J49" s="1162"/>
      <c r="K49" s="715"/>
      <c r="L49" s="2722"/>
      <c r="M49" s="2723"/>
      <c r="N49" s="2714"/>
      <c r="O49" s="2723"/>
      <c r="P49" s="3663" t="str">
        <f>A49</f>
        <v>估价对象XX用房的比较价值（楼面单价，元/平方米）</v>
      </c>
      <c r="Q49" s="3664"/>
      <c r="R49" s="3665">
        <f>IF(F1="售价",ROUND(IF(D48="简单平均",AVERAGE(R48:V48),R48*F48+T48*H48+V48*J48),0),ROUND(IF(D48="简单平均",AVERAGE(R48:V48),R48*F48+T48*H48+V48*J48),1))</f>
        <v>45297</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0.14240452496385125</v>
      </c>
      <c r="F52" s="449" t="str">
        <f>IF(OR(E52&gt;=0.3,E52&lt;=-0.3),"超过30%","")</f>
        <v/>
      </c>
      <c r="G52" s="448">
        <f>IF(G47&lt;G48,G48/G47-1,G47/G48-1)</f>
        <v>0.1538333847138893</v>
      </c>
      <c r="H52" s="449" t="str">
        <f>IF(OR(G52&gt;=0.3,G52&lt;=-0.3),"超过30%","")</f>
        <v/>
      </c>
      <c r="I52" s="448">
        <f>IF(I47&lt;I48,I48/I47-1,I47/I48-1)</f>
        <v>0.15382803297997638</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0.11522682539306128</v>
      </c>
      <c r="F53" s="449" t="str">
        <f>IF(OR(E53&gt;=0.2,E53&lt;=-0.2),"超过20%","")</f>
        <v/>
      </c>
      <c r="G53" s="448">
        <f>IF(G48&lt;I48,I48/G48-1,G48/I48-1)</f>
        <v>0.10733002916834633</v>
      </c>
      <c r="H53" s="449" t="str">
        <f>IF(OR(G53&gt;=0.2,G53&lt;=-0.2),"超过20%","")</f>
        <v/>
      </c>
      <c r="I53" s="448">
        <f>IF(I48&lt;E48,E48/I48-1,I48/E48-1)</f>
        <v>7.131384516543493E-3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t="s">
        <v>673</v>
      </c>
      <c r="D1" s="1360" t="s">
        <v>43</v>
      </c>
      <c r="E1" s="1361" t="s">
        <v>678</v>
      </c>
      <c r="F1" s="1061">
        <f ca="1">J53</f>
        <v>30.78</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227.5557</v>
      </c>
      <c r="C2" s="1385" t="s">
        <v>879</v>
      </c>
      <c r="D2" s="1469">
        <f ca="1">C40+J29+L46</f>
        <v>2275557</v>
      </c>
      <c r="E2" s="1386" t="s">
        <v>880</v>
      </c>
      <c r="F2" s="1387"/>
      <c r="G2" s="2704"/>
      <c r="H2" s="2693"/>
      <c r="I2" s="2693"/>
      <c r="J2" s="2693"/>
      <c r="K2" s="2694"/>
      <c r="L2" s="2693"/>
      <c r="M2" s="2693"/>
    </row>
    <row r="3" spans="1:37" ht="18" customHeight="1" thickBot="1">
      <c r="A3" s="1388" t="s">
        <v>881</v>
      </c>
      <c r="B3" s="1389">
        <f ca="1">IF(ISERROR(D2/F43),0,ROUND(D2/F43,0))</f>
        <v>26153</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2" t="s">
        <v>694</v>
      </c>
      <c r="C6" s="1073">
        <f ca="1">ROUND(F6*F8*F7*(1-F9),0)</f>
        <v>142914</v>
      </c>
      <c r="D6" s="155" t="s">
        <v>2101</v>
      </c>
      <c r="E6" s="302" t="s">
        <v>696</v>
      </c>
      <c r="F6" s="303">
        <f ca="1">INDIRECT("'数据-取费表'!u"&amp;$G$1)</f>
        <v>5</v>
      </c>
      <c r="G6" s="1382"/>
      <c r="H6" s="1068" t="s">
        <v>398</v>
      </c>
      <c r="I6" s="3652" t="s">
        <v>694</v>
      </c>
      <c r="J6" s="301">
        <f ca="1">ROUND(M6*M8*M7*(1-M9),0)</f>
        <v>0</v>
      </c>
      <c r="K6" s="1374" t="s">
        <v>2102</v>
      </c>
      <c r="L6" s="302" t="s">
        <v>696</v>
      </c>
      <c r="M6" s="303">
        <f ca="1">INDIRECT("'数据-取费表'!z"&amp;$G$1)</f>
        <v>0</v>
      </c>
    </row>
    <row r="7" spans="1:37" ht="18" customHeight="1">
      <c r="A7" s="1072"/>
      <c r="B7" s="3653"/>
      <c r="C7" s="1074"/>
      <c r="D7" s="307"/>
      <c r="E7" s="1075" t="s">
        <v>697</v>
      </c>
      <c r="F7" s="303">
        <f ca="1">IF(INDIRECT("'数据-取费表'!ah"&amp;$G$1)="",INDIRECT("'数据-取费表'!k"&amp;$G$1),INDIRECT("'数据-取费表'!ah"&amp;$G$1))</f>
        <v>87.01</v>
      </c>
      <c r="G7" s="1382"/>
      <c r="H7" s="304"/>
      <c r="I7" s="3653"/>
      <c r="J7" s="306"/>
      <c r="K7" s="307"/>
      <c r="L7" s="302" t="s">
        <v>697</v>
      </c>
      <c r="M7" s="303">
        <f ca="1">F7</f>
        <v>87.01</v>
      </c>
    </row>
    <row r="8" spans="1:37" ht="18" customHeight="1">
      <c r="A8" s="304"/>
      <c r="B8" s="3653"/>
      <c r="C8" s="306"/>
      <c r="D8" s="307"/>
      <c r="E8" s="302" t="s">
        <v>698</v>
      </c>
      <c r="F8" s="303">
        <f ca="1">INDIRECT("'数据-取费表'!ai"&amp;$G$1)</f>
        <v>365</v>
      </c>
      <c r="G8" s="1382"/>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2"/>
      <c r="H9" s="304"/>
      <c r="I9" s="3654"/>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2250149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30.78</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25861</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-230.4726</v>
      </c>
      <c r="D45" s="3430" t="s">
        <v>3352</v>
      </c>
      <c r="E45" s="1398"/>
      <c r="F45" s="1398"/>
      <c r="O45" s="1401" t="s">
        <v>808</v>
      </c>
      <c r="P45" s="1459"/>
      <c r="Q45" s="1459"/>
      <c r="R45" s="1459"/>
    </row>
    <row r="46" spans="1:18" s="1382" customFormat="1" ht="13.8" thickBot="1">
      <c r="A46" s="1402" t="s">
        <v>809</v>
      </c>
      <c r="C46" s="1403">
        <f ca="1">ROUND(C45,0)</f>
        <v>-230</v>
      </c>
      <c r="D46" s="1404" t="str">
        <f>C2</f>
        <v>万元</v>
      </c>
      <c r="I46" s="1405" t="s">
        <v>810</v>
      </c>
      <c r="J46" s="1406"/>
      <c r="K46" s="1407"/>
      <c r="L46" s="1408">
        <f ca="1">IF(M47="住宅",0,IF(L48&gt;J51,L60,J60))</f>
        <v>25408</v>
      </c>
      <c r="O46" s="1409" t="s">
        <v>811</v>
      </c>
      <c r="P46" s="1410" t="s">
        <v>812</v>
      </c>
      <c r="Q46" s="1411" t="s">
        <v>813</v>
      </c>
      <c r="R46" s="1411" t="s">
        <v>814</v>
      </c>
    </row>
    <row r="47" spans="1:18" s="1382" customFormat="1" ht="13.8"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2250149</v>
      </c>
      <c r="R47" s="1418" t="s">
        <v>818</v>
      </c>
    </row>
    <row r="48" spans="1:18" s="1382" customFormat="1" ht="40.200000000000003" thickBot="1">
      <c r="A48" s="1109" t="s">
        <v>438</v>
      </c>
      <c r="B48" s="300" t="s">
        <v>692</v>
      </c>
      <c r="C48" s="1357">
        <f ca="1">C49+C53+C55</f>
        <v>0</v>
      </c>
      <c r="D48" s="1111"/>
      <c r="E48" s="1112"/>
      <c r="F48" s="962"/>
      <c r="G48" s="722"/>
      <c r="H48" s="723"/>
      <c r="I48" s="1419" t="s">
        <v>819</v>
      </c>
      <c r="J48" s="1420" t="s">
        <v>3418</v>
      </c>
      <c r="K48" s="1421" t="s">
        <v>820</v>
      </c>
      <c r="L48" s="1422">
        <f ca="1">INDIRECT("'数据-取费表'!f"&amp;$G$1)</f>
        <v>30.78</v>
      </c>
      <c r="O48" s="1416" t="s">
        <v>404</v>
      </c>
      <c r="P48" s="1417" t="s">
        <v>821</v>
      </c>
      <c r="Q48" s="1418">
        <f ca="1">J60</f>
        <v>25408</v>
      </c>
      <c r="R48" s="1418" t="s">
        <v>822</v>
      </c>
    </row>
    <row r="49" spans="1:18" s="1382" customFormat="1" ht="13.8"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8"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8" thickBot="1">
      <c r="A51" s="977"/>
      <c r="B51" s="979"/>
      <c r="C51" s="980"/>
      <c r="D51" s="953"/>
      <c r="E51" s="981" t="s">
        <v>698</v>
      </c>
      <c r="F51" s="303">
        <f ca="1">F8</f>
        <v>365</v>
      </c>
      <c r="I51" s="1430" t="s">
        <v>829</v>
      </c>
      <c r="J51" s="1431">
        <f>IF(J49="",J50,J49+J50-YEAR('数据-取费表'!B2))</f>
        <v>55</v>
      </c>
      <c r="K51" s="1432" t="s">
        <v>830</v>
      </c>
      <c r="L51" s="1433">
        <f ca="1">ROUND(-PV(INDIRECT("'数据-取费表'!h"&amp;$G$1),J51,(C39-C13*C76),0),0)</f>
        <v>1438293</v>
      </c>
      <c r="M51" s="1434"/>
      <c r="O51" s="1426" t="s">
        <v>407</v>
      </c>
      <c r="P51" s="1417" t="s">
        <v>831</v>
      </c>
      <c r="Q51" s="1429">
        <f>J52</f>
        <v>7.4999999999999997E-2</v>
      </c>
      <c r="R51" s="1418"/>
    </row>
    <row r="52" spans="1:18" s="1382" customFormat="1" ht="13.8" thickBot="1">
      <c r="A52" s="977"/>
      <c r="B52" s="979"/>
      <c r="C52" s="980"/>
      <c r="D52" s="953"/>
      <c r="E52" s="981" t="s">
        <v>699</v>
      </c>
      <c r="F52" s="1053"/>
      <c r="I52" s="1435" t="s">
        <v>832</v>
      </c>
      <c r="J52" s="1436">
        <v>7.4999999999999997E-2</v>
      </c>
      <c r="K52" s="1435" t="s">
        <v>833</v>
      </c>
      <c r="L52" s="1436"/>
      <c r="O52" s="1426" t="s">
        <v>408</v>
      </c>
      <c r="P52" s="1417" t="s">
        <v>834</v>
      </c>
      <c r="Q52" s="1418">
        <f ca="1">J53</f>
        <v>30.78</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30.78</v>
      </c>
      <c r="K53" s="3650" t="s">
        <v>837</v>
      </c>
      <c r="L53" s="3651"/>
      <c r="O53" s="1416" t="s">
        <v>409</v>
      </c>
      <c r="P53" s="1417" t="s">
        <v>838</v>
      </c>
      <c r="Q53" s="1418">
        <f ca="1">Q47+Q48</f>
        <v>2275557</v>
      </c>
      <c r="R53" s="1418" t="s">
        <v>410</v>
      </c>
    </row>
    <row r="54" spans="1:18" s="1382" customFormat="1" ht="13.8"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2250149</v>
      </c>
      <c r="R56" s="1418" t="s">
        <v>818</v>
      </c>
    </row>
    <row r="57" spans="1:18" s="1382" customFormat="1" ht="24.6" thickBot="1">
      <c r="A57" s="1449"/>
      <c r="B57" s="950" t="s">
        <v>767</v>
      </c>
      <c r="C57" s="238">
        <f ca="1">C29</f>
        <v>582567</v>
      </c>
      <c r="D57" s="1450"/>
      <c r="E57" s="1451"/>
      <c r="F57" s="1452"/>
      <c r="I57" s="1453" t="s">
        <v>844</v>
      </c>
      <c r="J57" s="1454">
        <f ca="1">IF(OR(M47="住宅",J51&lt;L48,J56="是"),"——",J51-L48)</f>
        <v>24.22</v>
      </c>
      <c r="K57" s="1419" t="s">
        <v>892</v>
      </c>
      <c r="L57" s="1422" t="str">
        <f ca="1">IF(L48&lt;J51,"——",IF(L55="比较法",L49,IF(L55="基准地价",L50,L51)))</f>
        <v>——</v>
      </c>
      <c r="O57" s="1416" t="s">
        <v>404</v>
      </c>
      <c r="P57" s="1417" t="s">
        <v>893</v>
      </c>
      <c r="Q57" s="1418">
        <f ca="1">L60</f>
        <v>0</v>
      </c>
      <c r="R57" s="1418" t="s">
        <v>894</v>
      </c>
    </row>
    <row r="58" spans="1:18" s="1382" customFormat="1" ht="24.6" thickBot="1">
      <c r="A58" s="315" t="s">
        <v>393</v>
      </c>
      <c r="B58" s="958" t="s">
        <v>714</v>
      </c>
      <c r="C58" s="316">
        <f ca="1">ROUND(C59+C64+C65+C66,0)</f>
        <v>3717</v>
      </c>
      <c r="D58" s="960" t="s">
        <v>715</v>
      </c>
      <c r="E58" s="961"/>
      <c r="F58" s="962"/>
      <c r="I58" s="1453" t="s">
        <v>848</v>
      </c>
      <c r="J58" s="1455">
        <f ca="1">IF(J55&lt;0.4,0.4,J55)</f>
        <v>0.40400000000000003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235357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25408</v>
      </c>
      <c r="K60" s="1458" t="s">
        <v>854</v>
      </c>
      <c r="L60" s="1457">
        <f ca="1">IF(OR(M47="住宅",L48&lt;J51),0,ROUND(L57*(L58/L59-1),0))</f>
        <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2250149</v>
      </c>
      <c r="R62" s="1418" t="s">
        <v>410</v>
      </c>
    </row>
    <row r="63" spans="1:18" s="1382" customFormat="1" ht="13.8"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2250149</v>
      </c>
      <c r="R65" s="1418" t="s">
        <v>818</v>
      </c>
    </row>
    <row r="66" spans="1:18" s="1382" customFormat="1" ht="16.2"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24.6" thickBot="1">
      <c r="A67" s="957" t="s">
        <v>394</v>
      </c>
      <c r="B67" s="967" t="s">
        <v>752</v>
      </c>
      <c r="C67" s="316">
        <f ca="1">C48-C58</f>
        <v>-3717</v>
      </c>
      <c r="D67" s="963" t="s">
        <v>753</v>
      </c>
      <c r="E67" s="968"/>
      <c r="F67" s="969"/>
      <c r="O67" s="1426" t="s">
        <v>405</v>
      </c>
      <c r="P67" s="1417" t="s">
        <v>850</v>
      </c>
      <c r="Q67" s="1464">
        <f ca="1">L51</f>
        <v>1438293</v>
      </c>
      <c r="R67" s="1418" t="s">
        <v>870</v>
      </c>
    </row>
    <row r="68" spans="1:18" s="1382" customFormat="1" ht="16.2" thickBot="1">
      <c r="A68" s="947" t="s">
        <v>395</v>
      </c>
      <c r="B68" s="948" t="s">
        <v>774</v>
      </c>
      <c r="C68" s="301">
        <f ca="1">ROUND(C67*(1-((1+F70)/(1+F68))^F69)/(F68-F70),0)</f>
        <v>-54577</v>
      </c>
      <c r="D68" s="965" t="s">
        <v>758</v>
      </c>
      <c r="E68" s="950" t="s">
        <v>759</v>
      </c>
      <c r="F68" s="312">
        <f ca="1">F40</f>
        <v>5.5E-2</v>
      </c>
      <c r="O68" s="1426" t="s">
        <v>406</v>
      </c>
      <c r="P68" s="1465" t="s">
        <v>871</v>
      </c>
      <c r="Q68" s="1418">
        <f ca="1">ROUND(Q69-Q70*Q71,0)</f>
        <v>77189</v>
      </c>
      <c r="R68" s="1418" t="s">
        <v>414</v>
      </c>
    </row>
    <row r="69" spans="1:18" s="1382" customFormat="1" ht="13.8" thickBot="1">
      <c r="A69" s="951"/>
      <c r="B69" s="952"/>
      <c r="C69" s="306"/>
      <c r="D69" s="970" t="s">
        <v>762</v>
      </c>
      <c r="E69" s="950" t="s">
        <v>763</v>
      </c>
      <c r="F69" s="333">
        <f ca="1">F41</f>
        <v>30.78</v>
      </c>
      <c r="O69" s="1426" t="s">
        <v>411</v>
      </c>
      <c r="P69" s="1465" t="s">
        <v>872</v>
      </c>
      <c r="Q69" s="1418">
        <f ca="1">C39</f>
        <v>114706</v>
      </c>
      <c r="R69" s="1418" t="s">
        <v>818</v>
      </c>
    </row>
    <row r="70" spans="1:18" s="1382" customFormat="1" ht="13.8" thickBot="1">
      <c r="A70" s="954"/>
      <c r="B70" s="955"/>
      <c r="C70" s="310"/>
      <c r="D70" s="966"/>
      <c r="E70" s="950" t="s">
        <v>766</v>
      </c>
      <c r="F70" s="1053"/>
      <c r="O70" s="1426" t="s">
        <v>412</v>
      </c>
      <c r="P70" s="1465" t="s">
        <v>873</v>
      </c>
      <c r="Q70" s="1418">
        <f ca="1">C13</f>
        <v>535962</v>
      </c>
      <c r="R70" s="1418" t="s">
        <v>818</v>
      </c>
    </row>
    <row r="71" spans="1:18" s="1382" customFormat="1" ht="13.8" thickBot="1">
      <c r="A71" s="971" t="s">
        <v>396</v>
      </c>
      <c r="B71" s="972" t="s">
        <v>776</v>
      </c>
      <c r="C71" s="336">
        <f ca="1">ROUND(C68/F71,0)</f>
        <v>-627</v>
      </c>
      <c r="D71" s="973" t="s">
        <v>777</v>
      </c>
      <c r="E71" s="974" t="s">
        <v>778</v>
      </c>
      <c r="F71" s="339">
        <f ca="1">F43</f>
        <v>87.01</v>
      </c>
      <c r="O71" s="1426" t="s">
        <v>413</v>
      </c>
      <c r="P71" s="1465" t="s">
        <v>874</v>
      </c>
      <c r="Q71" s="1429">
        <f ca="1">C76</f>
        <v>7.0000000000000007E-2</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37517</v>
      </c>
      <c r="D75" s="1382"/>
      <c r="E75" s="1382"/>
      <c r="F75" s="1382"/>
      <c r="K75" s="1400"/>
      <c r="L75" s="1382"/>
      <c r="O75" s="1416" t="s">
        <v>409</v>
      </c>
      <c r="P75" s="1417" t="s">
        <v>838</v>
      </c>
      <c r="Q75" s="1418">
        <f ca="1">Q65+Q66</f>
        <v>2250149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2" customHeight="1">
      <c r="A2" s="1383" t="s">
        <v>2314</v>
      </c>
      <c r="B2" s="2841" t="e">
        <f>IF(D2="——",C40,C40+E2)</f>
        <v>#DIV/0!</v>
      </c>
      <c r="C2" s="2842" t="s">
        <v>2315</v>
      </c>
      <c r="D2" s="3441" t="s">
        <v>3358</v>
      </c>
      <c r="E2" s="3442"/>
      <c r="F2" s="2844"/>
      <c r="G2" s="2845"/>
      <c r="H2" s="2846"/>
      <c r="I2" s="2847"/>
      <c r="J2" s="3714" t="s">
        <v>2316</v>
      </c>
      <c r="K2" s="3715"/>
      <c r="L2" s="2848" t="s">
        <v>2317</v>
      </c>
      <c r="M2" s="2848" t="s">
        <v>2318</v>
      </c>
      <c r="N2" s="2848" t="s">
        <v>2319</v>
      </c>
      <c r="O2" s="2848" t="s">
        <v>2320</v>
      </c>
      <c r="P2" s="2848" t="s">
        <v>2321</v>
      </c>
      <c r="Q2" s="2849" t="s">
        <v>2322</v>
      </c>
      <c r="R2" s="2850" t="s">
        <v>2323</v>
      </c>
      <c r="S2" s="2839"/>
      <c r="T2" s="2839"/>
      <c r="U2" s="2839"/>
      <c r="V2" s="2847"/>
    </row>
    <row r="3" spans="1:22" s="2851" customFormat="1" ht="13.2" customHeight="1">
      <c r="A3" s="2852" t="s">
        <v>2324</v>
      </c>
      <c r="B3" s="2853" t="e">
        <f>ROUND(B2*10000/B4,0)</f>
        <v>#DIV/0!</v>
      </c>
      <c r="C3" s="2842" t="s">
        <v>2325</v>
      </c>
      <c r="D3" s="2842"/>
      <c r="E3" s="2843"/>
      <c r="F3" s="2844"/>
      <c r="G3" s="2845"/>
      <c r="H3" s="2846"/>
      <c r="I3" s="2847"/>
      <c r="J3" s="3716" t="s">
        <v>2326</v>
      </c>
      <c r="K3" s="3717"/>
      <c r="L3" s="2854"/>
      <c r="M3" s="2854"/>
      <c r="N3" s="2854"/>
      <c r="O3" s="2854"/>
      <c r="P3" s="2854"/>
      <c r="Q3" s="2855"/>
      <c r="R3" s="2856">
        <f>SUM(L3:Q3)</f>
        <v>0</v>
      </c>
      <c r="S3" s="2839"/>
      <c r="T3" s="2839"/>
      <c r="U3" s="2839"/>
      <c r="V3" s="2847"/>
    </row>
    <row r="4" spans="1:22" s="2851" customFormat="1" ht="13.2" customHeight="1">
      <c r="A4" s="2857" t="s">
        <v>2327</v>
      </c>
      <c r="B4" s="2858"/>
      <c r="C4" s="2842"/>
      <c r="D4" s="2842"/>
      <c r="E4" s="2843"/>
      <c r="F4" s="2844"/>
      <c r="G4" s="2845"/>
      <c r="H4" s="2846"/>
      <c r="I4" s="2847"/>
      <c r="J4" s="3716" t="s">
        <v>2328</v>
      </c>
      <c r="K4" s="3717"/>
      <c r="L4" s="2859"/>
      <c r="M4" s="2859"/>
      <c r="N4" s="2859"/>
      <c r="O4" s="2859"/>
      <c r="P4" s="2859"/>
      <c r="Q4" s="2860"/>
      <c r="R4" s="2861">
        <f>SUM(L4:Q4)</f>
        <v>0</v>
      </c>
      <c r="S4" s="2839"/>
      <c r="T4" s="2839"/>
      <c r="U4" s="2839"/>
      <c r="V4" s="2847"/>
    </row>
    <row r="5" spans="1:22" s="2851" customFormat="1" ht="13.2"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2" customHeight="1" thickBot="1">
      <c r="A6" s="3722" t="s">
        <v>2332</v>
      </c>
      <c r="B6" s="3723"/>
      <c r="C6" s="3724"/>
      <c r="D6" s="2868"/>
      <c r="E6" s="2869"/>
      <c r="F6" s="2870"/>
      <c r="G6" s="2871"/>
      <c r="H6" s="2846"/>
      <c r="I6" s="2847"/>
      <c r="J6" s="3708">
        <v>1</v>
      </c>
      <c r="K6" s="3709"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2" customHeight="1">
      <c r="A7" s="2874" t="s">
        <v>2342</v>
      </c>
      <c r="B7" s="2875"/>
      <c r="C7" s="2876"/>
      <c r="D7" s="2877">
        <f>SUM(D9,D10,D11,D17,0)</f>
        <v>0</v>
      </c>
      <c r="E7" s="2878" t="e">
        <f>E9+E10+E11+E17</f>
        <v>#DIV/0!</v>
      </c>
      <c r="F7" s="2879"/>
      <c r="G7" s="2880"/>
      <c r="H7" s="2846"/>
      <c r="I7" s="2847"/>
      <c r="J7" s="3708"/>
      <c r="K7" s="3710"/>
      <c r="L7" s="2881" t="s">
        <v>2343</v>
      </c>
      <c r="M7" s="2882"/>
      <c r="N7" s="2858"/>
      <c r="O7" s="2883"/>
      <c r="P7" s="2883"/>
      <c r="Q7" s="2884">
        <v>365</v>
      </c>
      <c r="R7" s="2885">
        <f>ROUND(M7*N7*O7*P7*Q7/10000,0)</f>
        <v>0</v>
      </c>
      <c r="S7" s="2839"/>
      <c r="T7" s="2839" t="s">
        <v>2344</v>
      </c>
      <c r="U7" s="2839"/>
      <c r="V7" s="2847"/>
    </row>
    <row r="8" spans="1:22" s="2851" customFormat="1" ht="13.2" customHeight="1">
      <c r="A8" s="2886" t="s">
        <v>2345</v>
      </c>
      <c r="B8" s="3725" t="s">
        <v>2346</v>
      </c>
      <c r="C8" s="3726"/>
      <c r="D8" s="2887" t="s">
        <v>2347</v>
      </c>
      <c r="E8" s="2888" t="s">
        <v>2348</v>
      </c>
      <c r="F8" s="2889" t="s">
        <v>2349</v>
      </c>
      <c r="G8" s="2890"/>
      <c r="H8" s="2846"/>
      <c r="I8" s="2847"/>
      <c r="J8" s="3708"/>
      <c r="K8" s="3710"/>
      <c r="L8" s="2881" t="s">
        <v>2350</v>
      </c>
      <c r="M8" s="2882"/>
      <c r="N8" s="2858"/>
      <c r="O8" s="2883"/>
      <c r="P8" s="2883"/>
      <c r="Q8" s="2884">
        <v>365</v>
      </c>
      <c r="R8" s="2885">
        <f t="shared" ref="R8:R13" si="0">ROUND(M8*N8*O8*P8*Q8/10000,0)</f>
        <v>0</v>
      </c>
      <c r="S8" s="2839"/>
      <c r="T8" s="2839" t="s">
        <v>2351</v>
      </c>
      <c r="U8" s="2839"/>
      <c r="V8" s="2847"/>
    </row>
    <row r="9" spans="1:22" s="2851" customFormat="1" ht="13.2" customHeight="1">
      <c r="A9" s="2886">
        <v>1</v>
      </c>
      <c r="B9" s="3725" t="s">
        <v>2352</v>
      </c>
      <c r="C9" s="3726"/>
      <c r="D9" s="2887">
        <f>ROUND(D6*E9,0)</f>
        <v>0</v>
      </c>
      <c r="E9" s="2891"/>
      <c r="F9" s="2892" t="s">
        <v>2353</v>
      </c>
      <c r="G9" s="2871"/>
      <c r="H9" s="2846"/>
      <c r="I9" s="2847"/>
      <c r="J9" s="3708"/>
      <c r="K9" s="3710"/>
      <c r="L9" s="2881" t="s">
        <v>2354</v>
      </c>
      <c r="M9" s="2882"/>
      <c r="N9" s="2858"/>
      <c r="O9" s="2883"/>
      <c r="P9" s="2883"/>
      <c r="Q9" s="2884">
        <v>365</v>
      </c>
      <c r="R9" s="2885">
        <f t="shared" si="0"/>
        <v>0</v>
      </c>
      <c r="S9" s="2839"/>
      <c r="T9" s="2839"/>
      <c r="U9" s="2839"/>
      <c r="V9" s="2847"/>
    </row>
    <row r="10" spans="1:22" s="2851" customFormat="1" ht="13.2" customHeight="1">
      <c r="A10" s="2886">
        <v>2</v>
      </c>
      <c r="B10" s="3725" t="s">
        <v>2355</v>
      </c>
      <c r="C10" s="3726"/>
      <c r="D10" s="2887">
        <f>ROUND(D6*E10,0)</f>
        <v>0</v>
      </c>
      <c r="E10" s="2891"/>
      <c r="F10" s="2892" t="s">
        <v>2356</v>
      </c>
      <c r="G10" s="2871"/>
      <c r="H10" s="2846"/>
      <c r="I10" s="2847"/>
      <c r="J10" s="3708"/>
      <c r="K10" s="3710"/>
      <c r="L10" s="2881" t="s">
        <v>2357</v>
      </c>
      <c r="M10" s="2882"/>
      <c r="N10" s="2858"/>
      <c r="O10" s="2883"/>
      <c r="P10" s="2883"/>
      <c r="Q10" s="2884">
        <v>365</v>
      </c>
      <c r="R10" s="2885">
        <f t="shared" si="0"/>
        <v>0</v>
      </c>
      <c r="S10" s="2839"/>
      <c r="T10" s="2839"/>
      <c r="U10" s="2839"/>
      <c r="V10" s="2847"/>
    </row>
    <row r="11" spans="1:22" s="2851" customFormat="1" ht="13.2" customHeight="1">
      <c r="A11" s="2886">
        <v>3</v>
      </c>
      <c r="B11" s="3725" t="s">
        <v>2358</v>
      </c>
      <c r="C11" s="3726"/>
      <c r="D11" s="2887">
        <f>D12+D14+D15+D16</f>
        <v>0</v>
      </c>
      <c r="E11" s="2893" t="e">
        <f>D11/D6</f>
        <v>#DIV/0!</v>
      </c>
      <c r="F11" s="2889"/>
      <c r="G11" s="2890"/>
      <c r="H11" s="2846"/>
      <c r="I11" s="2847"/>
      <c r="J11" s="3708"/>
      <c r="K11" s="3710"/>
      <c r="L11" s="2881" t="s">
        <v>2359</v>
      </c>
      <c r="M11" s="2882"/>
      <c r="N11" s="2858"/>
      <c r="O11" s="2883"/>
      <c r="P11" s="2883"/>
      <c r="Q11" s="2884">
        <v>365</v>
      </c>
      <c r="R11" s="2885">
        <f t="shared" si="0"/>
        <v>0</v>
      </c>
      <c r="S11" s="2839"/>
      <c r="T11" s="2839"/>
      <c r="U11" s="2839"/>
      <c r="V11" s="2847"/>
    </row>
    <row r="12" spans="1:22" s="2851" customFormat="1" ht="13.2" customHeight="1">
      <c r="A12" s="2894" t="s">
        <v>2360</v>
      </c>
      <c r="B12" s="3718" t="s">
        <v>2361</v>
      </c>
      <c r="C12" s="3719"/>
      <c r="D12" s="2895">
        <f>ROUND(D13*1.2%*(1-30%),0)</f>
        <v>0</v>
      </c>
      <c r="E12" s="2896">
        <v>1.2E-2</v>
      </c>
      <c r="F12" s="2889" t="s">
        <v>2362</v>
      </c>
      <c r="G12" s="2890"/>
      <c r="H12" s="2846"/>
      <c r="I12" s="2847"/>
      <c r="J12" s="3708"/>
      <c r="K12" s="3710"/>
      <c r="L12" s="2881" t="s">
        <v>2363</v>
      </c>
      <c r="M12" s="2882"/>
      <c r="N12" s="2858"/>
      <c r="O12" s="2883"/>
      <c r="P12" s="2883"/>
      <c r="Q12" s="2884">
        <v>365</v>
      </c>
      <c r="R12" s="2885">
        <f t="shared" si="0"/>
        <v>0</v>
      </c>
      <c r="S12" s="2839"/>
      <c r="T12" s="2839"/>
      <c r="U12" s="2839"/>
      <c r="V12" s="2847"/>
    </row>
    <row r="13" spans="1:22" s="2851" customFormat="1" ht="13.2" customHeight="1">
      <c r="A13" s="2894"/>
      <c r="B13" s="2897"/>
      <c r="C13" s="2898" t="s">
        <v>2364</v>
      </c>
      <c r="D13" s="2899"/>
      <c r="E13" s="2900"/>
      <c r="F13" s="2889"/>
      <c r="G13" s="2890"/>
      <c r="H13" s="2846"/>
      <c r="I13" s="2847"/>
      <c r="J13" s="3708"/>
      <c r="K13" s="3710"/>
      <c r="L13" s="2881" t="s">
        <v>2365</v>
      </c>
      <c r="M13" s="2882"/>
      <c r="N13" s="2858"/>
      <c r="O13" s="2883"/>
      <c r="P13" s="2883"/>
      <c r="Q13" s="2884">
        <v>365</v>
      </c>
      <c r="R13" s="2885">
        <f t="shared" si="0"/>
        <v>0</v>
      </c>
      <c r="S13" s="2839"/>
      <c r="T13" s="2839"/>
      <c r="U13" s="2839"/>
      <c r="V13" s="2847"/>
    </row>
    <row r="14" spans="1:22" s="2851" customFormat="1" ht="13.2" customHeight="1">
      <c r="A14" s="2894" t="s">
        <v>2366</v>
      </c>
      <c r="B14" s="3718" t="s">
        <v>2367</v>
      </c>
      <c r="C14" s="3719"/>
      <c r="D14" s="2895">
        <f>ROUND(E14*B5/10000,0)</f>
        <v>0</v>
      </c>
      <c r="E14" s="2884"/>
      <c r="F14" s="2889" t="s">
        <v>2368</v>
      </c>
      <c r="G14" s="2890"/>
      <c r="H14" s="2846"/>
      <c r="I14" s="2847"/>
      <c r="J14" s="3708"/>
      <c r="K14" s="3711"/>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2370</v>
      </c>
      <c r="B15" s="3718" t="s">
        <v>2371</v>
      </c>
      <c r="C15" s="3719"/>
      <c r="D15" s="2895">
        <f>ROUND(D6*E15,0)</f>
        <v>0</v>
      </c>
      <c r="E15" s="2896">
        <v>5.5E-2</v>
      </c>
      <c r="F15" s="2889" t="s">
        <v>2372</v>
      </c>
      <c r="G15" s="2871"/>
      <c r="H15" s="2846"/>
      <c r="I15" s="2847"/>
      <c r="J15" s="3708">
        <v>2</v>
      </c>
      <c r="K15" s="3709"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2" customHeight="1">
      <c r="A16" s="2894" t="s">
        <v>2379</v>
      </c>
      <c r="B16" s="3718" t="s">
        <v>2380</v>
      </c>
      <c r="C16" s="3719"/>
      <c r="D16" s="2906">
        <f>D6*E16</f>
        <v>0</v>
      </c>
      <c r="E16" s="2907"/>
      <c r="F16" s="2892" t="s">
        <v>2381</v>
      </c>
      <c r="G16" s="2871"/>
      <c r="H16" s="2846"/>
      <c r="I16" s="2847"/>
      <c r="J16" s="3708"/>
      <c r="K16" s="3710"/>
      <c r="L16" s="2881" t="s">
        <v>2382</v>
      </c>
      <c r="M16" s="2882"/>
      <c r="N16" s="2882"/>
      <c r="O16" s="2883"/>
      <c r="P16" s="2884">
        <v>365</v>
      </c>
      <c r="Q16" s="2858"/>
      <c r="R16" s="2905">
        <f>ROUND(M16*N16*O16*P16/10000,0)</f>
        <v>0</v>
      </c>
      <c r="S16" s="2839"/>
      <c r="T16" s="2839"/>
      <c r="U16" s="2839"/>
      <c r="V16" s="2847"/>
    </row>
    <row r="17" spans="1:22" s="2851" customFormat="1" ht="13.2" customHeight="1" thickBot="1">
      <c r="A17" s="2908">
        <v>4</v>
      </c>
      <c r="B17" s="3720" t="s">
        <v>2383</v>
      </c>
      <c r="C17" s="3721"/>
      <c r="D17" s="2909">
        <f>ROUND(D6*E17,0)</f>
        <v>0</v>
      </c>
      <c r="E17" s="2910"/>
      <c r="F17" s="2911" t="s">
        <v>2384</v>
      </c>
      <c r="G17" s="2871"/>
      <c r="H17" s="2846"/>
      <c r="I17" s="2847"/>
      <c r="J17" s="3708"/>
      <c r="K17" s="3710"/>
      <c r="L17" s="2881" t="s">
        <v>2385</v>
      </c>
      <c r="M17" s="2882"/>
      <c r="N17" s="2882"/>
      <c r="O17" s="2883"/>
      <c r="P17" s="2884">
        <v>365</v>
      </c>
      <c r="Q17" s="2858"/>
      <c r="R17" s="2905">
        <f>ROUND(M17*N17*O17*P17/10000,0)</f>
        <v>0</v>
      </c>
      <c r="S17" s="2839"/>
      <c r="T17" s="2839"/>
      <c r="U17" s="2839"/>
      <c r="V17" s="2847"/>
    </row>
    <row r="18" spans="1:22" s="2851" customFormat="1" ht="13.2" customHeight="1" thickBot="1">
      <c r="A18" s="2874" t="s">
        <v>2386</v>
      </c>
      <c r="B18" s="2875"/>
      <c r="C18" s="2875"/>
      <c r="D18" s="2912">
        <f>ROUND(D6*E18,0)</f>
        <v>0</v>
      </c>
      <c r="E18" s="2913"/>
      <c r="F18" s="2914" t="s">
        <v>2387</v>
      </c>
      <c r="G18" s="2871"/>
      <c r="H18" s="2846"/>
      <c r="I18" s="2847"/>
      <c r="J18" s="3708"/>
      <c r="K18" s="3710"/>
      <c r="L18" s="2881" t="s">
        <v>2388</v>
      </c>
      <c r="M18" s="2882"/>
      <c r="N18" s="2882"/>
      <c r="O18" s="2883"/>
      <c r="P18" s="2884">
        <v>365</v>
      </c>
      <c r="Q18" s="2858"/>
      <c r="R18" s="2905">
        <f>ROUND(M18*N18*O18*P18/10000,0)</f>
        <v>0</v>
      </c>
      <c r="S18" s="2839"/>
      <c r="T18" s="2839"/>
      <c r="U18" s="2839"/>
      <c r="V18" s="2847"/>
    </row>
    <row r="19" spans="1:22" s="2851" customFormat="1" ht="13.2" customHeight="1" thickBot="1">
      <c r="A19" s="2915" t="s">
        <v>2389</v>
      </c>
      <c r="B19" s="2869"/>
      <c r="C19" s="2869"/>
      <c r="D19" s="2869"/>
      <c r="E19" s="2869"/>
      <c r="F19" s="2870"/>
      <c r="G19" s="2890"/>
      <c r="H19" s="2846"/>
      <c r="I19" s="2847"/>
      <c r="J19" s="3708"/>
      <c r="K19" s="3711"/>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08">
        <v>3</v>
      </c>
      <c r="K20" s="3709"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2" customHeight="1">
      <c r="A21" s="2874"/>
      <c r="B21" s="2875"/>
      <c r="C21" s="2921" t="s">
        <v>2398</v>
      </c>
      <c r="D21" s="2922" t="s">
        <v>2399</v>
      </c>
      <c r="E21" s="2923" t="s">
        <v>2400</v>
      </c>
      <c r="F21" s="2918"/>
      <c r="G21" s="2890"/>
      <c r="H21" s="2846"/>
      <c r="I21" s="2847"/>
      <c r="J21" s="3708"/>
      <c r="K21" s="3710"/>
      <c r="L21" s="2881" t="s">
        <v>2401</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2402</v>
      </c>
      <c r="D22" s="2926" t="s">
        <v>2403</v>
      </c>
      <c r="E22" s="2927" t="s">
        <v>2404</v>
      </c>
      <c r="F22" s="2918"/>
      <c r="G22" s="2928"/>
      <c r="H22" s="2846"/>
      <c r="I22" s="2847"/>
      <c r="J22" s="3708"/>
      <c r="K22" s="3710"/>
      <c r="L22" s="2881" t="s">
        <v>2405</v>
      </c>
      <c r="M22" s="2882"/>
      <c r="N22" s="2882"/>
      <c r="O22" s="2883"/>
      <c r="P22" s="2884">
        <v>365</v>
      </c>
      <c r="Q22" s="2858"/>
      <c r="R22" s="2924">
        <f>ROUND(M22*N22*O22*P22/10000,0)</f>
        <v>0</v>
      </c>
      <c r="S22" s="2920"/>
      <c r="T22" s="2920"/>
      <c r="U22" s="2920"/>
      <c r="V22" s="2847"/>
    </row>
    <row r="23" spans="1:22" s="2851" customFormat="1" ht="13.2" customHeight="1">
      <c r="A23" s="2929">
        <v>1</v>
      </c>
      <c r="B23" s="2930" t="s">
        <v>2406</v>
      </c>
      <c r="C23" s="2931">
        <f>D6</f>
        <v>0</v>
      </c>
      <c r="D23" s="2932">
        <f>C23*(1+D24)</f>
        <v>0</v>
      </c>
      <c r="E23" s="2933">
        <f>D23*(1+E24)</f>
        <v>0</v>
      </c>
      <c r="F23" s="2934"/>
      <c r="G23" s="2935"/>
      <c r="H23" s="2846"/>
      <c r="I23" s="2847"/>
      <c r="J23" s="3708"/>
      <c r="K23" s="3710"/>
      <c r="L23" s="2881" t="s">
        <v>2407</v>
      </c>
      <c r="M23" s="2882"/>
      <c r="N23" s="2882"/>
      <c r="O23" s="2883"/>
      <c r="P23" s="2884">
        <v>365</v>
      </c>
      <c r="Q23" s="2858"/>
      <c r="R23" s="2924">
        <f>ROUND(M23*N23*O23*P23/10000,0)</f>
        <v>0</v>
      </c>
      <c r="S23" s="2839"/>
      <c r="T23" s="2839"/>
      <c r="U23" s="2839"/>
      <c r="V23" s="2847"/>
    </row>
    <row r="24" spans="1:22" s="2851" customFormat="1" ht="13.2" customHeight="1">
      <c r="A24" s="2936"/>
      <c r="B24" s="2937" t="s">
        <v>2408</v>
      </c>
      <c r="C24" s="2938"/>
      <c r="D24" s="2939"/>
      <c r="E24" s="2940"/>
      <c r="F24" s="2941"/>
      <c r="G24" s="2935"/>
      <c r="H24" s="2846"/>
      <c r="I24" s="2847"/>
      <c r="J24" s="3708"/>
      <c r="K24" s="3711"/>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2" customHeight="1">
      <c r="A26" s="2929">
        <v>2</v>
      </c>
      <c r="B26" s="2930" t="s">
        <v>2410</v>
      </c>
      <c r="C26" s="2931">
        <f>D7</f>
        <v>0</v>
      </c>
      <c r="D26" s="2932">
        <f>D23*D27</f>
        <v>0</v>
      </c>
      <c r="E26" s="2933">
        <f>E23*E27</f>
        <v>0</v>
      </c>
      <c r="F26" s="2934"/>
      <c r="G26" s="2935"/>
      <c r="H26" s="2846"/>
      <c r="I26" s="2847"/>
      <c r="J26" s="3712">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2" customHeight="1">
      <c r="A27" s="2936"/>
      <c r="B27" s="2937" t="s">
        <v>2416</v>
      </c>
      <c r="C27" s="2955" t="e">
        <f>E7</f>
        <v>#DIV/0!</v>
      </c>
      <c r="D27" s="2939"/>
      <c r="E27" s="2940"/>
      <c r="F27" s="2941"/>
      <c r="G27" s="2935"/>
      <c r="H27" s="2956"/>
      <c r="I27" s="2947"/>
      <c r="J27" s="3713"/>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2"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2" customHeight="1">
      <c r="A32" s="2929">
        <v>4</v>
      </c>
      <c r="B32" s="2930" t="s">
        <v>2424</v>
      </c>
      <c r="C32" s="2931">
        <f>C23-C26-C29</f>
        <v>0</v>
      </c>
      <c r="D32" s="2932">
        <f>D23-D26-D29</f>
        <v>0</v>
      </c>
      <c r="E32" s="2933">
        <f>E23-E26-E29</f>
        <v>0</v>
      </c>
      <c r="F32" s="2934"/>
      <c r="G32" s="2928"/>
      <c r="H32" s="2846"/>
      <c r="I32" s="2847"/>
      <c r="J32" s="3714" t="s">
        <v>2316</v>
      </c>
      <c r="K32" s="3715"/>
      <c r="L32" s="2848" t="s">
        <v>2317</v>
      </c>
      <c r="M32" s="2848" t="s">
        <v>2318</v>
      </c>
      <c r="N32" s="2848" t="s">
        <v>2319</v>
      </c>
      <c r="O32" s="2848" t="s">
        <v>2320</v>
      </c>
      <c r="P32" s="2848" t="s">
        <v>2321</v>
      </c>
      <c r="Q32" s="2849" t="s">
        <v>2322</v>
      </c>
      <c r="R32" s="2971" t="s">
        <v>2323</v>
      </c>
      <c r="S32" s="2920"/>
      <c r="T32" s="2839"/>
      <c r="U32" s="2839"/>
      <c r="V32" s="2947"/>
    </row>
    <row r="33" spans="1:23" s="2851" customFormat="1" ht="13.2" customHeight="1">
      <c r="A33" s="2929"/>
      <c r="B33" s="2930"/>
      <c r="C33" s="2931"/>
      <c r="D33" s="2972"/>
      <c r="E33" s="2973"/>
      <c r="F33" s="2934"/>
      <c r="G33" s="2928"/>
      <c r="H33" s="2956"/>
      <c r="I33" s="2947"/>
      <c r="J33" s="3716" t="s">
        <v>2326</v>
      </c>
      <c r="K33" s="3717"/>
      <c r="L33" s="2854"/>
      <c r="M33" s="2854"/>
      <c r="N33" s="2854"/>
      <c r="O33" s="2854"/>
      <c r="P33" s="2854"/>
      <c r="Q33" s="2855"/>
      <c r="R33" s="2974">
        <f>SUM(L33:Q33)</f>
        <v>0</v>
      </c>
      <c r="S33" s="2920"/>
      <c r="T33" s="2839"/>
      <c r="U33" s="2839"/>
      <c r="V33" s="2847"/>
    </row>
    <row r="34" spans="1:23" s="2851" customFormat="1" ht="13.2" customHeight="1">
      <c r="A34" s="2929">
        <v>5</v>
      </c>
      <c r="B34" s="2930" t="s">
        <v>2425</v>
      </c>
      <c r="C34" s="2975"/>
      <c r="D34" s="2976"/>
      <c r="E34" s="2977"/>
      <c r="F34" s="2934"/>
      <c r="G34" s="2928"/>
      <c r="H34" s="2956"/>
      <c r="I34" s="2947"/>
      <c r="J34" s="3716" t="s">
        <v>2328</v>
      </c>
      <c r="K34" s="3717"/>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2" customHeight="1" thickBot="1">
      <c r="A36" s="2929">
        <v>7</v>
      </c>
      <c r="B36" s="2984" t="s">
        <v>2427</v>
      </c>
      <c r="C36" s="2985"/>
      <c r="D36" s="2986"/>
      <c r="E36" s="2987"/>
      <c r="F36" s="2988">
        <f>C36+D36+E36</f>
        <v>0</v>
      </c>
      <c r="G36" s="2928"/>
      <c r="H36" s="2846"/>
      <c r="I36" s="2847"/>
      <c r="J36" s="3708">
        <v>1</v>
      </c>
      <c r="K36" s="3709" t="s">
        <v>2428</v>
      </c>
      <c r="L36" s="2872"/>
      <c r="M36" s="2873"/>
      <c r="N36" s="2873"/>
      <c r="O36" s="2873"/>
      <c r="P36" s="2873"/>
      <c r="Q36" s="2873"/>
      <c r="R36" s="2856" t="s">
        <v>2340</v>
      </c>
      <c r="S36" s="2920"/>
      <c r="T36" s="2839" t="s">
        <v>2341</v>
      </c>
      <c r="U36" s="2839"/>
      <c r="V36" s="2847"/>
    </row>
    <row r="37" spans="1:23" s="2851" customFormat="1" ht="13.2"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2344</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2351</v>
      </c>
      <c r="U38" s="2839"/>
      <c r="V38" s="2847"/>
    </row>
    <row r="39" spans="1:23" s="2851" customFormat="1" ht="13.2" customHeight="1">
      <c r="A39" s="2929">
        <v>9</v>
      </c>
      <c r="B39" s="2930" t="s">
        <v>2429</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2" customHeight="1">
      <c r="A40" s="2990">
        <v>10</v>
      </c>
      <c r="B40" s="2930" t="s">
        <v>2430</v>
      </c>
      <c r="C40" s="2991" t="e">
        <f>C39+D39+E39</f>
        <v>#DIV/0!</v>
      </c>
      <c r="D40" s="2992"/>
      <c r="E40" s="2992"/>
      <c r="F40" s="2993"/>
      <c r="G40" s="2928"/>
      <c r="H40" s="2846"/>
      <c r="I40" s="2847"/>
      <c r="J40" s="3708"/>
      <c r="K40" s="3711"/>
      <c r="L40" s="2901" t="s">
        <v>2369</v>
      </c>
      <c r="M40" s="2902"/>
      <c r="N40" s="2902"/>
      <c r="O40" s="2903"/>
      <c r="P40" s="2903"/>
      <c r="Q40" s="2904"/>
      <c r="R40" s="2850">
        <f>SUM(R37:R39)</f>
        <v>0</v>
      </c>
      <c r="S40" s="2920"/>
      <c r="T40" s="2839"/>
      <c r="U40" s="2839"/>
      <c r="V40" s="2847"/>
    </row>
    <row r="41" spans="1:23" s="2851" customFormat="1" ht="13.2"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2" customHeight="1">
      <c r="G42" s="2998"/>
      <c r="H42" s="2846"/>
      <c r="I42" s="2847"/>
      <c r="J42" s="3712">
        <v>3</v>
      </c>
      <c r="K42" s="2949" t="s">
        <v>2411</v>
      </c>
      <c r="L42" s="2950"/>
      <c r="M42" s="2951"/>
      <c r="N42" s="2952" t="s">
        <v>2412</v>
      </c>
      <c r="O42" s="2952" t="s">
        <v>2413</v>
      </c>
      <c r="P42" s="2953" t="s">
        <v>2414</v>
      </c>
      <c r="Q42" s="2953" t="s">
        <v>2415</v>
      </c>
      <c r="R42" s="2856" t="s">
        <v>2340</v>
      </c>
      <c r="S42" s="2954"/>
      <c r="T42" s="2954"/>
      <c r="U42" s="2839"/>
      <c r="V42" s="2847"/>
    </row>
    <row r="43" spans="1:23" ht="13.2" customHeight="1">
      <c r="A43" s="2851"/>
      <c r="B43" s="2851"/>
      <c r="C43" s="2851"/>
      <c r="D43" s="2851"/>
      <c r="E43" s="2851"/>
      <c r="F43" s="2851"/>
      <c r="I43" s="2834"/>
      <c r="J43" s="3713"/>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5"/>
      <c r="G1" s="1487"/>
      <c r="H1" s="1487"/>
      <c r="I1" s="1487"/>
      <c r="J1" s="1487"/>
      <c r="K1" s="1487"/>
      <c r="L1" s="1487"/>
      <c r="M1" s="1487"/>
      <c r="N1" s="1487"/>
      <c r="O1" s="1487"/>
      <c r="P1" s="1487"/>
      <c r="Q1" s="1487"/>
      <c r="R1" s="1487"/>
      <c r="S1" s="1487"/>
    </row>
    <row r="2" spans="1:22" ht="15.6">
      <c r="A2" s="1868" t="s">
        <v>1462</v>
      </c>
      <c r="B2" s="1869">
        <f ca="1">SUMIF(B6:B13,"&lt;&gt;#ref!",B6:B13)</f>
        <v>227.5557</v>
      </c>
      <c r="C2" s="1870" t="s">
        <v>1651</v>
      </c>
      <c r="D2" s="1871" t="s">
        <v>1652</v>
      </c>
      <c r="E2" s="2605">
        <f>SUM(E6:E13)</f>
        <v>87.01</v>
      </c>
      <c r="F2" s="2705"/>
      <c r="G2" s="1487"/>
      <c r="H2" s="1487"/>
      <c r="I2" s="1487"/>
      <c r="J2" s="1487"/>
      <c r="K2" s="1487"/>
      <c r="L2" s="1487"/>
      <c r="M2" s="1487"/>
      <c r="N2" s="1487"/>
      <c r="O2" s="1487"/>
      <c r="P2" s="1487"/>
      <c r="Q2" s="1487"/>
      <c r="R2" s="1487"/>
      <c r="S2" s="1487"/>
    </row>
    <row r="3" spans="1:22" ht="15.6">
      <c r="A3" s="1868" t="s">
        <v>686</v>
      </c>
      <c r="B3" s="2599">
        <f ca="1">ROUND(B2*10000/E2,0)</f>
        <v>26153</v>
      </c>
      <c r="C3" s="1870" t="s">
        <v>1659</v>
      </c>
      <c r="D3" s="2707"/>
      <c r="E3" s="2709"/>
      <c r="F3" s="2705"/>
      <c r="G3" s="1487"/>
      <c r="H3" s="1487"/>
      <c r="I3" s="1487"/>
      <c r="J3" s="1487"/>
      <c r="K3" s="1487"/>
      <c r="L3" s="1487"/>
      <c r="M3" s="1487"/>
      <c r="N3" s="1487"/>
      <c r="O3" s="1487"/>
      <c r="P3" s="1487"/>
      <c r="Q3" s="1487"/>
      <c r="R3" s="1487"/>
      <c r="S3" s="1487"/>
    </row>
    <row r="4" spans="1:22" ht="15.6">
      <c r="A4" s="2710"/>
      <c r="B4" s="2707"/>
      <c r="C4" s="2707"/>
      <c r="D4" s="2707"/>
      <c r="E4" s="2709"/>
      <c r="F4" s="2705"/>
      <c r="G4" s="1487"/>
      <c r="H4" s="1487"/>
      <c r="I4" s="1487"/>
      <c r="J4" s="1487"/>
      <c r="K4" s="1487"/>
      <c r="L4" s="1487"/>
      <c r="M4" s="1487"/>
      <c r="N4" s="1487"/>
      <c r="O4" s="1487"/>
      <c r="P4" s="1487"/>
      <c r="Q4" s="1487"/>
      <c r="R4" s="1487"/>
      <c r="S4" s="1487"/>
    </row>
    <row r="5" spans="1:22" ht="14.4">
      <c r="A5" s="2601" t="s">
        <v>1653</v>
      </c>
      <c r="B5" s="3727" t="s">
        <v>1654</v>
      </c>
      <c r="C5" s="3728"/>
      <c r="D5" s="2706"/>
      <c r="E5" s="1872" t="s">
        <v>1655</v>
      </c>
      <c r="F5" s="1873" t="s">
        <v>1656</v>
      </c>
      <c r="G5" s="1487"/>
      <c r="H5" s="1487"/>
      <c r="I5" s="1487"/>
      <c r="J5" s="1487"/>
      <c r="K5" s="1487"/>
      <c r="L5" s="1487"/>
      <c r="M5" s="1487"/>
      <c r="N5" s="1487"/>
      <c r="O5" s="1487"/>
      <c r="P5" s="1487"/>
      <c r="Q5" s="1487"/>
      <c r="R5" s="1487"/>
      <c r="S5" s="1487"/>
    </row>
    <row r="6" spans="1:22" ht="14.4">
      <c r="A6" s="2602" t="str">
        <f>'数据-取费表'!AN6</f>
        <v>收益法 (元)</v>
      </c>
      <c r="B6" s="2600">
        <f ca="1">IF(F6="是",'数据-取费表'!AO6,0)</f>
        <v>227.5557</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ht="14.4">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ht="14.4">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ht="14.4">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ht="14.4">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4.4">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90" t="s">
        <v>1668</v>
      </c>
      <c r="S4" s="3691"/>
      <c r="T4" s="3690" t="s">
        <v>1669</v>
      </c>
      <c r="U4" s="3691"/>
      <c r="V4" s="3675" t="s">
        <v>1670</v>
      </c>
      <c r="W4" s="3675"/>
      <c r="X4" s="1353"/>
      <c r="Y4" s="3690" t="s">
        <v>1672</v>
      </c>
      <c r="Z4" s="3691"/>
      <c r="AA4" s="3677" t="s">
        <v>1668</v>
      </c>
      <c r="AB4" s="3677" t="s">
        <v>1669</v>
      </c>
      <c r="AC4" s="3677" t="s">
        <v>1670</v>
      </c>
    </row>
    <row r="5" spans="1:29">
      <c r="A5" s="358"/>
      <c r="B5" s="359"/>
      <c r="C5" s="3698" t="s">
        <v>1673</v>
      </c>
      <c r="D5" s="3699"/>
      <c r="E5" s="3729" t="s">
        <v>1674</v>
      </c>
      <c r="F5" s="3707"/>
      <c r="G5" s="3698" t="s">
        <v>1675</v>
      </c>
      <c r="H5" s="3699"/>
      <c r="I5" s="3698" t="s">
        <v>1676</v>
      </c>
      <c r="J5" s="3699"/>
      <c r="K5" s="1888"/>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1888"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6" t="s">
        <v>1691</v>
      </c>
      <c r="Q15" s="1350" t="str">
        <f t="shared" si="6"/>
        <v>居住社区成熟度</v>
      </c>
      <c r="R15" s="705" t="s">
        <v>18</v>
      </c>
      <c r="S15" s="706">
        <f t="shared" si="0"/>
        <v>100</v>
      </c>
      <c r="T15" s="705" t="s">
        <v>18</v>
      </c>
      <c r="U15" s="706">
        <f t="shared" si="1"/>
        <v>100</v>
      </c>
      <c r="V15" s="705" t="s">
        <v>18</v>
      </c>
      <c r="W15" s="706">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67"/>
      <c r="Q16" s="1350"/>
      <c r="R16" s="705"/>
      <c r="S16" s="706"/>
      <c r="T16" s="705"/>
      <c r="U16" s="706"/>
      <c r="V16" s="705"/>
      <c r="W16" s="706"/>
      <c r="X16" s="1353"/>
      <c r="Y16" s="3669"/>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7"/>
      <c r="Q17" s="1350" t="str">
        <f>B17</f>
        <v>交通便捷度</v>
      </c>
      <c r="R17" s="705" t="s">
        <v>18</v>
      </c>
      <c r="S17" s="706">
        <f>F17</f>
        <v>100</v>
      </c>
      <c r="T17" s="705" t="s">
        <v>18</v>
      </c>
      <c r="U17" s="706">
        <f>H17</f>
        <v>100</v>
      </c>
      <c r="V17" s="705" t="s">
        <v>18</v>
      </c>
      <c r="W17" s="706">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67"/>
      <c r="Q18" s="1350"/>
      <c r="R18" s="705"/>
      <c r="S18" s="706"/>
      <c r="T18" s="705"/>
      <c r="U18" s="706"/>
      <c r="V18" s="705"/>
      <c r="W18" s="706"/>
      <c r="X18" s="1353"/>
      <c r="Y18" s="3669"/>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7"/>
      <c r="Q19" s="1350" t="str">
        <f>B19</f>
        <v>公共配套设施</v>
      </c>
      <c r="R19" s="705" t="s">
        <v>18</v>
      </c>
      <c r="S19" s="706">
        <f>F19</f>
        <v>100</v>
      </c>
      <c r="T19" s="705" t="s">
        <v>18</v>
      </c>
      <c r="U19" s="706">
        <f>H19</f>
        <v>100</v>
      </c>
      <c r="V19" s="705" t="s">
        <v>18</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67"/>
      <c r="Q20" s="1350"/>
      <c r="R20" s="705"/>
      <c r="S20" s="706"/>
      <c r="T20" s="705"/>
      <c r="U20" s="706"/>
      <c r="V20" s="705"/>
      <c r="W20" s="706"/>
      <c r="X20" s="1353"/>
      <c r="Y20" s="3669"/>
      <c r="Z20" s="1354"/>
      <c r="AA20" s="1351">
        <v>1</v>
      </c>
      <c r="AB20" s="1351">
        <v>1</v>
      </c>
      <c r="AC20" s="1351">
        <v>1</v>
      </c>
    </row>
    <row r="21" spans="1:29" ht="27.6">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67"/>
      <c r="Q22" s="1350"/>
      <c r="R22" s="705"/>
      <c r="S22" s="706"/>
      <c r="T22" s="705"/>
      <c r="U22" s="706"/>
      <c r="V22" s="705"/>
      <c r="W22" s="706"/>
      <c r="X22" s="1353"/>
      <c r="Y22" s="3669"/>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7"/>
      <c r="Q23" s="1350" t="str">
        <f>B23</f>
        <v>自然及人文环境</v>
      </c>
      <c r="R23" s="705" t="s">
        <v>18</v>
      </c>
      <c r="S23" s="706">
        <f>F23</f>
        <v>100</v>
      </c>
      <c r="T23" s="705" t="s">
        <v>18</v>
      </c>
      <c r="U23" s="706">
        <f>H23</f>
        <v>100</v>
      </c>
      <c r="V23" s="705" t="s">
        <v>18</v>
      </c>
      <c r="W23" s="706">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67"/>
      <c r="Q24" s="1350"/>
      <c r="R24" s="705"/>
      <c r="S24" s="706"/>
      <c r="T24" s="705"/>
      <c r="U24" s="706"/>
      <c r="V24" s="705"/>
      <c r="W24" s="706"/>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6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67"/>
      <c r="Q26" s="1350" t="str">
        <f t="shared" si="11"/>
        <v>朝向</v>
      </c>
      <c r="R26" s="705" t="s">
        <v>18</v>
      </c>
      <c r="S26" s="706">
        <f t="shared" si="12"/>
        <v>100</v>
      </c>
      <c r="T26" s="705" t="s">
        <v>18</v>
      </c>
      <c r="U26" s="706">
        <f t="shared" si="13"/>
        <v>100</v>
      </c>
      <c r="V26" s="705" t="s">
        <v>18</v>
      </c>
      <c r="W26" s="706">
        <f t="shared" si="14"/>
        <v>100</v>
      </c>
      <c r="X26" s="1353"/>
      <c r="Y26" s="3669"/>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67"/>
      <c r="Q27" s="1341">
        <f t="shared" si="11"/>
        <v>111</v>
      </c>
      <c r="R27" s="701" t="s">
        <v>18</v>
      </c>
      <c r="S27" s="702">
        <f t="shared" si="12"/>
        <v>100</v>
      </c>
      <c r="T27" s="701" t="s">
        <v>18</v>
      </c>
      <c r="U27" s="702">
        <f t="shared" si="13"/>
        <v>100</v>
      </c>
      <c r="V27" s="701" t="s">
        <v>18</v>
      </c>
      <c r="W27" s="702">
        <f t="shared" si="14"/>
        <v>100</v>
      </c>
      <c r="X27" s="703"/>
      <c r="Y27" s="3669"/>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67"/>
      <c r="Q28" s="1350">
        <f t="shared" si="11"/>
        <v>111</v>
      </c>
      <c r="R28" s="705" t="s">
        <v>18</v>
      </c>
      <c r="S28" s="706">
        <f t="shared" si="12"/>
        <v>100</v>
      </c>
      <c r="T28" s="705" t="s">
        <v>18</v>
      </c>
      <c r="U28" s="706">
        <f t="shared" si="13"/>
        <v>100</v>
      </c>
      <c r="V28" s="705" t="s">
        <v>18</v>
      </c>
      <c r="W28" s="706">
        <f t="shared" si="14"/>
        <v>100</v>
      </c>
      <c r="X28" s="1353"/>
      <c r="Y28" s="3669"/>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67"/>
      <c r="Q29" s="1350">
        <f t="shared" si="11"/>
        <v>111</v>
      </c>
      <c r="R29" s="705" t="s">
        <v>18</v>
      </c>
      <c r="S29" s="706">
        <f t="shared" si="12"/>
        <v>100</v>
      </c>
      <c r="T29" s="705" t="s">
        <v>18</v>
      </c>
      <c r="U29" s="706">
        <f t="shared" si="13"/>
        <v>100</v>
      </c>
      <c r="V29" s="705" t="s">
        <v>18</v>
      </c>
      <c r="W29" s="706">
        <f t="shared" si="14"/>
        <v>100</v>
      </c>
      <c r="X29" s="1353"/>
      <c r="Y29" s="3669"/>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67"/>
      <c r="Q30" s="1350">
        <f t="shared" si="11"/>
        <v>111</v>
      </c>
      <c r="R30" s="705" t="s">
        <v>18</v>
      </c>
      <c r="S30" s="706">
        <f t="shared" si="12"/>
        <v>100</v>
      </c>
      <c r="T30" s="705" t="s">
        <v>18</v>
      </c>
      <c r="U30" s="706">
        <f t="shared" si="13"/>
        <v>100</v>
      </c>
      <c r="V30" s="705" t="s">
        <v>18</v>
      </c>
      <c r="W30" s="706">
        <f t="shared" si="14"/>
        <v>100</v>
      </c>
      <c r="X30" s="1353"/>
      <c r="Y30" s="3669"/>
      <c r="Z30" s="1354">
        <f t="shared" si="18"/>
        <v>111</v>
      </c>
      <c r="AA30" s="1351">
        <f t="shared" si="15"/>
        <v>1</v>
      </c>
      <c r="AB30" s="1351">
        <f t="shared" si="16"/>
        <v>1</v>
      </c>
      <c r="AC30" s="1351">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67"/>
      <c r="Q31" s="1350">
        <f t="shared" si="11"/>
        <v>111</v>
      </c>
      <c r="R31" s="705" t="s">
        <v>18</v>
      </c>
      <c r="S31" s="706">
        <f t="shared" si="12"/>
        <v>100</v>
      </c>
      <c r="T31" s="705" t="s">
        <v>18</v>
      </c>
      <c r="U31" s="706">
        <f t="shared" si="13"/>
        <v>100</v>
      </c>
      <c r="V31" s="705" t="s">
        <v>18</v>
      </c>
      <c r="W31" s="706">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5" t="s">
        <v>18</v>
      </c>
      <c r="S32" s="706">
        <f t="shared" si="12"/>
        <v>100</v>
      </c>
      <c r="T32" s="705" t="s">
        <v>18</v>
      </c>
      <c r="U32" s="706">
        <f t="shared" si="13"/>
        <v>100</v>
      </c>
      <c r="V32" s="705" t="s">
        <v>18</v>
      </c>
      <c r="W32" s="706">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5" t="s">
        <v>18</v>
      </c>
      <c r="S34" s="706">
        <f t="shared" si="12"/>
        <v>100</v>
      </c>
      <c r="T34" s="705" t="s">
        <v>18</v>
      </c>
      <c r="U34" s="706">
        <f t="shared" si="13"/>
        <v>100</v>
      </c>
      <c r="V34" s="705" t="s">
        <v>18</v>
      </c>
      <c r="W34" s="706">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5" t="s">
        <v>18</v>
      </c>
      <c r="S35" s="706">
        <f t="shared" si="12"/>
        <v>100</v>
      </c>
      <c r="T35" s="705" t="s">
        <v>18</v>
      </c>
      <c r="U35" s="706">
        <f t="shared" si="13"/>
        <v>100</v>
      </c>
      <c r="V35" s="705" t="s">
        <v>18</v>
      </c>
      <c r="W35" s="706">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5" t="s">
        <v>18</v>
      </c>
      <c r="S36" s="706">
        <f t="shared" si="12"/>
        <v>100</v>
      </c>
      <c r="T36" s="705" t="s">
        <v>18</v>
      </c>
      <c r="U36" s="706">
        <f t="shared" si="13"/>
        <v>100</v>
      </c>
      <c r="V36" s="705" t="s">
        <v>18</v>
      </c>
      <c r="W36" s="706">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5" t="s">
        <v>18</v>
      </c>
      <c r="S38" s="706">
        <f t="shared" si="12"/>
        <v>100</v>
      </c>
      <c r="T38" s="705" t="s">
        <v>18</v>
      </c>
      <c r="U38" s="706">
        <f t="shared" si="13"/>
        <v>100</v>
      </c>
      <c r="V38" s="705" t="s">
        <v>18</v>
      </c>
      <c r="W38" s="706">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5" t="s">
        <v>18</v>
      </c>
      <c r="S39" s="706">
        <f t="shared" si="12"/>
        <v>100</v>
      </c>
      <c r="T39" s="705" t="s">
        <v>18</v>
      </c>
      <c r="U39" s="706">
        <f t="shared" si="13"/>
        <v>100</v>
      </c>
      <c r="V39" s="705" t="s">
        <v>18</v>
      </c>
      <c r="W39" s="706">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5" t="s">
        <v>18</v>
      </c>
      <c r="S40" s="706">
        <f t="shared" si="12"/>
        <v>100</v>
      </c>
      <c r="T40" s="705" t="s">
        <v>18</v>
      </c>
      <c r="U40" s="706">
        <f t="shared" si="13"/>
        <v>100</v>
      </c>
      <c r="V40" s="705" t="s">
        <v>18</v>
      </c>
      <c r="W40" s="706">
        <f t="shared" si="14"/>
        <v>100</v>
      </c>
      <c r="X40" s="1353"/>
      <c r="Y40" s="3673"/>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5" t="s">
        <v>18</v>
      </c>
      <c r="S42" s="706">
        <f t="shared" si="12"/>
        <v>100</v>
      </c>
      <c r="T42" s="705" t="s">
        <v>18</v>
      </c>
      <c r="U42" s="706">
        <f t="shared" si="13"/>
        <v>100</v>
      </c>
      <c r="V42" s="705" t="s">
        <v>18</v>
      </c>
      <c r="W42" s="706">
        <f t="shared" si="14"/>
        <v>100</v>
      </c>
      <c r="X42" s="1353"/>
      <c r="Y42" s="3673"/>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5" t="s">
        <v>18</v>
      </c>
      <c r="S43" s="706">
        <f t="shared" si="12"/>
        <v>100</v>
      </c>
      <c r="T43" s="705" t="s">
        <v>18</v>
      </c>
      <c r="U43" s="706">
        <f t="shared" si="13"/>
        <v>100</v>
      </c>
      <c r="V43" s="705" t="s">
        <v>18</v>
      </c>
      <c r="W43" s="706">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5" t="s">
        <v>18</v>
      </c>
      <c r="S45" s="706">
        <f t="shared" si="12"/>
        <v>100</v>
      </c>
      <c r="T45" s="705" t="s">
        <v>18</v>
      </c>
      <c r="U45" s="706">
        <f t="shared" si="13"/>
        <v>100</v>
      </c>
      <c r="V45" s="705" t="s">
        <v>18</v>
      </c>
      <c r="W45" s="706">
        <f t="shared" si="14"/>
        <v>100</v>
      </c>
      <c r="X45" s="1353"/>
      <c r="Y45" s="3673"/>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5" t="s">
        <v>17</v>
      </c>
      <c r="S46" s="706">
        <f t="shared" si="12"/>
        <v>100</v>
      </c>
      <c r="T46" s="705" t="s">
        <v>17</v>
      </c>
      <c r="U46" s="706">
        <f t="shared" si="13"/>
        <v>100</v>
      </c>
      <c r="V46" s="705" t="s">
        <v>17</v>
      </c>
      <c r="W46" s="706">
        <f t="shared" si="14"/>
        <v>100</v>
      </c>
      <c r="X46" s="1353"/>
      <c r="Y46" s="3674"/>
      <c r="Z46" s="1354">
        <f t="shared" si="18"/>
        <v>111</v>
      </c>
      <c r="AA46" s="1351">
        <f t="shared" si="15"/>
        <v>1</v>
      </c>
      <c r="AB46" s="1351">
        <f t="shared" si="16"/>
        <v>1</v>
      </c>
      <c r="AC46" s="1351">
        <f t="shared" si="17"/>
        <v>1</v>
      </c>
    </row>
    <row r="47" spans="1:29" ht="14.4">
      <c r="A47" s="430" t="s">
        <v>1708</v>
      </c>
      <c r="B47" s="431"/>
      <c r="C47" s="1153" t="s">
        <v>16</v>
      </c>
      <c r="D47" s="1154"/>
      <c r="E47" s="1155"/>
      <c r="F47" s="1156"/>
      <c r="G47" s="1157"/>
      <c r="H47" s="1158"/>
      <c r="I47" s="1155"/>
      <c r="J47" s="1158"/>
      <c r="K47" s="1912"/>
      <c r="L47" s="2722"/>
      <c r="M47" s="2723"/>
      <c r="N47" s="2714"/>
      <c r="O47" s="2723"/>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c r="A59" s="458"/>
      <c r="B59" s="1917"/>
      <c r="C59" s="1182">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2"/>
      <c r="O61" s="932"/>
      <c r="P61" s="1919"/>
      <c r="Q61" s="453"/>
    </row>
    <row r="62" spans="1:29" s="108" customFormat="1" ht="14.4" thickBot="1">
      <c r="A62" s="470"/>
      <c r="B62" s="459"/>
      <c r="C62" s="460">
        <v>100</v>
      </c>
      <c r="D62" s="461"/>
      <c r="E62" s="461"/>
      <c r="F62" s="461"/>
      <c r="G62" s="461"/>
      <c r="H62" s="461"/>
      <c r="I62" s="461"/>
      <c r="J62" s="461"/>
      <c r="K62" s="461"/>
      <c r="L62" s="461"/>
      <c r="M62" s="463"/>
      <c r="N62" s="932"/>
      <c r="O62" s="932"/>
      <c r="P62" s="1918"/>
      <c r="Q62" s="453"/>
    </row>
    <row r="63" spans="1:29" ht="14.4">
      <c r="A63" s="476" t="s">
        <v>1719</v>
      </c>
      <c r="B63" s="477" t="s">
        <v>1685</v>
      </c>
      <c r="C63" s="478">
        <f>C9</f>
        <v>0</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c r="D68" s="498"/>
      <c r="E68" s="498"/>
      <c r="F68" s="498"/>
      <c r="G68" s="498"/>
      <c r="H68" s="498"/>
      <c r="I68" s="498"/>
      <c r="J68" s="498"/>
      <c r="K68" s="499"/>
      <c r="L68" s="500"/>
      <c r="M68" s="501"/>
      <c r="N68" s="933"/>
      <c r="O68" s="933"/>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503"/>
      <c r="D88" s="503"/>
      <c r="E88" s="503"/>
      <c r="F88" s="1925"/>
      <c r="G88" s="503"/>
      <c r="H88" s="503"/>
      <c r="I88" s="503"/>
      <c r="J88" s="503"/>
      <c r="K88" s="503"/>
      <c r="L88" s="503"/>
      <c r="M88" s="530"/>
      <c r="N88" s="932"/>
      <c r="O88" s="932"/>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4.4" thickTop="1">
      <c r="A90" s="502"/>
      <c r="B90" s="487">
        <f>B27</f>
        <v>111</v>
      </c>
      <c r="C90" s="503"/>
      <c r="D90" s="503"/>
      <c r="E90" s="503"/>
      <c r="F90" s="503"/>
      <c r="G90" s="503"/>
      <c r="H90" s="504"/>
      <c r="I90" s="504"/>
      <c r="J90" s="504"/>
      <c r="K90" s="504"/>
      <c r="L90" s="505"/>
      <c r="M90" s="506"/>
      <c r="N90" s="935"/>
      <c r="O90" s="935"/>
      <c r="P90" s="1921"/>
      <c r="Q90" s="508"/>
    </row>
    <row r="91" spans="1:17" s="422" customFormat="1" ht="14.4" thickBot="1">
      <c r="A91" s="502"/>
      <c r="B91" s="492"/>
      <c r="C91" s="509"/>
      <c r="D91" s="509"/>
      <c r="E91" s="509"/>
      <c r="F91" s="509"/>
      <c r="G91" s="509"/>
      <c r="H91" s="511"/>
      <c r="I91" s="511"/>
      <c r="J91" s="511"/>
      <c r="K91" s="511"/>
      <c r="L91" s="511"/>
      <c r="M91" s="512"/>
      <c r="N91" s="935"/>
      <c r="O91" s="935"/>
      <c r="P91" s="1921"/>
      <c r="Q91" s="508"/>
    </row>
    <row r="92" spans="1:17" ht="14.4" thickTop="1">
      <c r="A92" s="483"/>
      <c r="B92" s="487">
        <f>B28</f>
        <v>111</v>
      </c>
      <c r="C92" s="503"/>
      <c r="D92" s="503"/>
      <c r="E92" s="503"/>
      <c r="F92" s="503"/>
      <c r="G92" s="532"/>
      <c r="H92" s="532"/>
      <c r="I92" s="532"/>
      <c r="J92" s="532"/>
      <c r="K92" s="533"/>
      <c r="L92" s="534"/>
      <c r="M92" s="535"/>
      <c r="N92" s="933"/>
      <c r="O92" s="933"/>
      <c r="P92" s="1920"/>
      <c r="Q92" s="453"/>
    </row>
    <row r="93" spans="1:17" ht="14.4" thickBot="1">
      <c r="A93" s="483"/>
      <c r="B93" s="492"/>
      <c r="C93" s="509"/>
      <c r="D93" s="485"/>
      <c r="E93" s="485"/>
      <c r="F93" s="485"/>
      <c r="G93" s="485"/>
      <c r="H93" s="485"/>
      <c r="I93" s="485"/>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479"/>
      <c r="D100" s="479"/>
      <c r="E100" s="479"/>
      <c r="F100" s="479"/>
      <c r="G100" s="479"/>
      <c r="H100" s="479"/>
      <c r="I100" s="479"/>
      <c r="J100" s="479"/>
      <c r="K100" s="480"/>
      <c r="L100" s="481"/>
      <c r="M100" s="482"/>
      <c r="N100" s="933"/>
      <c r="O100" s="933"/>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4.4"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4.4" thickBot="1">
      <c r="A127" s="502"/>
      <c r="B127" s="492"/>
      <c r="C127" s="509"/>
      <c r="D127" s="485"/>
      <c r="E127" s="485"/>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2024年1月31日（评估专业人员实地查勘之日）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本次评估采用的主估价方法为比较法和收益法。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736" t="s">
        <v>1775</v>
      </c>
      <c r="Q4" s="3737"/>
      <c r="R4" s="3740" t="s">
        <v>1771</v>
      </c>
      <c r="S4" s="3741"/>
      <c r="T4" s="3740" t="s">
        <v>1772</v>
      </c>
      <c r="U4" s="3741"/>
      <c r="V4" s="3742" t="s">
        <v>1773</v>
      </c>
      <c r="W4" s="3742"/>
      <c r="X4" s="1956"/>
      <c r="Y4" s="3740" t="s">
        <v>1775</v>
      </c>
      <c r="Z4" s="3741"/>
      <c r="AA4" s="3744" t="s">
        <v>1771</v>
      </c>
      <c r="AB4" s="3744" t="s">
        <v>1772</v>
      </c>
      <c r="AC4" s="3733" t="s">
        <v>1773</v>
      </c>
    </row>
    <row r="5" spans="1:29">
      <c r="A5" s="358"/>
      <c r="B5" s="359"/>
      <c r="C5" s="3698" t="s">
        <v>1673</v>
      </c>
      <c r="D5" s="3699"/>
      <c r="E5" s="3729" t="s">
        <v>1674</v>
      </c>
      <c r="F5" s="3707"/>
      <c r="G5" s="3698" t="s">
        <v>1675</v>
      </c>
      <c r="H5" s="3699"/>
      <c r="I5" s="3698" t="s">
        <v>1676</v>
      </c>
      <c r="J5" s="3699"/>
      <c r="K5" s="559"/>
      <c r="L5" s="2713"/>
      <c r="M5" s="2714"/>
      <c r="N5" s="2714"/>
      <c r="O5" s="2714"/>
      <c r="P5" s="3738"/>
      <c r="Q5" s="3687"/>
      <c r="R5" s="3692"/>
      <c r="S5" s="3693"/>
      <c r="T5" s="3692"/>
      <c r="U5" s="3693"/>
      <c r="V5" s="3675"/>
      <c r="W5" s="3675"/>
      <c r="X5" s="1353"/>
      <c r="Y5" s="3692"/>
      <c r="Z5" s="3693"/>
      <c r="AA5" s="3678"/>
      <c r="AB5" s="3678"/>
      <c r="AC5" s="3734"/>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739"/>
      <c r="Q6" s="3689"/>
      <c r="R6" s="3692"/>
      <c r="S6" s="3693"/>
      <c r="T6" s="3694"/>
      <c r="U6" s="3695"/>
      <c r="V6" s="3675"/>
      <c r="W6" s="3675"/>
      <c r="X6" s="1353"/>
      <c r="Y6" s="3694"/>
      <c r="Z6" s="3695"/>
      <c r="AA6" s="3679"/>
      <c r="AB6" s="3679"/>
      <c r="AC6" s="3735"/>
    </row>
    <row r="7" spans="1:29" s="108" customFormat="1" ht="1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3"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3"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66" t="s">
        <v>1691</v>
      </c>
      <c r="Q15" s="1350" t="str">
        <f t="shared" si="6"/>
        <v>办公集聚程度</v>
      </c>
      <c r="R15" s="705" t="s">
        <v>14</v>
      </c>
      <c r="S15" s="706">
        <f t="shared" si="0"/>
        <v>100</v>
      </c>
      <c r="T15" s="705" t="s">
        <v>14</v>
      </c>
      <c r="U15" s="706">
        <f t="shared" si="1"/>
        <v>100</v>
      </c>
      <c r="V15" s="705" t="s">
        <v>14</v>
      </c>
      <c r="W15" s="706">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67"/>
      <c r="Q16" s="1350"/>
      <c r="R16" s="705"/>
      <c r="S16" s="706"/>
      <c r="T16" s="705"/>
      <c r="U16" s="706"/>
      <c r="V16" s="705"/>
      <c r="W16" s="706"/>
      <c r="X16" s="1353"/>
      <c r="Y16" s="3669"/>
      <c r="Z16" s="1354"/>
      <c r="AA16" s="1351">
        <v>1</v>
      </c>
      <c r="AB16" s="1351">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67"/>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67"/>
      <c r="Q18" s="1350"/>
      <c r="R18" s="705"/>
      <c r="S18" s="706"/>
      <c r="T18" s="705"/>
      <c r="U18" s="706"/>
      <c r="V18" s="705"/>
      <c r="W18" s="706"/>
      <c r="X18" s="1353"/>
      <c r="Y18" s="3669"/>
      <c r="Z18" s="1354"/>
      <c r="AA18" s="1351">
        <v>1</v>
      </c>
      <c r="AB18" s="1351">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67"/>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67"/>
      <c r="Q20" s="1350"/>
      <c r="R20" s="705"/>
      <c r="S20" s="706"/>
      <c r="T20" s="705"/>
      <c r="U20" s="706"/>
      <c r="V20" s="705"/>
      <c r="W20" s="706"/>
      <c r="X20" s="1353"/>
      <c r="Y20" s="3669"/>
      <c r="Z20" s="1354"/>
      <c r="AA20" s="1351">
        <v>1</v>
      </c>
      <c r="AB20" s="1351">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67"/>
      <c r="Q22" s="1350"/>
      <c r="R22" s="705"/>
      <c r="S22" s="706"/>
      <c r="T22" s="705"/>
      <c r="U22" s="706"/>
      <c r="V22" s="705"/>
      <c r="W22" s="706"/>
      <c r="X22" s="1353"/>
      <c r="Y22" s="3669"/>
      <c r="Z22" s="1354"/>
      <c r="AA22" s="1351">
        <v>1</v>
      </c>
      <c r="AB22" s="1351">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67"/>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67"/>
      <c r="Q24" s="1350"/>
      <c r="R24" s="705"/>
      <c r="S24" s="706"/>
      <c r="T24" s="705"/>
      <c r="U24" s="706"/>
      <c r="V24" s="705"/>
      <c r="W24" s="706"/>
      <c r="X24" s="1353"/>
      <c r="Y24" s="3669"/>
      <c r="Z24" s="1354"/>
      <c r="AA24" s="1351">
        <v>1</v>
      </c>
      <c r="AB24" s="1351">
        <v>1</v>
      </c>
      <c r="AC24" s="1960">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67"/>
      <c r="Q25" s="1350" t="str">
        <f>B25</f>
        <v>毗邻道路的类型与等级</v>
      </c>
      <c r="R25" s="705" t="s">
        <v>14</v>
      </c>
      <c r="S25" s="706">
        <f>F25</f>
        <v>100</v>
      </c>
      <c r="T25" s="705" t="s">
        <v>14</v>
      </c>
      <c r="U25" s="706">
        <f>H25</f>
        <v>100</v>
      </c>
      <c r="V25" s="705" t="s">
        <v>14</v>
      </c>
      <c r="W25" s="706">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67"/>
      <c r="Q26" s="1350"/>
      <c r="R26" s="705"/>
      <c r="S26" s="706"/>
      <c r="T26" s="705"/>
      <c r="U26" s="706"/>
      <c r="V26" s="705"/>
      <c r="W26" s="706"/>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67"/>
      <c r="Q27" s="1350" t="str">
        <f t="shared" ref="Q27:Q47" si="11">B27</f>
        <v>楼层</v>
      </c>
      <c r="R27" s="705" t="s">
        <v>14</v>
      </c>
      <c r="S27" s="706">
        <f>F27</f>
        <v>100</v>
      </c>
      <c r="T27" s="705" t="s">
        <v>14</v>
      </c>
      <c r="U27" s="706">
        <f>H27</f>
        <v>100</v>
      </c>
      <c r="V27" s="705" t="s">
        <v>14</v>
      </c>
      <c r="W27" s="706">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67"/>
      <c r="Q28" s="1341" t="str">
        <f t="shared" si="11"/>
        <v>朝向</v>
      </c>
      <c r="R28" s="701" t="s">
        <v>14</v>
      </c>
      <c r="S28" s="702">
        <f>F28</f>
        <v>100</v>
      </c>
      <c r="T28" s="701" t="s">
        <v>14</v>
      </c>
      <c r="U28" s="702">
        <f>H28</f>
        <v>100</v>
      </c>
      <c r="V28" s="701" t="s">
        <v>14</v>
      </c>
      <c r="W28" s="702">
        <f>J28</f>
        <v>100</v>
      </c>
      <c r="X28" s="703"/>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67"/>
      <c r="Q29" s="1350">
        <f t="shared" si="11"/>
        <v>111</v>
      </c>
      <c r="R29" s="705" t="s">
        <v>14</v>
      </c>
      <c r="S29" s="706">
        <f t="shared" ref="S29:S47" si="12">F29</f>
        <v>100</v>
      </c>
      <c r="T29" s="705" t="s">
        <v>14</v>
      </c>
      <c r="U29" s="706">
        <f t="shared" ref="U29:U47" si="13">H29</f>
        <v>100</v>
      </c>
      <c r="V29" s="705" t="s">
        <v>14</v>
      </c>
      <c r="W29" s="706">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67"/>
      <c r="Q32" s="1350">
        <f t="shared" si="11"/>
        <v>111</v>
      </c>
      <c r="R32" s="705" t="s">
        <v>14</v>
      </c>
      <c r="S32" s="706">
        <f t="shared" si="12"/>
        <v>100</v>
      </c>
      <c r="T32" s="705" t="s">
        <v>14</v>
      </c>
      <c r="U32" s="706">
        <f t="shared" si="13"/>
        <v>100</v>
      </c>
      <c r="V32" s="705" t="s">
        <v>14</v>
      </c>
      <c r="W32" s="706">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5" t="s">
        <v>14</v>
      </c>
      <c r="S33" s="706">
        <f t="shared" si="12"/>
        <v>100</v>
      </c>
      <c r="T33" s="705" t="s">
        <v>14</v>
      </c>
      <c r="U33" s="706">
        <f t="shared" si="13"/>
        <v>100</v>
      </c>
      <c r="V33" s="705" t="s">
        <v>14</v>
      </c>
      <c r="W33" s="706">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5" t="s">
        <v>14</v>
      </c>
      <c r="S35" s="706">
        <f t="shared" si="12"/>
        <v>100</v>
      </c>
      <c r="T35" s="705" t="s">
        <v>14</v>
      </c>
      <c r="U35" s="706">
        <f t="shared" si="13"/>
        <v>100</v>
      </c>
      <c r="V35" s="705" t="s">
        <v>14</v>
      </c>
      <c r="W35" s="706">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5" t="s">
        <v>14</v>
      </c>
      <c r="S36" s="706">
        <f t="shared" si="12"/>
        <v>100</v>
      </c>
      <c r="T36" s="705" t="s">
        <v>14</v>
      </c>
      <c r="U36" s="706">
        <f t="shared" si="13"/>
        <v>100</v>
      </c>
      <c r="V36" s="705" t="s">
        <v>14</v>
      </c>
      <c r="W36" s="706">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5" t="s">
        <v>14</v>
      </c>
      <c r="S37" s="706" t="e">
        <f t="shared" si="12"/>
        <v>#N/A</v>
      </c>
      <c r="T37" s="705" t="s">
        <v>14</v>
      </c>
      <c r="U37" s="706" t="e">
        <f t="shared" si="13"/>
        <v>#N/A</v>
      </c>
      <c r="V37" s="705" t="s">
        <v>14</v>
      </c>
      <c r="W37" s="706"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5" t="s">
        <v>14</v>
      </c>
      <c r="S39" s="706">
        <f t="shared" si="12"/>
        <v>100</v>
      </c>
      <c r="T39" s="705" t="s">
        <v>14</v>
      </c>
      <c r="U39" s="706">
        <f t="shared" si="13"/>
        <v>100</v>
      </c>
      <c r="V39" s="705" t="s">
        <v>14</v>
      </c>
      <c r="W39" s="706">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5" t="s">
        <v>14</v>
      </c>
      <c r="S40" s="706">
        <f t="shared" si="12"/>
        <v>100</v>
      </c>
      <c r="T40" s="705" t="s">
        <v>14</v>
      </c>
      <c r="U40" s="706">
        <f t="shared" si="13"/>
        <v>100</v>
      </c>
      <c r="V40" s="705" t="s">
        <v>14</v>
      </c>
      <c r="W40" s="706">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5" t="s">
        <v>14</v>
      </c>
      <c r="S41" s="706">
        <f t="shared" si="12"/>
        <v>100</v>
      </c>
      <c r="T41" s="705" t="s">
        <v>14</v>
      </c>
      <c r="U41" s="706">
        <f t="shared" si="13"/>
        <v>100</v>
      </c>
      <c r="V41" s="705" t="s">
        <v>14</v>
      </c>
      <c r="W41" s="706">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5" t="s">
        <v>14</v>
      </c>
      <c r="S43" s="706">
        <f t="shared" si="12"/>
        <v>100</v>
      </c>
      <c r="T43" s="705" t="s">
        <v>14</v>
      </c>
      <c r="U43" s="706">
        <f t="shared" si="13"/>
        <v>100</v>
      </c>
      <c r="V43" s="705" t="s">
        <v>14</v>
      </c>
      <c r="W43" s="706">
        <f t="shared" si="14"/>
        <v>100</v>
      </c>
      <c r="X43" s="1353"/>
      <c r="Y43" s="3673"/>
      <c r="Z43" s="1354" t="str">
        <f t="shared" si="15"/>
        <v>内部装修</v>
      </c>
      <c r="AA43" s="1351">
        <f t="shared" si="3"/>
        <v>1</v>
      </c>
      <c r="AB43" s="1351">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5" t="s">
        <v>14</v>
      </c>
      <c r="S44" s="706">
        <f t="shared" si="12"/>
        <v>100</v>
      </c>
      <c r="T44" s="705" t="s">
        <v>14</v>
      </c>
      <c r="U44" s="706">
        <f t="shared" si="13"/>
        <v>100</v>
      </c>
      <c r="V44" s="705" t="s">
        <v>14</v>
      </c>
      <c r="W44" s="706">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5" t="s">
        <v>14</v>
      </c>
      <c r="S46" s="706">
        <f t="shared" si="12"/>
        <v>100</v>
      </c>
      <c r="T46" s="705" t="s">
        <v>14</v>
      </c>
      <c r="U46" s="706">
        <f t="shared" si="13"/>
        <v>100</v>
      </c>
      <c r="V46" s="705" t="s">
        <v>14</v>
      </c>
      <c r="W46" s="706">
        <f t="shared" si="14"/>
        <v>100</v>
      </c>
      <c r="X46" s="1353"/>
      <c r="Y46" s="3673"/>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5" t="s">
        <v>14</v>
      </c>
      <c r="S47" s="706">
        <f t="shared" si="12"/>
        <v>100</v>
      </c>
      <c r="T47" s="705" t="s">
        <v>14</v>
      </c>
      <c r="U47" s="706">
        <f t="shared" si="13"/>
        <v>100</v>
      </c>
      <c r="V47" s="705" t="s">
        <v>14</v>
      </c>
      <c r="W47" s="706">
        <f t="shared" si="14"/>
        <v>100</v>
      </c>
      <c r="X47" s="1353"/>
      <c r="Y47" s="3674"/>
      <c r="Z47" s="1354">
        <f t="shared" si="15"/>
        <v>111</v>
      </c>
      <c r="AA47" s="1351">
        <f t="shared" si="3"/>
        <v>1</v>
      </c>
      <c r="AB47" s="1351">
        <f t="shared" si="4"/>
        <v>1</v>
      </c>
      <c r="AC47" s="1960">
        <f t="shared" si="5"/>
        <v>1</v>
      </c>
    </row>
    <row r="48" spans="1:29" ht="14.4">
      <c r="A48" s="430" t="s">
        <v>1708</v>
      </c>
      <c r="B48" s="431"/>
      <c r="C48" s="1153" t="s">
        <v>0</v>
      </c>
      <c r="D48" s="1154"/>
      <c r="E48" s="1155"/>
      <c r="F48" s="1156"/>
      <c r="G48" s="1157"/>
      <c r="H48" s="1158"/>
      <c r="I48" s="1155"/>
      <c r="J48" s="436"/>
      <c r="K48" s="714"/>
      <c r="L48" s="2722"/>
      <c r="M48" s="2714"/>
      <c r="N48" s="2714"/>
      <c r="O48" s="2714"/>
      <c r="P48" s="3676" t="str">
        <f>A48</f>
        <v>成交单价（元/平方米）</v>
      </c>
      <c r="Q48" s="3661"/>
      <c r="R48" s="3662">
        <f>E48</f>
        <v>0</v>
      </c>
      <c r="S48" s="3662"/>
      <c r="T48" s="3662">
        <f>G48</f>
        <v>0</v>
      </c>
      <c r="U48" s="3662"/>
      <c r="V48" s="3662">
        <f>I48</f>
        <v>0</v>
      </c>
      <c r="W48" s="3662"/>
      <c r="X48" s="397"/>
      <c r="Y48" s="712"/>
      <c r="Z48" s="397"/>
      <c r="AA48" s="397"/>
      <c r="AB48" s="397"/>
      <c r="AC48" s="578"/>
    </row>
    <row r="49" spans="1:29" ht="1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76"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2"/>
      <c r="M50" s="2714"/>
      <c r="N50" s="2714"/>
      <c r="O50" s="2714"/>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913"/>
      <c r="M5" s="914"/>
      <c r="N5" s="914"/>
      <c r="O5" s="9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559" t="s">
        <v>1678</v>
      </c>
      <c r="L6" s="913"/>
      <c r="M6" s="914"/>
      <c r="N6" s="914"/>
      <c r="O6" s="9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0" t="str">
        <f t="shared" si="6"/>
        <v>产业集聚程度</v>
      </c>
      <c r="R15" s="705" t="s">
        <v>14</v>
      </c>
      <c r="S15" s="706">
        <f t="shared" si="0"/>
        <v>100</v>
      </c>
      <c r="T15" s="705" t="s">
        <v>14</v>
      </c>
      <c r="U15" s="706">
        <f t="shared" si="1"/>
        <v>100</v>
      </c>
      <c r="V15" s="705" t="s">
        <v>14</v>
      </c>
      <c r="W15" s="706">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69"/>
      <c r="Q16" s="1350"/>
      <c r="R16" s="705"/>
      <c r="S16" s="706"/>
      <c r="T16" s="705"/>
      <c r="U16" s="706"/>
      <c r="V16" s="705"/>
      <c r="W16" s="706"/>
      <c r="X16" s="1353"/>
      <c r="Y16" s="3669"/>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69"/>
      <c r="Q18" s="1350"/>
      <c r="R18" s="705"/>
      <c r="S18" s="706"/>
      <c r="T18" s="705"/>
      <c r="U18" s="706"/>
      <c r="V18" s="705"/>
      <c r="W18" s="706"/>
      <c r="X18" s="1353"/>
      <c r="Y18" s="3669"/>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69"/>
      <c r="Q20" s="1350"/>
      <c r="R20" s="705"/>
      <c r="S20" s="706"/>
      <c r="T20" s="705"/>
      <c r="U20" s="706"/>
      <c r="V20" s="705"/>
      <c r="W20" s="706"/>
      <c r="X20" s="1353"/>
      <c r="Y20" s="3669"/>
      <c r="Z20" s="1354"/>
      <c r="AA20" s="1351">
        <v>1</v>
      </c>
      <c r="AB20" s="1351">
        <v>1</v>
      </c>
      <c r="AC20" s="1351">
        <v>1</v>
      </c>
    </row>
    <row r="21" spans="1:29" ht="41.4">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69"/>
      <c r="Q22" s="1350"/>
      <c r="R22" s="705"/>
      <c r="S22" s="706"/>
      <c r="T22" s="705"/>
      <c r="U22" s="706"/>
      <c r="V22" s="705"/>
      <c r="W22" s="706"/>
      <c r="X22" s="1353"/>
      <c r="Y22" s="3669"/>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69"/>
      <c r="Q24" s="1350"/>
      <c r="R24" s="705"/>
      <c r="S24" s="706"/>
      <c r="T24" s="705"/>
      <c r="U24" s="706"/>
      <c r="V24" s="705"/>
      <c r="W24" s="706"/>
      <c r="X24" s="1353"/>
      <c r="Y24" s="3669"/>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0">
        <f>B25</f>
        <v>111</v>
      </c>
      <c r="R25" s="705" t="s">
        <v>14</v>
      </c>
      <c r="S25" s="706">
        <f>F25</f>
        <v>100</v>
      </c>
      <c r="T25" s="705" t="s">
        <v>14</v>
      </c>
      <c r="U25" s="706">
        <f>H25</f>
        <v>100</v>
      </c>
      <c r="V25" s="705" t="s">
        <v>14</v>
      </c>
      <c r="W25" s="706">
        <f>J25</f>
        <v>100</v>
      </c>
      <c r="X25" s="1353"/>
      <c r="Y25" s="3669"/>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0">
        <f t="shared" ref="Q26:Q40" si="11">B26</f>
        <v>111</v>
      </c>
      <c r="R26" s="705" t="s">
        <v>14</v>
      </c>
      <c r="S26" s="706">
        <f>F26</f>
        <v>100</v>
      </c>
      <c r="T26" s="705" t="s">
        <v>14</v>
      </c>
      <c r="U26" s="706">
        <f>H26</f>
        <v>100</v>
      </c>
      <c r="V26" s="705" t="s">
        <v>14</v>
      </c>
      <c r="W26" s="706">
        <f>J26</f>
        <v>100</v>
      </c>
      <c r="X26" s="1353"/>
      <c r="Y26" s="3669"/>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1">
        <f t="shared" si="11"/>
        <v>111</v>
      </c>
      <c r="R27" s="701" t="s">
        <v>14</v>
      </c>
      <c r="S27" s="702">
        <f>F27</f>
        <v>100</v>
      </c>
      <c r="T27" s="701" t="s">
        <v>14</v>
      </c>
      <c r="U27" s="702">
        <f>H27</f>
        <v>100</v>
      </c>
      <c r="V27" s="701" t="s">
        <v>14</v>
      </c>
      <c r="W27" s="702">
        <f>J27</f>
        <v>100</v>
      </c>
      <c r="X27" s="703"/>
      <c r="Y27" s="3669"/>
      <c r="Z27" s="52">
        <f>Q27</f>
        <v>111</v>
      </c>
      <c r="AA27" s="1351">
        <f>D27/F27</f>
        <v>1</v>
      </c>
      <c r="AB27" s="1351">
        <f>D27/H27</f>
        <v>1</v>
      </c>
      <c r="AC27" s="1351">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0">
        <f t="shared" si="11"/>
        <v>111</v>
      </c>
      <c r="R28" s="705" t="s">
        <v>14</v>
      </c>
      <c r="S28" s="706">
        <f t="shared" ref="S28:S40" si="12">F28</f>
        <v>100</v>
      </c>
      <c r="T28" s="705" t="s">
        <v>14</v>
      </c>
      <c r="U28" s="706">
        <f t="shared" ref="U28:U40" si="13">H28</f>
        <v>100</v>
      </c>
      <c r="V28" s="705" t="s">
        <v>14</v>
      </c>
      <c r="W28" s="706">
        <f t="shared" ref="W28:W40" si="14">J28</f>
        <v>100</v>
      </c>
      <c r="X28" s="1353"/>
      <c r="Y28" s="3669"/>
      <c r="Z28" s="1354">
        <f t="shared" ref="Z28:Z40" si="15">Q28</f>
        <v>111</v>
      </c>
      <c r="AA28" s="1351">
        <f t="shared" si="3"/>
        <v>1</v>
      </c>
      <c r="AB28" s="1351">
        <f t="shared" si="4"/>
        <v>1</v>
      </c>
      <c r="AC28" s="1351">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5" t="s">
        <v>1696</v>
      </c>
      <c r="Q29" s="1350" t="str">
        <f t="shared" si="11"/>
        <v>建筑类型</v>
      </c>
      <c r="R29" s="705" t="s">
        <v>14</v>
      </c>
      <c r="S29" s="706">
        <f t="shared" si="12"/>
        <v>100</v>
      </c>
      <c r="T29" s="705" t="s">
        <v>14</v>
      </c>
      <c r="U29" s="706">
        <f t="shared" si="13"/>
        <v>100</v>
      </c>
      <c r="V29" s="705" t="s">
        <v>14</v>
      </c>
      <c r="W29" s="706">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0" t="str">
        <f t="shared" si="11"/>
        <v>建筑结构</v>
      </c>
      <c r="R31" s="705" t="s">
        <v>14</v>
      </c>
      <c r="S31" s="706">
        <f t="shared" si="12"/>
        <v>100</v>
      </c>
      <c r="T31" s="705" t="s">
        <v>14</v>
      </c>
      <c r="U31" s="706">
        <f t="shared" si="13"/>
        <v>100</v>
      </c>
      <c r="V31" s="705" t="s">
        <v>14</v>
      </c>
      <c r="W31" s="706">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0" t="str">
        <f t="shared" si="11"/>
        <v>公共部分装修</v>
      </c>
      <c r="R32" s="705" t="s">
        <v>14</v>
      </c>
      <c r="S32" s="706">
        <f t="shared" si="12"/>
        <v>100</v>
      </c>
      <c r="T32" s="705" t="s">
        <v>14</v>
      </c>
      <c r="U32" s="706">
        <f t="shared" si="13"/>
        <v>100</v>
      </c>
      <c r="V32" s="705" t="s">
        <v>14</v>
      </c>
      <c r="W32" s="706">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0" t="str">
        <f t="shared" si="11"/>
        <v>成新度</v>
      </c>
      <c r="R33" s="705" t="s">
        <v>14</v>
      </c>
      <c r="S33" s="706" t="e">
        <f t="shared" si="12"/>
        <v>#N/A</v>
      </c>
      <c r="T33" s="705" t="s">
        <v>14</v>
      </c>
      <c r="U33" s="706" t="e">
        <f t="shared" si="13"/>
        <v>#N/A</v>
      </c>
      <c r="V33" s="705" t="s">
        <v>14</v>
      </c>
      <c r="W33" s="706"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1"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0" t="str">
        <f t="shared" si="11"/>
        <v>市政基础设施</v>
      </c>
      <c r="R35" s="705" t="s">
        <v>14</v>
      </c>
      <c r="S35" s="706">
        <f t="shared" si="12"/>
        <v>100</v>
      </c>
      <c r="T35" s="705" t="s">
        <v>14</v>
      </c>
      <c r="U35" s="706">
        <f t="shared" si="13"/>
        <v>100</v>
      </c>
      <c r="V35" s="705" t="s">
        <v>14</v>
      </c>
      <c r="W35" s="706">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0" t="str">
        <f t="shared" si="11"/>
        <v>内部装修</v>
      </c>
      <c r="R36" s="705" t="s">
        <v>14</v>
      </c>
      <c r="S36" s="706">
        <f t="shared" si="12"/>
        <v>100</v>
      </c>
      <c r="T36" s="705" t="s">
        <v>14</v>
      </c>
      <c r="U36" s="706">
        <f t="shared" si="13"/>
        <v>100</v>
      </c>
      <c r="V36" s="705" t="s">
        <v>14</v>
      </c>
      <c r="W36" s="706">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0" t="str">
        <f t="shared" si="11"/>
        <v>内部装修状况</v>
      </c>
      <c r="R37" s="705" t="s">
        <v>14</v>
      </c>
      <c r="S37" s="706">
        <f t="shared" si="12"/>
        <v>100</v>
      </c>
      <c r="T37" s="705" t="s">
        <v>14</v>
      </c>
      <c r="U37" s="706">
        <f t="shared" si="13"/>
        <v>100</v>
      </c>
      <c r="V37" s="705" t="s">
        <v>14</v>
      </c>
      <c r="W37" s="706">
        <f t="shared" si="14"/>
        <v>100</v>
      </c>
      <c r="X37" s="1353"/>
      <c r="Y37" s="367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0">
        <f t="shared" si="11"/>
        <v>111</v>
      </c>
      <c r="R39" s="705" t="s">
        <v>14</v>
      </c>
      <c r="S39" s="706">
        <f t="shared" si="12"/>
        <v>100</v>
      </c>
      <c r="T39" s="705" t="s">
        <v>14</v>
      </c>
      <c r="U39" s="706">
        <f t="shared" si="13"/>
        <v>100</v>
      </c>
      <c r="V39" s="705" t="s">
        <v>14</v>
      </c>
      <c r="W39" s="706">
        <f t="shared" si="14"/>
        <v>100</v>
      </c>
      <c r="X39" s="1353"/>
      <c r="Y39" s="3673"/>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0">
        <f t="shared" si="11"/>
        <v>111</v>
      </c>
      <c r="R40" s="705" t="s">
        <v>14</v>
      </c>
      <c r="S40" s="706">
        <f t="shared" si="12"/>
        <v>100</v>
      </c>
      <c r="T40" s="705" t="s">
        <v>14</v>
      </c>
      <c r="U40" s="706">
        <f t="shared" si="13"/>
        <v>100</v>
      </c>
      <c r="V40" s="705" t="s">
        <v>14</v>
      </c>
      <c r="W40" s="706">
        <f t="shared" si="14"/>
        <v>100</v>
      </c>
      <c r="X40" s="1353"/>
      <c r="Y40" s="3674"/>
      <c r="Z40" s="1354">
        <f t="shared" si="15"/>
        <v>111</v>
      </c>
      <c r="AA40" s="1351">
        <f t="shared" si="3"/>
        <v>1</v>
      </c>
      <c r="AB40" s="1351">
        <f t="shared" si="4"/>
        <v>1</v>
      </c>
      <c r="AC40" s="1351">
        <f t="shared" si="5"/>
        <v>1</v>
      </c>
    </row>
    <row r="41" spans="1:29" ht="14.4">
      <c r="A41" s="430" t="s">
        <v>1708</v>
      </c>
      <c r="B41" s="431"/>
      <c r="C41" s="1153" t="s">
        <v>0</v>
      </c>
      <c r="D41" s="1154"/>
      <c r="E41" s="1155"/>
      <c r="F41" s="1156"/>
      <c r="G41" s="1157"/>
      <c r="H41" s="1158"/>
      <c r="I41" s="1155"/>
      <c r="J41" s="1158"/>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1" t="s">
        <v>1686</v>
      </c>
      <c r="Q9" s="1341"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1"/>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5" t="s">
        <v>14</v>
      </c>
      <c r="S14" s="706">
        <f t="shared" si="0"/>
        <v>100</v>
      </c>
      <c r="T14" s="705" t="s">
        <v>14</v>
      </c>
      <c r="U14" s="706">
        <f t="shared" si="1"/>
        <v>100</v>
      </c>
      <c r="V14" s="705" t="s">
        <v>14</v>
      </c>
      <c r="W14" s="706">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5"/>
      <c r="S15" s="706"/>
      <c r="T15" s="705"/>
      <c r="U15" s="706"/>
      <c r="V15" s="705"/>
      <c r="W15" s="706"/>
      <c r="X15" s="1353"/>
      <c r="Y15" s="3669"/>
      <c r="Z15" s="1354"/>
      <c r="AA15" s="1351">
        <v>1</v>
      </c>
      <c r="AB15" s="1351">
        <v>1</v>
      </c>
      <c r="AC15" s="1351">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5"/>
      <c r="S17" s="706"/>
      <c r="T17" s="705"/>
      <c r="U17" s="706"/>
      <c r="V17" s="705"/>
      <c r="W17" s="706"/>
      <c r="X17" s="1353"/>
      <c r="Y17" s="3669"/>
      <c r="Z17" s="1354"/>
      <c r="AA17" s="1351">
        <v>1</v>
      </c>
      <c r="AB17" s="1351">
        <v>1</v>
      </c>
      <c r="AC17" s="1351">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69"/>
      <c r="Q19" s="1350"/>
      <c r="R19" s="705"/>
      <c r="S19" s="706"/>
      <c r="T19" s="705"/>
      <c r="U19" s="706"/>
      <c r="V19" s="705"/>
      <c r="W19" s="706"/>
      <c r="X19" s="1353"/>
      <c r="Y19" s="3669"/>
      <c r="Z19" s="1354"/>
      <c r="AA19" s="1351">
        <v>1</v>
      </c>
      <c r="AB19" s="1351">
        <v>1</v>
      </c>
      <c r="AC19" s="1351">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5"/>
      <c r="S21" s="706"/>
      <c r="T21" s="705"/>
      <c r="U21" s="706"/>
      <c r="V21" s="705"/>
      <c r="W21" s="706"/>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5"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5" t="s">
        <v>14</v>
      </c>
      <c r="S28" s="706">
        <f t="shared" si="12"/>
        <v>100</v>
      </c>
      <c r="T28" s="705" t="s">
        <v>14</v>
      </c>
      <c r="U28" s="706">
        <f t="shared" si="13"/>
        <v>100</v>
      </c>
      <c r="V28" s="705" t="s">
        <v>14</v>
      </c>
      <c r="W28" s="706">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5" t="s">
        <v>14</v>
      </c>
      <c r="S29" s="706" t="e">
        <f t="shared" si="12"/>
        <v>#N/A</v>
      </c>
      <c r="T29" s="705" t="s">
        <v>14</v>
      </c>
      <c r="U29" s="706" t="e">
        <f t="shared" si="13"/>
        <v>#N/A</v>
      </c>
      <c r="V29" s="705" t="s">
        <v>14</v>
      </c>
      <c r="W29" s="706"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5" t="s">
        <v>14</v>
      </c>
      <c r="S30" s="706">
        <f t="shared" si="12"/>
        <v>100</v>
      </c>
      <c r="T30" s="705" t="s">
        <v>14</v>
      </c>
      <c r="U30" s="706">
        <f t="shared" si="13"/>
        <v>100</v>
      </c>
      <c r="V30" s="705" t="s">
        <v>14</v>
      </c>
      <c r="W30" s="706">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5" t="s">
        <v>14</v>
      </c>
      <c r="S32" s="706">
        <f t="shared" si="12"/>
        <v>100</v>
      </c>
      <c r="T32" s="705" t="s">
        <v>14</v>
      </c>
      <c r="U32" s="706">
        <f t="shared" si="13"/>
        <v>100</v>
      </c>
      <c r="V32" s="705" t="s">
        <v>14</v>
      </c>
      <c r="W32" s="706">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5" t="s">
        <v>14</v>
      </c>
      <c r="S33" s="706">
        <f t="shared" si="12"/>
        <v>100</v>
      </c>
      <c r="T33" s="705" t="s">
        <v>14</v>
      </c>
      <c r="U33" s="706">
        <f t="shared" si="13"/>
        <v>100</v>
      </c>
      <c r="V33" s="705" t="s">
        <v>14</v>
      </c>
      <c r="W33" s="706">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5" t="s">
        <v>14</v>
      </c>
      <c r="S36" s="706">
        <f t="shared" si="12"/>
        <v>100</v>
      </c>
      <c r="T36" s="705" t="s">
        <v>14</v>
      </c>
      <c r="U36" s="706">
        <f t="shared" si="13"/>
        <v>100</v>
      </c>
      <c r="V36" s="705" t="s">
        <v>14</v>
      </c>
      <c r="W36" s="706">
        <f t="shared" si="14"/>
        <v>100</v>
      </c>
      <c r="X36" s="1353"/>
      <c r="Y36" s="3673"/>
      <c r="Z36" s="1354">
        <f t="shared" si="15"/>
        <v>111</v>
      </c>
      <c r="AA36" s="1351">
        <f t="shared" si="3"/>
        <v>1</v>
      </c>
      <c r="AB36" s="1351">
        <f t="shared" si="4"/>
        <v>1</v>
      </c>
      <c r="AC36" s="1351">
        <f t="shared" si="5"/>
        <v>1</v>
      </c>
    </row>
    <row r="37" spans="1:29" ht="14.4">
      <c r="A37" s="430" t="s">
        <v>1844</v>
      </c>
      <c r="B37" s="1971" t="s">
        <v>3353</v>
      </c>
      <c r="C37" s="1153" t="s">
        <v>0</v>
      </c>
      <c r="D37" s="1154"/>
      <c r="E37" s="1155"/>
      <c r="F37" s="1156"/>
      <c r="G37" s="1157"/>
      <c r="H37" s="1158"/>
      <c r="I37" s="1155"/>
      <c r="J37" s="1158"/>
      <c r="K37" s="568"/>
      <c r="L37" s="2722"/>
      <c r="M37" s="2723"/>
      <c r="N37" s="2714"/>
      <c r="O37" s="2723"/>
      <c r="P37" s="3661" t="str">
        <f>A37</f>
        <v>成交单价</v>
      </c>
      <c r="Q37" s="3661"/>
      <c r="R37" s="3662">
        <f>E37</f>
        <v>0</v>
      </c>
      <c r="S37" s="3662"/>
      <c r="T37" s="3662">
        <f>G37</f>
        <v>0</v>
      </c>
      <c r="U37" s="3662"/>
      <c r="V37" s="3662">
        <f>I37</f>
        <v>0</v>
      </c>
      <c r="W37" s="3662"/>
      <c r="X37" s="690"/>
      <c r="Y37" s="712"/>
      <c r="Z37" s="690"/>
      <c r="AA37" s="690"/>
      <c r="AB37" s="690"/>
      <c r="AC37" s="690"/>
    </row>
    <row r="38" spans="1:29" ht="1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2"/>
      <c r="M39" s="2723"/>
      <c r="N39" s="2723"/>
      <c r="O39" s="2723"/>
      <c r="P39" s="3663" t="str">
        <f>A39</f>
        <v>估价对象XX用房的比较价值（楼面单价，元/平方米）</v>
      </c>
      <c r="Q39" s="3664"/>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7"/>
      <c r="Q48" s="2739"/>
      <c r="R48" s="2739"/>
      <c r="S48" s="2739"/>
      <c r="T48" s="2739"/>
      <c r="U48" s="2739"/>
      <c r="V48" s="2739"/>
      <c r="W48" s="2739"/>
      <c r="X48" s="2739"/>
      <c r="Y48" s="2739"/>
      <c r="Z48" s="2739"/>
      <c r="AA48" s="2739"/>
      <c r="AB48" s="2739"/>
      <c r="AC48" s="2739"/>
    </row>
    <row r="49" spans="1:29" s="108" customFormat="1">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1" t="s">
        <v>1686</v>
      </c>
      <c r="Q9" s="1341"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1"/>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5" t="s">
        <v>14</v>
      </c>
      <c r="S14" s="706">
        <f t="shared" si="0"/>
        <v>100</v>
      </c>
      <c r="T14" s="705" t="s">
        <v>14</v>
      </c>
      <c r="U14" s="706">
        <f t="shared" si="1"/>
        <v>100</v>
      </c>
      <c r="V14" s="705" t="s">
        <v>14</v>
      </c>
      <c r="W14" s="706">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5"/>
      <c r="S15" s="706"/>
      <c r="T15" s="705"/>
      <c r="U15" s="706"/>
      <c r="V15" s="705"/>
      <c r="W15" s="706"/>
      <c r="X15" s="1353"/>
      <c r="Y15" s="3669"/>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5"/>
      <c r="S17" s="706"/>
      <c r="T17" s="705"/>
      <c r="U17" s="706"/>
      <c r="V17" s="705"/>
      <c r="W17" s="706"/>
      <c r="X17" s="1353"/>
      <c r="Y17" s="3669"/>
      <c r="Z17" s="1354"/>
      <c r="AA17" s="1351">
        <v>1</v>
      </c>
      <c r="AB17" s="1351">
        <v>1</v>
      </c>
      <c r="AC17" s="1351">
        <v>1</v>
      </c>
    </row>
    <row r="18" spans="1:29" ht="41.4">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69"/>
      <c r="Q19" s="1350"/>
      <c r="R19" s="705"/>
      <c r="S19" s="706"/>
      <c r="T19" s="705"/>
      <c r="U19" s="706"/>
      <c r="V19" s="705"/>
      <c r="W19" s="706"/>
      <c r="X19" s="1353"/>
      <c r="Y19" s="3669"/>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5"/>
      <c r="S21" s="706"/>
      <c r="T21" s="705"/>
      <c r="U21" s="706"/>
      <c r="V21" s="705"/>
      <c r="W21" s="706"/>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5"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5" t="s">
        <v>14</v>
      </c>
      <c r="S28" s="706">
        <f t="shared" si="12"/>
        <v>100</v>
      </c>
      <c r="T28" s="705" t="s">
        <v>14</v>
      </c>
      <c r="U28" s="706">
        <f t="shared" si="13"/>
        <v>100</v>
      </c>
      <c r="V28" s="705" t="s">
        <v>14</v>
      </c>
      <c r="W28" s="706">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5" t="s">
        <v>14</v>
      </c>
      <c r="S29" s="706">
        <f t="shared" si="12"/>
        <v>100</v>
      </c>
      <c r="T29" s="705" t="s">
        <v>14</v>
      </c>
      <c r="U29" s="706">
        <f t="shared" si="13"/>
        <v>100</v>
      </c>
      <c r="V29" s="705" t="s">
        <v>14</v>
      </c>
      <c r="W29" s="706">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5" t="s">
        <v>14</v>
      </c>
      <c r="S30" s="706" t="e">
        <f t="shared" si="12"/>
        <v>#N/A</v>
      </c>
      <c r="T30" s="705" t="s">
        <v>14</v>
      </c>
      <c r="U30" s="706" t="e">
        <f t="shared" si="13"/>
        <v>#N/A</v>
      </c>
      <c r="V30" s="705" t="s">
        <v>14</v>
      </c>
      <c r="W30" s="706"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5" t="s">
        <v>14</v>
      </c>
      <c r="S32" s="706">
        <f t="shared" si="12"/>
        <v>100</v>
      </c>
      <c r="T32" s="705" t="s">
        <v>14</v>
      </c>
      <c r="U32" s="706">
        <f t="shared" si="13"/>
        <v>100</v>
      </c>
      <c r="V32" s="705" t="s">
        <v>14</v>
      </c>
      <c r="W32" s="706">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5" t="s">
        <v>14</v>
      </c>
      <c r="S33" s="706">
        <f t="shared" si="12"/>
        <v>100</v>
      </c>
      <c r="T33" s="705" t="s">
        <v>14</v>
      </c>
      <c r="U33" s="706">
        <f t="shared" si="13"/>
        <v>100</v>
      </c>
      <c r="V33" s="705" t="s">
        <v>14</v>
      </c>
      <c r="W33" s="706">
        <f t="shared" si="14"/>
        <v>100</v>
      </c>
      <c r="X33" s="1353"/>
      <c r="Y33" s="3673"/>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30" ht="14.4">
      <c r="A35" s="430" t="s">
        <v>1708</v>
      </c>
      <c r="B35" s="431"/>
      <c r="C35" s="1153" t="s">
        <v>0</v>
      </c>
      <c r="D35" s="1154"/>
      <c r="E35" s="1155"/>
      <c r="F35" s="1156"/>
      <c r="G35" s="1157"/>
      <c r="H35" s="1158"/>
      <c r="I35" s="1155"/>
      <c r="J35" s="1158"/>
      <c r="K35" s="714"/>
      <c r="L35" s="2722"/>
      <c r="M35" s="2723"/>
      <c r="N35" s="2714"/>
      <c r="O35" s="2723"/>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2"/>
      <c r="M37" s="2723"/>
      <c r="N37" s="2723"/>
      <c r="O37" s="2723"/>
      <c r="P37" s="3663" t="str">
        <f>A37</f>
        <v>估价对象XX用房的比较价值（楼面单价，元/平方米）</v>
      </c>
      <c r="Q37" s="3664"/>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30">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30"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30" s="108" customFormat="1" ht="15" thickBot="1">
      <c r="A7" s="362" t="s">
        <v>1679</v>
      </c>
      <c r="B7" s="363"/>
      <c r="C7" s="364">
        <f>'数据-取费表'!B2</f>
        <v>45322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61"/>
      <c r="Q10" s="1341" t="str">
        <f t="shared" si="6"/>
        <v>土地使用年限（年）</v>
      </c>
      <c r="R10" s="701" t="s">
        <v>14</v>
      </c>
      <c r="S10" s="702">
        <f t="shared" si="0"/>
        <v>110</v>
      </c>
      <c r="T10" s="701" t="s">
        <v>14</v>
      </c>
      <c r="U10" s="702">
        <f t="shared" si="1"/>
        <v>110</v>
      </c>
      <c r="V10" s="701" t="s">
        <v>14</v>
      </c>
      <c r="W10" s="702">
        <f t="shared" si="2"/>
        <v>110</v>
      </c>
      <c r="X10" s="703"/>
      <c r="Y10" s="3554"/>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1"/>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1"/>
      <c r="Q12" s="1341"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5" t="s">
        <v>14</v>
      </c>
      <c r="S15" s="706">
        <f t="shared" si="0"/>
        <v>100</v>
      </c>
      <c r="T15" s="705" t="s">
        <v>14</v>
      </c>
      <c r="U15" s="706">
        <f t="shared" si="1"/>
        <v>100</v>
      </c>
      <c r="V15" s="705" t="s">
        <v>14</v>
      </c>
      <c r="W15" s="706">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5"/>
      <c r="S16" s="706"/>
      <c r="T16" s="705"/>
      <c r="U16" s="706"/>
      <c r="V16" s="705"/>
      <c r="W16" s="706"/>
      <c r="X16" s="1353"/>
      <c r="Y16" s="3669"/>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5" t="s">
        <v>14</v>
      </c>
      <c r="S17" s="706">
        <f>F17</f>
        <v>100</v>
      </c>
      <c r="T17" s="705" t="s">
        <v>14</v>
      </c>
      <c r="U17" s="706">
        <f>H17</f>
        <v>100</v>
      </c>
      <c r="V17" s="705" t="s">
        <v>14</v>
      </c>
      <c r="W17" s="706">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5"/>
      <c r="S18" s="706"/>
      <c r="T18" s="705"/>
      <c r="U18" s="706"/>
      <c r="V18" s="705"/>
      <c r="W18" s="706"/>
      <c r="X18" s="1353"/>
      <c r="Y18" s="3669"/>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5" t="s">
        <v>14</v>
      </c>
      <c r="S19" s="706">
        <f>F19</f>
        <v>100</v>
      </c>
      <c r="T19" s="705" t="s">
        <v>14</v>
      </c>
      <c r="U19" s="706">
        <f>H19</f>
        <v>100</v>
      </c>
      <c r="V19" s="705" t="s">
        <v>14</v>
      </c>
      <c r="W19" s="706">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5"/>
      <c r="S20" s="706"/>
      <c r="T20" s="705"/>
      <c r="U20" s="706"/>
      <c r="V20" s="705"/>
      <c r="W20" s="706"/>
      <c r="X20" s="1353"/>
      <c r="Y20" s="3669"/>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5" t="s">
        <v>14</v>
      </c>
      <c r="S21" s="706">
        <f>F21</f>
        <v>100</v>
      </c>
      <c r="T21" s="705" t="s">
        <v>14</v>
      </c>
      <c r="U21" s="706">
        <f>H21</f>
        <v>100</v>
      </c>
      <c r="V21" s="705" t="s">
        <v>14</v>
      </c>
      <c r="W21" s="706">
        <f>J21</f>
        <v>100</v>
      </c>
      <c r="X21" s="1353"/>
      <c r="Y21" s="3669"/>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69"/>
      <c r="Q22" s="1350"/>
      <c r="R22" s="705"/>
      <c r="S22" s="706"/>
      <c r="T22" s="705"/>
      <c r="U22" s="706"/>
      <c r="V22" s="705"/>
      <c r="W22" s="706"/>
      <c r="X22" s="1353"/>
      <c r="Y22" s="3669"/>
      <c r="Z22" s="1354"/>
      <c r="AA22" s="1351">
        <v>1</v>
      </c>
      <c r="AB22" s="1351">
        <v>1</v>
      </c>
      <c r="AC22" s="1351">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5" t="s">
        <v>14</v>
      </c>
      <c r="S23" s="706">
        <f>F23</f>
        <v>100</v>
      </c>
      <c r="T23" s="705" t="s">
        <v>14</v>
      </c>
      <c r="U23" s="706">
        <f>H23</f>
        <v>100</v>
      </c>
      <c r="V23" s="705" t="s">
        <v>14</v>
      </c>
      <c r="W23" s="706">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69"/>
      <c r="Q24" s="1350"/>
      <c r="R24" s="705"/>
      <c r="S24" s="706"/>
      <c r="T24" s="705"/>
      <c r="U24" s="706"/>
      <c r="V24" s="705"/>
      <c r="W24" s="706"/>
      <c r="X24" s="1353"/>
      <c r="Y24" s="3669"/>
      <c r="Z24" s="1354"/>
      <c r="AA24" s="1351"/>
      <c r="AB24" s="1351"/>
      <c r="AC24" s="1351"/>
    </row>
    <row r="25" spans="1:29" ht="55.2">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5" t="s">
        <v>14</v>
      </c>
      <c r="S25" s="706">
        <f>F25</f>
        <v>100</v>
      </c>
      <c r="T25" s="705" t="s">
        <v>14</v>
      </c>
      <c r="U25" s="706">
        <f>H25</f>
        <v>100</v>
      </c>
      <c r="V25" s="705" t="s">
        <v>14</v>
      </c>
      <c r="W25" s="706">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5"/>
      <c r="S26" s="706"/>
      <c r="T26" s="705"/>
      <c r="U26" s="706"/>
      <c r="V26" s="705"/>
      <c r="W26" s="706"/>
      <c r="X26" s="1353"/>
      <c r="Y26" s="3669"/>
      <c r="Z26" s="1354"/>
      <c r="AA26" s="1351">
        <v>1</v>
      </c>
      <c r="AB26" s="1351">
        <v>1</v>
      </c>
      <c r="AC26" s="1351">
        <v>1</v>
      </c>
    </row>
    <row r="27" spans="1:29" s="108" customFormat="1" ht="41.4">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701" t="s">
        <v>14</v>
      </c>
      <c r="S27" s="702">
        <f>F27</f>
        <v>100</v>
      </c>
      <c r="T27" s="701" t="s">
        <v>14</v>
      </c>
      <c r="U27" s="702">
        <f>H27</f>
        <v>100</v>
      </c>
      <c r="V27" s="701" t="s">
        <v>14</v>
      </c>
      <c r="W27" s="702">
        <f>J27</f>
        <v>100</v>
      </c>
      <c r="X27" s="703"/>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701"/>
      <c r="S28" s="702"/>
      <c r="T28" s="701"/>
      <c r="U28" s="702"/>
      <c r="V28" s="701"/>
      <c r="W28" s="702"/>
      <c r="X28" s="703"/>
      <c r="Y28" s="3669"/>
      <c r="Z28" s="52"/>
      <c r="AA28" s="1351">
        <v>1</v>
      </c>
      <c r="AB28" s="1351">
        <v>1</v>
      </c>
      <c r="AC28" s="1351">
        <v>1</v>
      </c>
    </row>
    <row r="29" spans="1:29" s="108" customFormat="1" ht="41.4">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701"/>
      <c r="S30" s="702"/>
      <c r="T30" s="701"/>
      <c r="U30" s="702"/>
      <c r="V30" s="701"/>
      <c r="W30" s="702"/>
      <c r="X30" s="703"/>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69"/>
      <c r="Z31" s="1354" t="str">
        <f t="shared" ref="Z31:Z45" si="13">Q31</f>
        <v>临街状况</v>
      </c>
      <c r="AA31" s="1351">
        <f t="shared" si="3"/>
        <v>1</v>
      </c>
      <c r="AB31" s="1351">
        <f t="shared" si="4"/>
        <v>1</v>
      </c>
      <c r="AC31" s="1351">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5" t="s">
        <v>14</v>
      </c>
      <c r="S32" s="706">
        <f t="shared" si="10"/>
        <v>100</v>
      </c>
      <c r="T32" s="705" t="s">
        <v>14</v>
      </c>
      <c r="U32" s="706">
        <f t="shared" si="11"/>
        <v>100</v>
      </c>
      <c r="V32" s="705" t="s">
        <v>14</v>
      </c>
      <c r="W32" s="706">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5"/>
      <c r="S33" s="706"/>
      <c r="T33" s="705"/>
      <c r="U33" s="706"/>
      <c r="V33" s="705"/>
      <c r="W33" s="706"/>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5" t="s">
        <v>14</v>
      </c>
      <c r="S34" s="706">
        <f t="shared" si="10"/>
        <v>100</v>
      </c>
      <c r="T34" s="705" t="s">
        <v>14</v>
      </c>
      <c r="U34" s="706">
        <f t="shared" si="11"/>
        <v>100</v>
      </c>
      <c r="V34" s="705" t="s">
        <v>14</v>
      </c>
      <c r="W34" s="706">
        <f t="shared" si="12"/>
        <v>100</v>
      </c>
      <c r="X34" s="1353"/>
      <c r="Y34" s="3669"/>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5" t="s">
        <v>14</v>
      </c>
      <c r="S35" s="706">
        <f t="shared" si="10"/>
        <v>100</v>
      </c>
      <c r="T35" s="705" t="s">
        <v>14</v>
      </c>
      <c r="U35" s="706">
        <f t="shared" si="11"/>
        <v>100</v>
      </c>
      <c r="V35" s="705" t="s">
        <v>14</v>
      </c>
      <c r="W35" s="706">
        <f t="shared" si="12"/>
        <v>100</v>
      </c>
      <c r="X35" s="1353"/>
      <c r="Y35" s="3669"/>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5" t="s">
        <v>1696</v>
      </c>
      <c r="Q36" s="1350">
        <f t="shared" si="8"/>
        <v>111</v>
      </c>
      <c r="R36" s="705" t="s">
        <v>14</v>
      </c>
      <c r="S36" s="706">
        <f t="shared" si="10"/>
        <v>100</v>
      </c>
      <c r="T36" s="705" t="s">
        <v>14</v>
      </c>
      <c r="U36" s="706">
        <f t="shared" si="11"/>
        <v>100</v>
      </c>
      <c r="V36" s="705" t="s">
        <v>14</v>
      </c>
      <c r="W36" s="706">
        <f t="shared" si="12"/>
        <v>100</v>
      </c>
      <c r="X36" s="1353"/>
      <c r="Y36" s="3673" t="s">
        <v>1696</v>
      </c>
      <c r="Z36" s="1354">
        <f t="shared" si="13"/>
        <v>111</v>
      </c>
      <c r="AA36" s="1351">
        <f t="shared" si="3"/>
        <v>1</v>
      </c>
      <c r="AB36" s="1351">
        <f t="shared" si="4"/>
        <v>1</v>
      </c>
      <c r="AC36" s="1351">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8" t="s">
        <v>14</v>
      </c>
      <c r="S37" s="709">
        <f t="shared" si="10"/>
        <v>100</v>
      </c>
      <c r="T37" s="708" t="s">
        <v>14</v>
      </c>
      <c r="U37" s="709">
        <f t="shared" si="11"/>
        <v>100</v>
      </c>
      <c r="V37" s="708" t="s">
        <v>14</v>
      </c>
      <c r="W37" s="709">
        <f t="shared" si="12"/>
        <v>100</v>
      </c>
      <c r="X37" s="710"/>
      <c r="Y37" s="3673"/>
      <c r="Z37" s="711">
        <f t="shared" si="13"/>
        <v>111</v>
      </c>
      <c r="AA37" s="1351">
        <f t="shared" si="3"/>
        <v>1</v>
      </c>
      <c r="AB37" s="1351">
        <f t="shared" si="4"/>
        <v>1</v>
      </c>
      <c r="AC37" s="1351">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5" t="s">
        <v>14</v>
      </c>
      <c r="S38" s="706" t="e">
        <f t="shared" si="10"/>
        <v>#N/A</v>
      </c>
      <c r="T38" s="705" t="s">
        <v>14</v>
      </c>
      <c r="U38" s="706" t="e">
        <f t="shared" si="11"/>
        <v>#N/A</v>
      </c>
      <c r="V38" s="705" t="s">
        <v>14</v>
      </c>
      <c r="W38" s="706"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5" t="s">
        <v>14</v>
      </c>
      <c r="S39" s="706">
        <f t="shared" si="10"/>
        <v>100</v>
      </c>
      <c r="T39" s="705" t="s">
        <v>14</v>
      </c>
      <c r="U39" s="706">
        <f t="shared" si="11"/>
        <v>100</v>
      </c>
      <c r="V39" s="705" t="s">
        <v>14</v>
      </c>
      <c r="W39" s="706">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5" t="s">
        <v>14</v>
      </c>
      <c r="S40" s="706">
        <f t="shared" si="10"/>
        <v>100</v>
      </c>
      <c r="T40" s="705" t="s">
        <v>14</v>
      </c>
      <c r="U40" s="706">
        <f t="shared" si="11"/>
        <v>100</v>
      </c>
      <c r="V40" s="705" t="s">
        <v>14</v>
      </c>
      <c r="W40" s="706">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5" t="s">
        <v>14</v>
      </c>
      <c r="S42" s="706">
        <f t="shared" si="10"/>
        <v>100</v>
      </c>
      <c r="T42" s="705" t="s">
        <v>14</v>
      </c>
      <c r="U42" s="706">
        <f t="shared" si="11"/>
        <v>100</v>
      </c>
      <c r="V42" s="705" t="s">
        <v>14</v>
      </c>
      <c r="W42" s="706">
        <f t="shared" si="12"/>
        <v>100</v>
      </c>
      <c r="X42" s="1353"/>
      <c r="Y42" s="3673"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5" t="s">
        <v>14</v>
      </c>
      <c r="S43" s="706">
        <f t="shared" si="10"/>
        <v>100</v>
      </c>
      <c r="T43" s="705" t="s">
        <v>14</v>
      </c>
      <c r="U43" s="706">
        <f t="shared" si="11"/>
        <v>100</v>
      </c>
      <c r="V43" s="705" t="s">
        <v>14</v>
      </c>
      <c r="W43" s="706">
        <f t="shared" si="12"/>
        <v>100</v>
      </c>
      <c r="X43" s="1353"/>
      <c r="Y43" s="3673"/>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5" t="s">
        <v>14</v>
      </c>
      <c r="S44" s="706">
        <f t="shared" si="10"/>
        <v>100</v>
      </c>
      <c r="T44" s="705" t="s">
        <v>14</v>
      </c>
      <c r="U44" s="706">
        <f t="shared" si="11"/>
        <v>100</v>
      </c>
      <c r="V44" s="705" t="s">
        <v>14</v>
      </c>
      <c r="W44" s="706">
        <f t="shared" si="12"/>
        <v>100</v>
      </c>
      <c r="X44" s="1353"/>
      <c r="Y44" s="3673"/>
      <c r="Z44" s="1354">
        <f t="shared" si="13"/>
        <v>111</v>
      </c>
      <c r="AA44" s="1351">
        <f t="shared" si="3"/>
        <v>1</v>
      </c>
      <c r="AB44" s="1351">
        <f t="shared" si="4"/>
        <v>1</v>
      </c>
      <c r="AC44" s="1351">
        <f t="shared" si="5"/>
        <v>1</v>
      </c>
    </row>
    <row r="45" spans="1:29" s="422" customFormat="1" ht="15.6"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8" t="s">
        <v>14</v>
      </c>
      <c r="S45" s="709">
        <f t="shared" si="10"/>
        <v>100</v>
      </c>
      <c r="T45" s="708" t="s">
        <v>14</v>
      </c>
      <c r="U45" s="709">
        <f t="shared" si="11"/>
        <v>100</v>
      </c>
      <c r="V45" s="708" t="s">
        <v>14</v>
      </c>
      <c r="W45" s="709">
        <f t="shared" si="12"/>
        <v>100</v>
      </c>
      <c r="X45" s="710"/>
      <c r="Y45" s="3673"/>
      <c r="Z45" s="711">
        <f t="shared" si="13"/>
        <v>111</v>
      </c>
      <c r="AA45" s="1351">
        <f t="shared" si="3"/>
        <v>1</v>
      </c>
      <c r="AB45" s="1351">
        <f t="shared" si="4"/>
        <v>1</v>
      </c>
      <c r="AC45" s="1351">
        <f t="shared" si="5"/>
        <v>1</v>
      </c>
    </row>
    <row r="46" spans="1:29" ht="14.4">
      <c r="A46" s="430" t="s">
        <v>1844</v>
      </c>
      <c r="B46" s="1980" t="s">
        <v>1879</v>
      </c>
      <c r="C46" s="630" t="s">
        <v>0</v>
      </c>
      <c r="D46" s="432"/>
      <c r="E46" s="433"/>
      <c r="F46" s="434"/>
      <c r="G46" s="435"/>
      <c r="H46" s="436"/>
      <c r="I46" s="433"/>
      <c r="J46" s="436"/>
      <c r="K46" s="714"/>
      <c r="L46" s="2722"/>
      <c r="M46" s="2723"/>
      <c r="N46" s="2714"/>
      <c r="O46" s="2723"/>
      <c r="P46" s="3661" t="str">
        <f>A46</f>
        <v>成交单价</v>
      </c>
      <c r="Q46" s="3661"/>
      <c r="R46" s="3675">
        <f>E46</f>
        <v>0</v>
      </c>
      <c r="S46" s="3675"/>
      <c r="T46" s="3675">
        <f>G46</f>
        <v>0</v>
      </c>
      <c r="U46" s="3675"/>
      <c r="V46" s="3675">
        <f>I46</f>
        <v>0</v>
      </c>
      <c r="W46" s="3675"/>
      <c r="X46" s="690"/>
      <c r="Y46" s="712"/>
      <c r="Z46" s="690"/>
      <c r="AA46" s="690"/>
      <c r="AB46" s="690"/>
      <c r="AC46" s="690"/>
    </row>
    <row r="47" spans="1:29" ht="1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61" t="str">
        <f>A47</f>
        <v>比较价值（元/平方米）</v>
      </c>
      <c r="Q47" s="3661"/>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663" t="str">
        <f>A48</f>
        <v>估价对象XX用房的比较价值（楼面单价，元/平方米）</v>
      </c>
      <c r="Q48" s="3664"/>
      <c r="R48" s="3748" t="e">
        <f>ROUND(IF(D47="简单平均",AVERAGE(R47:W47),R47*F47+T47*H47+V47*J47),0)</f>
        <v>#DIV/0!</v>
      </c>
      <c r="S48" s="3748"/>
      <c r="T48" s="3748"/>
      <c r="U48" s="3748"/>
      <c r="V48" s="3748"/>
      <c r="W48" s="374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0" t="s">
        <v>1887</v>
      </c>
      <c r="H55" s="374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76"/>
      <c r="H56" s="366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750" t="s">
        <v>1919</v>
      </c>
      <c r="D6" s="3751"/>
      <c r="E6" s="3752" t="s">
        <v>1919</v>
      </c>
      <c r="F6" s="3753"/>
      <c r="G6" s="3750" t="s">
        <v>1919</v>
      </c>
      <c r="H6" s="3751"/>
      <c r="I6" s="3750" t="s">
        <v>1919</v>
      </c>
      <c r="J6" s="3751"/>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61"/>
      <c r="Q10" s="1341" t="str">
        <f t="shared" si="6"/>
        <v>土地使用年限（年）</v>
      </c>
      <c r="R10" s="701" t="s">
        <v>14</v>
      </c>
      <c r="S10" s="702">
        <f t="shared" si="0"/>
        <v>110</v>
      </c>
      <c r="T10" s="701" t="s">
        <v>14</v>
      </c>
      <c r="U10" s="702">
        <f t="shared" si="1"/>
        <v>110</v>
      </c>
      <c r="V10" s="701" t="s">
        <v>14</v>
      </c>
      <c r="W10" s="702">
        <f t="shared" si="2"/>
        <v>110</v>
      </c>
      <c r="X10" s="703"/>
      <c r="Y10" s="3554"/>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1"/>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5" t="s">
        <v>14</v>
      </c>
      <c r="S15" s="706">
        <f t="shared" si="0"/>
        <v>100</v>
      </c>
      <c r="T15" s="705" t="s">
        <v>14</v>
      </c>
      <c r="U15" s="706">
        <f t="shared" si="1"/>
        <v>100</v>
      </c>
      <c r="V15" s="705" t="s">
        <v>14</v>
      </c>
      <c r="W15" s="706">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5"/>
      <c r="S16" s="706"/>
      <c r="T16" s="705"/>
      <c r="U16" s="706"/>
      <c r="V16" s="705"/>
      <c r="W16" s="706"/>
      <c r="X16" s="1353"/>
      <c r="Y16" s="3669"/>
      <c r="Z16" s="1354"/>
      <c r="AA16" s="1351">
        <v>1</v>
      </c>
      <c r="AB16" s="1351">
        <v>1</v>
      </c>
      <c r="AC16" s="1351">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5"/>
      <c r="S18" s="706"/>
      <c r="T18" s="705"/>
      <c r="U18" s="706"/>
      <c r="V18" s="705"/>
      <c r="W18" s="706"/>
      <c r="X18" s="1353"/>
      <c r="Y18" s="3669"/>
      <c r="Z18" s="1354"/>
      <c r="AA18" s="1351">
        <v>1</v>
      </c>
      <c r="AB18" s="1351">
        <v>1</v>
      </c>
      <c r="AC18" s="1351">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5" t="s">
        <v>14</v>
      </c>
      <c r="S19" s="706">
        <f>F19</f>
        <v>100</v>
      </c>
      <c r="T19" s="705" t="s">
        <v>14</v>
      </c>
      <c r="U19" s="706">
        <f>H19</f>
        <v>100</v>
      </c>
      <c r="V19" s="705" t="s">
        <v>14</v>
      </c>
      <c r="W19" s="706">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69"/>
      <c r="Q20" s="1350"/>
      <c r="R20" s="705"/>
      <c r="S20" s="706"/>
      <c r="T20" s="705"/>
      <c r="U20" s="706"/>
      <c r="V20" s="705"/>
      <c r="W20" s="706"/>
      <c r="X20" s="1353"/>
      <c r="Y20" s="3669"/>
      <c r="Z20" s="1354"/>
      <c r="AA20" s="1351"/>
      <c r="AB20" s="1351"/>
      <c r="AC20" s="1351"/>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5" t="s">
        <v>14</v>
      </c>
      <c r="S21" s="706">
        <f>F21</f>
        <v>100</v>
      </c>
      <c r="T21" s="705" t="s">
        <v>14</v>
      </c>
      <c r="U21" s="706">
        <f>H21</f>
        <v>100</v>
      </c>
      <c r="V21" s="705" t="s">
        <v>14</v>
      </c>
      <c r="W21" s="706">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5"/>
      <c r="S22" s="706"/>
      <c r="T22" s="705"/>
      <c r="U22" s="706"/>
      <c r="V22" s="705"/>
      <c r="W22" s="706"/>
      <c r="X22" s="1353"/>
      <c r="Y22" s="3669"/>
      <c r="Z22" s="1354"/>
      <c r="AA22" s="1351">
        <v>1</v>
      </c>
      <c r="AB22" s="1351">
        <v>1</v>
      </c>
      <c r="AC22" s="1351">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701" t="s">
        <v>14</v>
      </c>
      <c r="S23" s="702">
        <f>F23</f>
        <v>100</v>
      </c>
      <c r="T23" s="701" t="s">
        <v>14</v>
      </c>
      <c r="U23" s="702">
        <f>H23</f>
        <v>100</v>
      </c>
      <c r="V23" s="701" t="s">
        <v>14</v>
      </c>
      <c r="W23" s="702">
        <f>J23</f>
        <v>100</v>
      </c>
      <c r="X23" s="703"/>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701"/>
      <c r="S24" s="702"/>
      <c r="T24" s="701"/>
      <c r="U24" s="702"/>
      <c r="V24" s="701"/>
      <c r="W24" s="702"/>
      <c r="X24" s="703"/>
      <c r="Y24" s="3669"/>
      <c r="Z24" s="52"/>
      <c r="AA24" s="704">
        <v>1</v>
      </c>
      <c r="AB24" s="704">
        <v>1</v>
      </c>
      <c r="AC24" s="704">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69"/>
      <c r="Z27" s="1354" t="str">
        <f t="shared" ref="Z27:Z40" si="13">Q27</f>
        <v>临街状况</v>
      </c>
      <c r="AA27" s="1351">
        <f t="shared" si="3"/>
        <v>1</v>
      </c>
      <c r="AB27" s="1351">
        <f t="shared" si="4"/>
        <v>1</v>
      </c>
      <c r="AC27" s="1351">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5" t="s">
        <v>14</v>
      </c>
      <c r="S28" s="706">
        <f t="shared" si="10"/>
        <v>100</v>
      </c>
      <c r="T28" s="705" t="s">
        <v>14</v>
      </c>
      <c r="U28" s="706">
        <f t="shared" si="11"/>
        <v>100</v>
      </c>
      <c r="V28" s="705" t="s">
        <v>14</v>
      </c>
      <c r="W28" s="706">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5"/>
      <c r="S29" s="706"/>
      <c r="T29" s="705"/>
      <c r="U29" s="706"/>
      <c r="V29" s="705"/>
      <c r="W29" s="706"/>
      <c r="X29" s="1353"/>
      <c r="Y29" s="3669"/>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5" t="s">
        <v>14</v>
      </c>
      <c r="S30" s="706">
        <f t="shared" si="10"/>
        <v>100</v>
      </c>
      <c r="T30" s="705" t="s">
        <v>14</v>
      </c>
      <c r="U30" s="706">
        <f t="shared" si="11"/>
        <v>100</v>
      </c>
      <c r="V30" s="705" t="s">
        <v>14</v>
      </c>
      <c r="W30" s="706">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5" t="s">
        <v>14</v>
      </c>
      <c r="S31" s="706">
        <f t="shared" si="10"/>
        <v>100</v>
      </c>
      <c r="T31" s="705" t="s">
        <v>14</v>
      </c>
      <c r="U31" s="706">
        <f t="shared" si="11"/>
        <v>100</v>
      </c>
      <c r="V31" s="705" t="s">
        <v>14</v>
      </c>
      <c r="W31" s="706">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5" t="s">
        <v>1696</v>
      </c>
      <c r="Q32" s="1350">
        <f t="shared" si="8"/>
        <v>111</v>
      </c>
      <c r="R32" s="705" t="s">
        <v>14</v>
      </c>
      <c r="S32" s="706">
        <f t="shared" si="10"/>
        <v>100</v>
      </c>
      <c r="T32" s="705" t="s">
        <v>14</v>
      </c>
      <c r="U32" s="706">
        <f t="shared" si="11"/>
        <v>100</v>
      </c>
      <c r="V32" s="705" t="s">
        <v>14</v>
      </c>
      <c r="W32" s="706">
        <f t="shared" si="12"/>
        <v>100</v>
      </c>
      <c r="X32" s="1353"/>
      <c r="Y32" s="3673" t="s">
        <v>1696</v>
      </c>
      <c r="Z32" s="1354">
        <f t="shared" si="13"/>
        <v>111</v>
      </c>
      <c r="AA32" s="1351">
        <f t="shared" si="3"/>
        <v>1</v>
      </c>
      <c r="AB32" s="1351">
        <f t="shared" si="4"/>
        <v>1</v>
      </c>
      <c r="AC32" s="1351">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8" t="s">
        <v>14</v>
      </c>
      <c r="S33" s="709">
        <f t="shared" si="10"/>
        <v>100</v>
      </c>
      <c r="T33" s="708" t="s">
        <v>14</v>
      </c>
      <c r="U33" s="709">
        <f t="shared" si="11"/>
        <v>100</v>
      </c>
      <c r="V33" s="708" t="s">
        <v>14</v>
      </c>
      <c r="W33" s="709">
        <f t="shared" si="12"/>
        <v>100</v>
      </c>
      <c r="X33" s="710"/>
      <c r="Y33" s="3673"/>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5" t="s">
        <v>14</v>
      </c>
      <c r="S34" s="706" t="e">
        <f t="shared" si="10"/>
        <v>#N/A</v>
      </c>
      <c r="T34" s="705" t="s">
        <v>14</v>
      </c>
      <c r="U34" s="706" t="e">
        <f t="shared" si="11"/>
        <v>#N/A</v>
      </c>
      <c r="V34" s="705" t="s">
        <v>14</v>
      </c>
      <c r="W34" s="706"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5" t="s">
        <v>14</v>
      </c>
      <c r="S35" s="706">
        <f t="shared" si="10"/>
        <v>100</v>
      </c>
      <c r="T35" s="705" t="s">
        <v>14</v>
      </c>
      <c r="U35" s="706">
        <f t="shared" si="11"/>
        <v>100</v>
      </c>
      <c r="V35" s="705" t="s">
        <v>14</v>
      </c>
      <c r="W35" s="706">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5" t="s">
        <v>14</v>
      </c>
      <c r="S37" s="706">
        <f t="shared" si="10"/>
        <v>100</v>
      </c>
      <c r="T37" s="705" t="s">
        <v>14</v>
      </c>
      <c r="U37" s="706">
        <f t="shared" si="11"/>
        <v>100</v>
      </c>
      <c r="V37" s="705" t="s">
        <v>14</v>
      </c>
      <c r="W37" s="706">
        <f t="shared" si="12"/>
        <v>100</v>
      </c>
      <c r="X37" s="1353"/>
      <c r="Y37" s="3673"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5" t="s">
        <v>14</v>
      </c>
      <c r="S38" s="706">
        <f t="shared" si="10"/>
        <v>100</v>
      </c>
      <c r="T38" s="705" t="s">
        <v>14</v>
      </c>
      <c r="U38" s="706">
        <f t="shared" si="11"/>
        <v>100</v>
      </c>
      <c r="V38" s="705" t="s">
        <v>14</v>
      </c>
      <c r="W38" s="706">
        <f t="shared" si="12"/>
        <v>100</v>
      </c>
      <c r="X38" s="1353"/>
      <c r="Y38" s="3673"/>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5" t="s">
        <v>14</v>
      </c>
      <c r="S39" s="706">
        <f t="shared" si="10"/>
        <v>100</v>
      </c>
      <c r="T39" s="705" t="s">
        <v>14</v>
      </c>
      <c r="U39" s="706">
        <f t="shared" si="11"/>
        <v>100</v>
      </c>
      <c r="V39" s="705" t="s">
        <v>14</v>
      </c>
      <c r="W39" s="706">
        <f t="shared" si="12"/>
        <v>100</v>
      </c>
      <c r="X39" s="1353"/>
      <c r="Y39" s="3673"/>
      <c r="Z39" s="1354">
        <f t="shared" si="13"/>
        <v>111</v>
      </c>
      <c r="AA39" s="1351">
        <f t="shared" si="3"/>
        <v>1</v>
      </c>
      <c r="AB39" s="1351">
        <f t="shared" si="4"/>
        <v>1</v>
      </c>
      <c r="AC39" s="1351">
        <f t="shared" si="5"/>
        <v>1</v>
      </c>
    </row>
    <row r="40" spans="1:31" s="422" customFormat="1" ht="15.6"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8" t="s">
        <v>14</v>
      </c>
      <c r="S40" s="709">
        <f t="shared" si="10"/>
        <v>100</v>
      </c>
      <c r="T40" s="708" t="s">
        <v>14</v>
      </c>
      <c r="U40" s="709">
        <f t="shared" si="11"/>
        <v>100</v>
      </c>
      <c r="V40" s="708" t="s">
        <v>14</v>
      </c>
      <c r="W40" s="709">
        <f t="shared" si="12"/>
        <v>100</v>
      </c>
      <c r="X40" s="710"/>
      <c r="Y40" s="3673"/>
      <c r="Z40" s="711">
        <f t="shared" si="13"/>
        <v>111</v>
      </c>
      <c r="AA40" s="1351">
        <f t="shared" si="3"/>
        <v>1</v>
      </c>
      <c r="AB40" s="1351">
        <f t="shared" si="4"/>
        <v>1</v>
      </c>
      <c r="AC40" s="1351">
        <f t="shared" si="5"/>
        <v>1</v>
      </c>
    </row>
    <row r="41" spans="1:31" ht="14.4">
      <c r="A41" s="430" t="s">
        <v>1844</v>
      </c>
      <c r="B41" s="1980" t="s">
        <v>1922</v>
      </c>
      <c r="C41" s="630" t="s">
        <v>0</v>
      </c>
      <c r="D41" s="432"/>
      <c r="E41" s="433"/>
      <c r="F41" s="434"/>
      <c r="G41" s="435"/>
      <c r="H41" s="436"/>
      <c r="I41" s="433"/>
      <c r="J41" s="436"/>
      <c r="K41" s="714"/>
      <c r="L41" s="2722"/>
      <c r="M41" s="2714"/>
      <c r="N41" s="2714"/>
      <c r="O41" s="2723"/>
      <c r="P41" s="3661" t="str">
        <f>A41</f>
        <v>成交单价</v>
      </c>
      <c r="Q41" s="3661"/>
      <c r="R41" s="3675">
        <f>E41</f>
        <v>0</v>
      </c>
      <c r="S41" s="3675"/>
      <c r="T41" s="3675">
        <f>G41</f>
        <v>0</v>
      </c>
      <c r="U41" s="3675"/>
      <c r="V41" s="3675">
        <f>I41</f>
        <v>0</v>
      </c>
      <c r="W41" s="3675"/>
      <c r="X41" s="690"/>
      <c r="Y41" s="712"/>
      <c r="Z41" s="690"/>
      <c r="AA41" s="690"/>
      <c r="AB41" s="690"/>
      <c r="AC41" s="690"/>
    </row>
    <row r="42" spans="1:31" ht="1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61" t="str">
        <f>A42</f>
        <v>比较价值（元/平方米）</v>
      </c>
      <c r="Q42" s="3661"/>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663" t="str">
        <f>A43</f>
        <v>估价对象XX用房的比较价值（楼面单价，元/平方米）</v>
      </c>
      <c r="Q43" s="3664"/>
      <c r="R43" s="3748" t="e">
        <f>ROUND(IF(D42="简单平均",AVERAGE(R42:W42),R42*F42+T42*H42+V42*J42),0)</f>
        <v>#DIV/0!</v>
      </c>
      <c r="S43" s="3748"/>
      <c r="T43" s="3748"/>
      <c r="U43" s="3748"/>
      <c r="V43" s="3748"/>
      <c r="W43" s="374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680" t="s">
        <v>1887</v>
      </c>
      <c r="H50" s="374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76"/>
      <c r="H51" s="366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1"/>
      <c r="G1" s="2791"/>
      <c r="H1" s="2791"/>
      <c r="I1" s="2791"/>
      <c r="J1" s="2791"/>
      <c r="K1" s="2791"/>
      <c r="L1" s="2791"/>
      <c r="M1" s="2791"/>
      <c r="N1" s="2791"/>
      <c r="O1" s="2791"/>
      <c r="P1" s="2791"/>
    </row>
    <row r="2" spans="1:16" ht="15.6">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6">
      <c r="A3" s="2143" t="s">
        <v>2076</v>
      </c>
      <c r="B3" s="2600" t="e">
        <f ca="1">ROUND(B2*10000/E2,0)</f>
        <v>#DIV/0!</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761"/>
      <c r="B4" s="3762"/>
      <c r="C4" s="3762"/>
      <c r="D4" s="3763"/>
      <c r="E4" s="3763"/>
      <c r="F4" s="3763"/>
      <c r="G4" s="3763"/>
      <c r="H4" s="3763"/>
      <c r="I4" s="3763"/>
      <c r="J4" s="3764"/>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6"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6"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6"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8" t="s">
        <v>1960</v>
      </c>
      <c r="X8" s="375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0"/>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4.4"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3.8">
      <c r="A20" s="3765" t="s">
        <v>3253</v>
      </c>
      <c r="B20" s="167" t="s">
        <v>1994</v>
      </c>
      <c r="C20" s="3323" t="e">
        <f>ROUND(IF(F21="与级别开发程度一致",0,(G21-E21)/C21),0)</f>
        <v>#DIV/0!</v>
      </c>
      <c r="D20" s="3339" t="s">
        <v>1998</v>
      </c>
      <c r="E20" s="3340"/>
      <c r="F20" s="3771" t="s">
        <v>1995</v>
      </c>
      <c r="G20" s="3772"/>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4.4" thickBot="1">
      <c r="A21" s="3766"/>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7"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45322</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12</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4.4">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769"/>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0"/>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8" thickBot="1">
      <c r="A39" s="3770"/>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8"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36.6"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4.4">
      <c r="A81" s="2124" t="s">
        <v>2069</v>
      </c>
      <c r="B81" s="2125">
        <f>1+E83</f>
        <v>1</v>
      </c>
      <c r="C81" s="741"/>
      <c r="D81" s="741"/>
      <c r="E81" s="742"/>
      <c r="F81" s="2127"/>
      <c r="G81" s="3"/>
      <c r="H81" s="3"/>
      <c r="I81" s="3"/>
      <c r="J81" s="4"/>
      <c r="K81" s="4"/>
      <c r="L81" s="4"/>
      <c r="M81" s="4"/>
      <c r="N81" s="4"/>
      <c r="Z81" s="1996"/>
      <c r="AA81" s="2051"/>
      <c r="AG81" s="1120"/>
      <c r="AK81" s="2051"/>
    </row>
    <row r="82" spans="1:37" ht="25.2">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9.6">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52.8">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48">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3.8">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6.4">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6.4">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36">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40.200000000000003"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3.8">
      <c r="A91" s="3375" t="s">
        <v>2611</v>
      </c>
      <c r="B91" s="3376">
        <f>1+E93</f>
        <v>1</v>
      </c>
      <c r="C91" s="3369"/>
      <c r="D91" s="3370"/>
      <c r="E91" s="1812"/>
      <c r="F91" s="1812"/>
      <c r="G91" s="3371"/>
      <c r="H91" s="3372"/>
      <c r="I91" s="3373"/>
      <c r="J91" s="3374"/>
      <c r="K91" s="3374"/>
      <c r="L91" s="3374"/>
      <c r="M91" s="3374"/>
      <c r="N91" s="3374"/>
    </row>
    <row r="92" spans="1:37" ht="25.2">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36">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6.4">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6.4">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7" t="s">
        <v>3293</v>
      </c>
      <c r="B103" s="3767"/>
      <c r="C103" s="3767"/>
      <c r="D103" s="3767"/>
      <c r="E103" s="3767"/>
      <c r="F103" s="3767"/>
      <c r="G103" s="3767"/>
      <c r="H103" s="3767"/>
      <c r="I103" s="3767"/>
      <c r="J103" s="3767"/>
      <c r="K103" s="3388"/>
      <c r="L103" s="3388"/>
      <c r="M103" s="3388"/>
      <c r="N103" s="3388"/>
    </row>
    <row r="104" spans="1:14">
      <c r="A104" s="3768" t="s">
        <v>3294</v>
      </c>
      <c r="B104" s="3768" t="s">
        <v>3295</v>
      </c>
      <c r="C104" s="3389" t="s">
        <v>3296</v>
      </c>
      <c r="D104" s="3390"/>
      <c r="E104" s="3390"/>
      <c r="F104" s="3390"/>
      <c r="G104" s="3390"/>
      <c r="H104" s="3390"/>
      <c r="I104" s="3390"/>
      <c r="J104" s="3391"/>
      <c r="K104" s="3392"/>
      <c r="L104" s="3392"/>
      <c r="M104" s="3392"/>
      <c r="N104" s="3392"/>
    </row>
    <row r="105" spans="1:14">
      <c r="A105" s="3768"/>
      <c r="B105" s="3768"/>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4"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5"/>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7" t="s">
        <v>3310</v>
      </c>
      <c r="B113" s="3757"/>
      <c r="C113" s="3757"/>
      <c r="D113" s="3757"/>
      <c r="E113" s="3757"/>
      <c r="F113" s="3757"/>
      <c r="G113" s="3757"/>
      <c r="H113" s="3757"/>
      <c r="I113" s="3757"/>
      <c r="J113" s="37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2" t="s">
        <v>2606</v>
      </c>
      <c r="B20" s="3777" t="s">
        <v>2627</v>
      </c>
      <c r="C20" s="3101" t="s">
        <v>2438</v>
      </c>
      <c r="D20" s="3102"/>
      <c r="E20" s="3103">
        <v>1</v>
      </c>
      <c r="F20" s="3104" t="s">
        <v>2439</v>
      </c>
      <c r="G20" s="3104"/>
    </row>
    <row r="21" spans="1:13" ht="19.5" customHeight="1">
      <c r="A21" s="3783"/>
      <c r="B21" s="3776"/>
      <c r="C21" s="3105" t="s">
        <v>2440</v>
      </c>
      <c r="D21" s="3106"/>
      <c r="E21" s="3107">
        <v>1</v>
      </c>
      <c r="F21" s="3104" t="s">
        <v>2441</v>
      </c>
      <c r="G21" s="3104"/>
    </row>
    <row r="22" spans="1:13" ht="19.5" customHeight="1">
      <c r="A22" s="3783"/>
      <c r="B22" s="3776"/>
      <c r="C22" s="3105" t="s">
        <v>2442</v>
      </c>
      <c r="D22" s="3106"/>
      <c r="E22" s="3107">
        <v>0.9</v>
      </c>
      <c r="F22" s="3104" t="s">
        <v>2443</v>
      </c>
      <c r="G22" s="3104"/>
    </row>
    <row r="23" spans="1:13" ht="19.5" customHeight="1">
      <c r="A23" s="3783"/>
      <c r="B23" s="3776"/>
      <c r="C23" s="3105" t="s">
        <v>2444</v>
      </c>
      <c r="D23" s="3106"/>
      <c r="E23" s="3107">
        <v>0.9</v>
      </c>
      <c r="F23" s="3104" t="s">
        <v>2445</v>
      </c>
      <c r="G23" s="3104"/>
    </row>
    <row r="24" spans="1:13" ht="19.5" customHeight="1">
      <c r="A24" s="3783"/>
      <c r="B24" s="3776"/>
      <c r="C24" s="3105" t="s">
        <v>2446</v>
      </c>
      <c r="D24" s="3106"/>
      <c r="E24" s="3107">
        <v>0.8</v>
      </c>
      <c r="F24" s="3104" t="s">
        <v>2447</v>
      </c>
      <c r="G24" s="3104"/>
    </row>
    <row r="25" spans="1:13" ht="19.5" customHeight="1" thickBot="1">
      <c r="A25" s="3784"/>
      <c r="B25" s="3778"/>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9" t="s">
        <v>2630</v>
      </c>
      <c r="B27" s="3777" t="s">
        <v>2611</v>
      </c>
      <c r="C27" s="3101" t="s">
        <v>2451</v>
      </c>
      <c r="D27" s="3102"/>
      <c r="E27" s="3103">
        <v>1</v>
      </c>
      <c r="F27" s="3104" t="s">
        <v>2452</v>
      </c>
      <c r="G27" s="3104"/>
    </row>
    <row r="28" spans="1:13" ht="19.5" customHeight="1">
      <c r="A28" s="3780"/>
      <c r="B28" s="3776"/>
      <c r="C28" s="3105" t="s">
        <v>2453</v>
      </c>
      <c r="D28" s="3106"/>
      <c r="E28" s="3107">
        <v>1</v>
      </c>
      <c r="F28" s="3104" t="s">
        <v>2454</v>
      </c>
      <c r="G28" s="3104"/>
    </row>
    <row r="29" spans="1:13" ht="19.5" customHeight="1">
      <c r="A29" s="3780"/>
      <c r="B29" s="3776"/>
      <c r="C29" s="3105" t="s">
        <v>2455</v>
      </c>
      <c r="D29" s="3106"/>
      <c r="E29" s="3107">
        <v>0.8</v>
      </c>
      <c r="F29" s="3104" t="s">
        <v>2456</v>
      </c>
      <c r="G29" s="3104"/>
    </row>
    <row r="30" spans="1:13" ht="19.5" customHeight="1">
      <c r="A30" s="3780"/>
      <c r="B30" s="3776"/>
      <c r="C30" s="3105" t="s">
        <v>2457</v>
      </c>
      <c r="D30" s="3106"/>
      <c r="E30" s="3107">
        <v>0.8</v>
      </c>
      <c r="F30" s="3104" t="s">
        <v>2458</v>
      </c>
      <c r="G30" s="3104"/>
    </row>
    <row r="31" spans="1:13" ht="19.5" customHeight="1">
      <c r="A31" s="3780"/>
      <c r="B31" s="3776"/>
      <c r="C31" s="3105" t="s">
        <v>2459</v>
      </c>
      <c r="D31" s="3106"/>
      <c r="E31" s="3107">
        <v>0.8</v>
      </c>
      <c r="F31" s="3104" t="s">
        <v>2460</v>
      </c>
      <c r="G31" s="3104"/>
    </row>
    <row r="32" spans="1:13" ht="19.5" customHeight="1">
      <c r="A32" s="3780"/>
      <c r="B32" s="3776"/>
      <c r="C32" s="3105" t="s">
        <v>2461</v>
      </c>
      <c r="D32" s="3106"/>
      <c r="E32" s="3107">
        <v>0.7</v>
      </c>
      <c r="F32" s="3104" t="s">
        <v>2462</v>
      </c>
      <c r="G32" s="3104"/>
    </row>
    <row r="33" spans="1:7" ht="19.5" customHeight="1">
      <c r="A33" s="3780"/>
      <c r="B33" s="3776"/>
      <c r="C33" s="3105" t="s">
        <v>2463</v>
      </c>
      <c r="D33" s="3106"/>
      <c r="E33" s="3107">
        <v>0.8</v>
      </c>
      <c r="F33" s="3104" t="s">
        <v>2464</v>
      </c>
      <c r="G33" s="3104"/>
    </row>
    <row r="34" spans="1:7" ht="19.5" customHeight="1">
      <c r="A34" s="3780"/>
      <c r="B34" s="3776"/>
      <c r="C34" s="3105" t="s">
        <v>2465</v>
      </c>
      <c r="D34" s="3106"/>
      <c r="E34" s="3107">
        <v>0.6</v>
      </c>
      <c r="F34" s="3104" t="s">
        <v>2466</v>
      </c>
      <c r="G34" s="3104"/>
    </row>
    <row r="35" spans="1:7" ht="19.5" customHeight="1">
      <c r="A35" s="3780"/>
      <c r="B35" s="3776"/>
      <c r="C35" s="3105" t="s">
        <v>2467</v>
      </c>
      <c r="D35" s="3106"/>
      <c r="E35" s="3107">
        <v>0.2</v>
      </c>
      <c r="F35" s="3104" t="s">
        <v>2468</v>
      </c>
      <c r="G35" s="3104"/>
    </row>
    <row r="36" spans="1:7" ht="19.5" customHeight="1">
      <c r="A36" s="3780"/>
      <c r="B36" s="3776"/>
      <c r="C36" s="3105" t="s">
        <v>2469</v>
      </c>
      <c r="D36" s="3106"/>
      <c r="E36" s="3107">
        <v>0.2</v>
      </c>
      <c r="F36" s="3104" t="s">
        <v>2470</v>
      </c>
      <c r="G36" s="3104"/>
    </row>
    <row r="37" spans="1:7" ht="19.5" customHeight="1">
      <c r="A37" s="3780"/>
      <c r="B37" s="3774" t="s">
        <v>2631</v>
      </c>
      <c r="C37" s="3105" t="s">
        <v>2471</v>
      </c>
      <c r="D37" s="3106"/>
      <c r="E37" s="3107">
        <v>0.6</v>
      </c>
      <c r="F37" s="3104" t="s">
        <v>2472</v>
      </c>
      <c r="G37" s="3104"/>
    </row>
    <row r="38" spans="1:7" ht="19.5" customHeight="1">
      <c r="A38" s="3780"/>
      <c r="B38" s="3776"/>
      <c r="C38" s="3105" t="s">
        <v>2473</v>
      </c>
      <c r="D38" s="3106"/>
      <c r="E38" s="3107">
        <v>0.6</v>
      </c>
      <c r="F38" s="3104" t="s">
        <v>2474</v>
      </c>
      <c r="G38" s="3104"/>
    </row>
    <row r="39" spans="1:7" ht="19.5" customHeight="1" thickBot="1">
      <c r="A39" s="3781"/>
      <c r="B39" s="3778"/>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2" t="s">
        <v>2609</v>
      </c>
      <c r="B41" s="3777" t="s">
        <v>2633</v>
      </c>
      <c r="C41" s="3101" t="s">
        <v>2478</v>
      </c>
      <c r="D41" s="3102"/>
      <c r="E41" s="3103">
        <v>1</v>
      </c>
      <c r="F41" s="3104" t="s">
        <v>2479</v>
      </c>
      <c r="G41" s="3104"/>
    </row>
    <row r="42" spans="1:7" ht="19.5" customHeight="1">
      <c r="A42" s="3783"/>
      <c r="B42" s="3776"/>
      <c r="C42" s="3105" t="s">
        <v>2480</v>
      </c>
      <c r="D42" s="3106"/>
      <c r="E42" s="3107">
        <v>1</v>
      </c>
      <c r="F42" s="3104" t="s">
        <v>2481</v>
      </c>
      <c r="G42" s="3104"/>
    </row>
    <row r="43" spans="1:7" ht="19.5" customHeight="1">
      <c r="A43" s="3783"/>
      <c r="B43" s="3775"/>
      <c r="C43" s="3105" t="s">
        <v>2482</v>
      </c>
      <c r="D43" s="3106"/>
      <c r="E43" s="3107">
        <v>1.5</v>
      </c>
      <c r="F43" s="3104" t="s">
        <v>2483</v>
      </c>
      <c r="G43" s="3104"/>
    </row>
    <row r="44" spans="1:7" ht="19.5" customHeight="1">
      <c r="A44" s="3783"/>
      <c r="B44" s="3116" t="s">
        <v>2634</v>
      </c>
      <c r="C44" s="3105" t="s">
        <v>2635</v>
      </c>
      <c r="D44" s="3106"/>
      <c r="E44" s="3107">
        <v>2</v>
      </c>
      <c r="F44" s="3104" t="s">
        <v>2484</v>
      </c>
      <c r="G44" s="3104"/>
    </row>
    <row r="45" spans="1:7" ht="19.5" customHeight="1">
      <c r="A45" s="3783"/>
      <c r="B45" s="3774" t="s">
        <v>2636</v>
      </c>
      <c r="C45" s="3105" t="s">
        <v>2485</v>
      </c>
      <c r="D45" s="3106"/>
      <c r="E45" s="3107">
        <v>1</v>
      </c>
      <c r="F45" s="3104" t="s">
        <v>2486</v>
      </c>
      <c r="G45" s="3104"/>
    </row>
    <row r="46" spans="1:7" ht="19.5" customHeight="1">
      <c r="A46" s="3783"/>
      <c r="B46" s="3776"/>
      <c r="C46" s="3105" t="s">
        <v>2487</v>
      </c>
      <c r="D46" s="3106"/>
      <c r="E46" s="3107">
        <v>1</v>
      </c>
      <c r="F46" s="3104" t="s">
        <v>2488</v>
      </c>
      <c r="G46" s="3104"/>
    </row>
    <row r="47" spans="1:7" ht="19.5" customHeight="1">
      <c r="A47" s="3783"/>
      <c r="B47" s="3776"/>
      <c r="C47" s="3105" t="s">
        <v>2489</v>
      </c>
      <c r="D47" s="3106"/>
      <c r="E47" s="3107">
        <v>1</v>
      </c>
      <c r="F47" s="3104" t="s">
        <v>2490</v>
      </c>
      <c r="G47" s="3104"/>
    </row>
    <row r="48" spans="1:7" ht="19.5" customHeight="1">
      <c r="A48" s="3783"/>
      <c r="B48" s="3776"/>
      <c r="C48" s="3105" t="s">
        <v>2491</v>
      </c>
      <c r="D48" s="3106"/>
      <c r="E48" s="3107">
        <v>1</v>
      </c>
      <c r="F48" s="3104" t="s">
        <v>2492</v>
      </c>
      <c r="G48" s="3104"/>
    </row>
    <row r="49" spans="1:7" ht="19.5" customHeight="1">
      <c r="A49" s="3783"/>
      <c r="B49" s="3776"/>
      <c r="C49" s="3105" t="s">
        <v>2493</v>
      </c>
      <c r="D49" s="3106"/>
      <c r="E49" s="3107">
        <v>1</v>
      </c>
      <c r="F49" s="3104" t="s">
        <v>2494</v>
      </c>
      <c r="G49" s="3104"/>
    </row>
    <row r="50" spans="1:7" ht="19.5" customHeight="1">
      <c r="A50" s="3783"/>
      <c r="B50" s="3776"/>
      <c r="C50" s="3105" t="s">
        <v>2495</v>
      </c>
      <c r="D50" s="3106"/>
      <c r="E50" s="3107">
        <v>1</v>
      </c>
      <c r="F50" s="3104" t="s">
        <v>2496</v>
      </c>
      <c r="G50" s="3104"/>
    </row>
    <row r="51" spans="1:7" ht="19.5" customHeight="1" thickBot="1">
      <c r="A51" s="3784"/>
      <c r="B51" s="3778"/>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4.4">
      <c r="A72" s="3116"/>
      <c r="B72" s="3116"/>
      <c r="C72" s="3116" t="s">
        <v>2649</v>
      </c>
      <c r="D72" s="3116"/>
      <c r="E72" s="3116" t="s">
        <v>2620</v>
      </c>
      <c r="F72" s="3116" t="s">
        <v>2620</v>
      </c>
    </row>
    <row r="73" spans="1:7" ht="14.4">
      <c r="A73" s="3116">
        <v>1</v>
      </c>
      <c r="B73" s="3774" t="s">
        <v>2650</v>
      </c>
      <c r="C73" s="3090" t="s">
        <v>2651</v>
      </c>
      <c r="D73" s="3090" t="s">
        <v>2652</v>
      </c>
      <c r="E73" s="3116">
        <v>0.2</v>
      </c>
      <c r="F73" s="3116">
        <v>25</v>
      </c>
    </row>
    <row r="74" spans="1:7" ht="24">
      <c r="A74" s="3116">
        <v>2</v>
      </c>
      <c r="B74" s="3776"/>
      <c r="C74" s="3090" t="s">
        <v>2653</v>
      </c>
      <c r="D74" s="3090" t="s">
        <v>2654</v>
      </c>
      <c r="E74" s="3116">
        <v>0.2</v>
      </c>
      <c r="F74" s="3116">
        <v>25</v>
      </c>
    </row>
    <row r="75" spans="1:7" ht="24">
      <c r="A75" s="3116">
        <v>3</v>
      </c>
      <c r="B75" s="3776"/>
      <c r="C75" s="3090" t="s">
        <v>2655</v>
      </c>
      <c r="D75" s="3090" t="s">
        <v>2656</v>
      </c>
      <c r="E75" s="3116">
        <v>0.2</v>
      </c>
      <c r="F75" s="3116">
        <v>25</v>
      </c>
    </row>
    <row r="76" spans="1:7" ht="14.4">
      <c r="A76" s="3116">
        <v>4</v>
      </c>
      <c r="B76" s="3776"/>
      <c r="C76" s="3090" t="s">
        <v>2657</v>
      </c>
      <c r="D76" s="3090" t="s">
        <v>2658</v>
      </c>
      <c r="E76" s="3116">
        <v>0.15</v>
      </c>
      <c r="F76" s="3116">
        <v>20</v>
      </c>
    </row>
    <row r="77" spans="1:7" ht="24">
      <c r="A77" s="3116">
        <v>5</v>
      </c>
      <c r="B77" s="3776"/>
      <c r="C77" s="3090" t="s">
        <v>2659</v>
      </c>
      <c r="D77" s="3090" t="s">
        <v>2660</v>
      </c>
      <c r="E77" s="3116">
        <v>0.15</v>
      </c>
      <c r="F77" s="3116">
        <v>20</v>
      </c>
    </row>
    <row r="78" spans="1:7" ht="24">
      <c r="A78" s="3116">
        <v>6</v>
      </c>
      <c r="B78" s="3776"/>
      <c r="C78" s="3090" t="s">
        <v>2661</v>
      </c>
      <c r="D78" s="3090" t="s">
        <v>2662</v>
      </c>
      <c r="E78" s="3116">
        <v>0.15</v>
      </c>
      <c r="F78" s="3116">
        <v>20</v>
      </c>
    </row>
    <row r="79" spans="1:7" ht="24">
      <c r="A79" s="3116">
        <v>7</v>
      </c>
      <c r="B79" s="3776"/>
      <c r="C79" s="3090" t="s">
        <v>2663</v>
      </c>
      <c r="D79" s="3090" t="s">
        <v>2664</v>
      </c>
      <c r="E79" s="3116">
        <v>0.15</v>
      </c>
      <c r="F79" s="3116">
        <v>20</v>
      </c>
    </row>
    <row r="80" spans="1:7" ht="24">
      <c r="A80" s="3116">
        <v>8</v>
      </c>
      <c r="B80" s="3776"/>
      <c r="C80" s="3090" t="s">
        <v>2665</v>
      </c>
      <c r="D80" s="3090" t="s">
        <v>2666</v>
      </c>
      <c r="E80" s="3116">
        <v>0.1</v>
      </c>
      <c r="F80" s="3116">
        <v>15</v>
      </c>
    </row>
    <row r="81" spans="1:6" ht="24">
      <c r="A81" s="3116">
        <v>9</v>
      </c>
      <c r="B81" s="3776"/>
      <c r="C81" s="3090" t="s">
        <v>2667</v>
      </c>
      <c r="D81" s="3090" t="s">
        <v>2668</v>
      </c>
      <c r="E81" s="3116">
        <v>0.1</v>
      </c>
      <c r="F81" s="3116">
        <v>15</v>
      </c>
    </row>
    <row r="82" spans="1:6" ht="24">
      <c r="A82" s="3116">
        <v>10</v>
      </c>
      <c r="B82" s="3776"/>
      <c r="C82" s="3090" t="s">
        <v>2669</v>
      </c>
      <c r="D82" s="3090" t="s">
        <v>2670</v>
      </c>
      <c r="E82" s="3116">
        <v>0.1</v>
      </c>
      <c r="F82" s="3116">
        <v>15</v>
      </c>
    </row>
    <row r="83" spans="1:6" ht="24">
      <c r="A83" s="3116">
        <v>11</v>
      </c>
      <c r="B83" s="3776"/>
      <c r="C83" s="3090" t="s">
        <v>2671</v>
      </c>
      <c r="D83" s="3090" t="s">
        <v>2672</v>
      </c>
      <c r="E83" s="3116">
        <v>0.1</v>
      </c>
      <c r="F83" s="3116">
        <v>15</v>
      </c>
    </row>
    <row r="84" spans="1:6" ht="24">
      <c r="A84" s="3116">
        <v>12</v>
      </c>
      <c r="B84" s="3776"/>
      <c r="C84" s="3090" t="s">
        <v>2673</v>
      </c>
      <c r="D84" s="3090" t="s">
        <v>2674</v>
      </c>
      <c r="E84" s="3116">
        <v>0.1</v>
      </c>
      <c r="F84" s="3116">
        <v>15</v>
      </c>
    </row>
    <row r="85" spans="1:6" ht="24">
      <c r="A85" s="3116">
        <v>13</v>
      </c>
      <c r="B85" s="3776"/>
      <c r="C85" s="3090" t="s">
        <v>2675</v>
      </c>
      <c r="D85" s="3090" t="s">
        <v>2676</v>
      </c>
      <c r="E85" s="3116">
        <v>0.1</v>
      </c>
      <c r="F85" s="3116">
        <v>15</v>
      </c>
    </row>
    <row r="86" spans="1:6" ht="24">
      <c r="A86" s="3116">
        <v>14</v>
      </c>
      <c r="B86" s="3776"/>
      <c r="C86" s="3090" t="s">
        <v>2677</v>
      </c>
      <c r="D86" s="3090" t="s">
        <v>2678</v>
      </c>
      <c r="E86" s="3116">
        <v>0.1</v>
      </c>
      <c r="F86" s="3116">
        <v>15</v>
      </c>
    </row>
    <row r="87" spans="1:6" ht="24">
      <c r="A87" s="3116">
        <v>15</v>
      </c>
      <c r="B87" s="3776"/>
      <c r="C87" s="3090" t="s">
        <v>2679</v>
      </c>
      <c r="D87" s="3090" t="s">
        <v>2680</v>
      </c>
      <c r="E87" s="3116">
        <v>0.1</v>
      </c>
      <c r="F87" s="3116">
        <v>15</v>
      </c>
    </row>
    <row r="88" spans="1:6" ht="24">
      <c r="A88" s="3116">
        <v>16</v>
      </c>
      <c r="B88" s="3776"/>
      <c r="C88" s="3090" t="s">
        <v>2681</v>
      </c>
      <c r="D88" s="3090" t="s">
        <v>2682</v>
      </c>
      <c r="E88" s="3116">
        <v>0.1</v>
      </c>
      <c r="F88" s="3116">
        <v>15</v>
      </c>
    </row>
    <row r="89" spans="1:6" ht="24">
      <c r="A89" s="3116">
        <v>17</v>
      </c>
      <c r="B89" s="3775"/>
      <c r="C89" s="3090" t="s">
        <v>2683</v>
      </c>
      <c r="D89" s="3090" t="s">
        <v>2684</v>
      </c>
      <c r="E89" s="3116">
        <v>0.1</v>
      </c>
      <c r="F89" s="3116">
        <v>15</v>
      </c>
    </row>
    <row r="90" spans="1:6" ht="14.4">
      <c r="A90" s="3116">
        <v>18</v>
      </c>
      <c r="B90" s="3774" t="s">
        <v>2685</v>
      </c>
      <c r="C90" s="3090" t="s">
        <v>2686</v>
      </c>
      <c r="D90" s="3090" t="s">
        <v>2687</v>
      </c>
      <c r="E90" s="3116">
        <v>0.2</v>
      </c>
      <c r="F90" s="3116">
        <v>25</v>
      </c>
    </row>
    <row r="91" spans="1:6" ht="24">
      <c r="A91" s="3116">
        <v>19</v>
      </c>
      <c r="B91" s="3776"/>
      <c r="C91" s="3090" t="s">
        <v>2688</v>
      </c>
      <c r="D91" s="3090" t="s">
        <v>2689</v>
      </c>
      <c r="E91" s="3116">
        <v>0.2</v>
      </c>
      <c r="F91" s="3116">
        <v>25</v>
      </c>
    </row>
    <row r="92" spans="1:6" ht="14.4">
      <c r="A92" s="3116">
        <v>20</v>
      </c>
      <c r="B92" s="3776"/>
      <c r="C92" s="3090" t="s">
        <v>2690</v>
      </c>
      <c r="D92" s="3090" t="s">
        <v>2691</v>
      </c>
      <c r="E92" s="3116">
        <v>0.15</v>
      </c>
      <c r="F92" s="3116">
        <v>20</v>
      </c>
    </row>
    <row r="93" spans="1:6" ht="24">
      <c r="A93" s="3116">
        <v>21</v>
      </c>
      <c r="B93" s="3776"/>
      <c r="C93" s="3090" t="s">
        <v>2692</v>
      </c>
      <c r="D93" s="3090" t="s">
        <v>2693</v>
      </c>
      <c r="E93" s="3116">
        <v>0.15</v>
      </c>
      <c r="F93" s="3116">
        <v>20</v>
      </c>
    </row>
    <row r="94" spans="1:6" ht="24">
      <c r="A94" s="3116">
        <v>22</v>
      </c>
      <c r="B94" s="3776"/>
      <c r="C94" s="3090" t="s">
        <v>2694</v>
      </c>
      <c r="D94" s="3090" t="s">
        <v>2695</v>
      </c>
      <c r="E94" s="3116">
        <v>0.15</v>
      </c>
      <c r="F94" s="3116">
        <v>20</v>
      </c>
    </row>
    <row r="95" spans="1:6" ht="36">
      <c r="A95" s="3116">
        <v>23</v>
      </c>
      <c r="B95" s="3776"/>
      <c r="C95" s="3090" t="s">
        <v>2696</v>
      </c>
      <c r="D95" s="3090" t="s">
        <v>2697</v>
      </c>
      <c r="E95" s="3116">
        <v>0.15</v>
      </c>
      <c r="F95" s="3116">
        <v>20</v>
      </c>
    </row>
    <row r="96" spans="1:6" ht="24">
      <c r="A96" s="3116">
        <v>24</v>
      </c>
      <c r="B96" s="3776"/>
      <c r="C96" s="3090" t="s">
        <v>2698</v>
      </c>
      <c r="D96" s="3090" t="s">
        <v>2699</v>
      </c>
      <c r="E96" s="3116">
        <v>0.1</v>
      </c>
      <c r="F96" s="3116">
        <v>15</v>
      </c>
    </row>
    <row r="97" spans="1:6" ht="24">
      <c r="A97" s="3116">
        <v>25</v>
      </c>
      <c r="B97" s="3776"/>
      <c r="C97" s="3090" t="s">
        <v>2700</v>
      </c>
      <c r="D97" s="3090" t="s">
        <v>2701</v>
      </c>
      <c r="E97" s="3116">
        <v>0.1</v>
      </c>
      <c r="F97" s="3116">
        <v>15</v>
      </c>
    </row>
    <row r="98" spans="1:6" ht="24">
      <c r="A98" s="3116">
        <v>26</v>
      </c>
      <c r="B98" s="3776"/>
      <c r="C98" s="3090" t="s">
        <v>2702</v>
      </c>
      <c r="D98" s="3090" t="s">
        <v>2703</v>
      </c>
      <c r="E98" s="3116">
        <v>0.1</v>
      </c>
      <c r="F98" s="3116">
        <v>15</v>
      </c>
    </row>
    <row r="99" spans="1:6" ht="24">
      <c r="A99" s="3116">
        <v>27</v>
      </c>
      <c r="B99" s="3776"/>
      <c r="C99" s="3090" t="s">
        <v>2704</v>
      </c>
      <c r="D99" s="3090" t="s">
        <v>2705</v>
      </c>
      <c r="E99" s="3116">
        <v>0.1</v>
      </c>
      <c r="F99" s="3116">
        <v>15</v>
      </c>
    </row>
    <row r="100" spans="1:6" ht="24">
      <c r="A100" s="3116">
        <v>28</v>
      </c>
      <c r="B100" s="3776"/>
      <c r="C100" s="3090" t="s">
        <v>2706</v>
      </c>
      <c r="D100" s="3090" t="s">
        <v>2707</v>
      </c>
      <c r="E100" s="3116">
        <v>0.1</v>
      </c>
      <c r="F100" s="3116">
        <v>15</v>
      </c>
    </row>
    <row r="101" spans="1:6" ht="24">
      <c r="A101" s="3116">
        <v>29</v>
      </c>
      <c r="B101" s="3776"/>
      <c r="C101" s="3090" t="s">
        <v>2708</v>
      </c>
      <c r="D101" s="3090" t="s">
        <v>2709</v>
      </c>
      <c r="E101" s="3116">
        <v>0.1</v>
      </c>
      <c r="F101" s="3116">
        <v>15</v>
      </c>
    </row>
    <row r="102" spans="1:6" ht="24">
      <c r="A102" s="3116">
        <v>30</v>
      </c>
      <c r="B102" s="3776"/>
      <c r="C102" s="3090" t="s">
        <v>2710</v>
      </c>
      <c r="D102" s="3090" t="s">
        <v>2711</v>
      </c>
      <c r="E102" s="3116">
        <v>0.1</v>
      </c>
      <c r="F102" s="3116">
        <v>15</v>
      </c>
    </row>
    <row r="103" spans="1:6" ht="24">
      <c r="A103" s="3116">
        <v>31</v>
      </c>
      <c r="B103" s="3776"/>
      <c r="C103" s="3090" t="s">
        <v>2712</v>
      </c>
      <c r="D103" s="3090" t="s">
        <v>2713</v>
      </c>
      <c r="E103" s="3116">
        <v>0.1</v>
      </c>
      <c r="F103" s="3116">
        <v>15</v>
      </c>
    </row>
    <row r="104" spans="1:6" ht="24">
      <c r="A104" s="3116">
        <v>32</v>
      </c>
      <c r="B104" s="3776"/>
      <c r="C104" s="3090" t="s">
        <v>2714</v>
      </c>
      <c r="D104" s="3090" t="s">
        <v>2715</v>
      </c>
      <c r="E104" s="3116">
        <v>0.1</v>
      </c>
      <c r="F104" s="3116">
        <v>15</v>
      </c>
    </row>
    <row r="105" spans="1:6" ht="24">
      <c r="A105" s="3116">
        <v>33</v>
      </c>
      <c r="B105" s="3776"/>
      <c r="C105" s="3090" t="s">
        <v>2716</v>
      </c>
      <c r="D105" s="3090" t="s">
        <v>2717</v>
      </c>
      <c r="E105" s="3116">
        <v>0.1</v>
      </c>
      <c r="F105" s="3116">
        <v>15</v>
      </c>
    </row>
    <row r="106" spans="1:6" ht="24">
      <c r="A106" s="3116">
        <v>34</v>
      </c>
      <c r="B106" s="3775"/>
      <c r="C106" s="3090" t="s">
        <v>2718</v>
      </c>
      <c r="D106" s="3090" t="s">
        <v>2719</v>
      </c>
      <c r="E106" s="3116">
        <v>0.1</v>
      </c>
      <c r="F106" s="3116">
        <v>15</v>
      </c>
    </row>
    <row r="107" spans="1:6" ht="36">
      <c r="A107" s="3116">
        <v>35</v>
      </c>
      <c r="B107" s="3774" t="s">
        <v>2720</v>
      </c>
      <c r="C107" s="3116" t="s">
        <v>2721</v>
      </c>
      <c r="D107" s="3090" t="s">
        <v>2722</v>
      </c>
      <c r="E107" s="3116">
        <v>0.15</v>
      </c>
      <c r="F107" s="3116">
        <v>20</v>
      </c>
    </row>
    <row r="108" spans="1:6" ht="24">
      <c r="A108" s="3116">
        <v>36</v>
      </c>
      <c r="B108" s="3776"/>
      <c r="C108" s="3116" t="s">
        <v>2723</v>
      </c>
      <c r="D108" s="3090" t="s">
        <v>2724</v>
      </c>
      <c r="E108" s="3116">
        <v>0.15</v>
      </c>
      <c r="F108" s="3116">
        <v>20</v>
      </c>
    </row>
    <row r="109" spans="1:6" ht="24">
      <c r="A109" s="3116">
        <v>37</v>
      </c>
      <c r="B109" s="3776"/>
      <c r="C109" s="3116" t="s">
        <v>2725</v>
      </c>
      <c r="D109" s="3090" t="s">
        <v>2726</v>
      </c>
      <c r="E109" s="3116">
        <v>0.15</v>
      </c>
      <c r="F109" s="3116">
        <v>20</v>
      </c>
    </row>
    <row r="110" spans="1:6" ht="24">
      <c r="A110" s="3116">
        <v>38</v>
      </c>
      <c r="B110" s="3776"/>
      <c r="C110" s="3116" t="s">
        <v>2727</v>
      </c>
      <c r="D110" s="3090" t="s">
        <v>2728</v>
      </c>
      <c r="E110" s="3116">
        <v>0.1</v>
      </c>
      <c r="F110" s="3116">
        <v>15</v>
      </c>
    </row>
    <row r="111" spans="1:6" ht="24">
      <c r="A111" s="3116">
        <v>39</v>
      </c>
      <c r="B111" s="3776"/>
      <c r="C111" s="3116" t="s">
        <v>2729</v>
      </c>
      <c r="D111" s="3090" t="s">
        <v>2730</v>
      </c>
      <c r="E111" s="3116">
        <v>0.1</v>
      </c>
      <c r="F111" s="3116">
        <v>15</v>
      </c>
    </row>
    <row r="112" spans="1:6" ht="24">
      <c r="A112" s="3116">
        <v>40</v>
      </c>
      <c r="B112" s="3775"/>
      <c r="C112" s="3116" t="s">
        <v>2731</v>
      </c>
      <c r="D112" s="3090" t="s">
        <v>2732</v>
      </c>
      <c r="E112" s="3116">
        <v>0.1</v>
      </c>
      <c r="F112" s="3116">
        <v>15</v>
      </c>
    </row>
    <row r="113" spans="1:6" ht="24">
      <c r="A113" s="3116">
        <v>41</v>
      </c>
      <c r="B113" s="3773" t="s">
        <v>2733</v>
      </c>
      <c r="C113" s="3116" t="s">
        <v>2734</v>
      </c>
      <c r="D113" s="3090" t="s">
        <v>2735</v>
      </c>
      <c r="E113" s="3116">
        <v>0.1</v>
      </c>
      <c r="F113" s="3116">
        <v>15</v>
      </c>
    </row>
    <row r="114" spans="1:6" ht="24">
      <c r="A114" s="3116">
        <v>42</v>
      </c>
      <c r="B114" s="3773"/>
      <c r="C114" s="3116" t="s">
        <v>2736</v>
      </c>
      <c r="D114" s="3090" t="s">
        <v>2737</v>
      </c>
      <c r="E114" s="3116">
        <v>0.1</v>
      </c>
      <c r="F114" s="3116">
        <v>15</v>
      </c>
    </row>
    <row r="115" spans="1:6" ht="24">
      <c r="A115" s="3116">
        <v>43</v>
      </c>
      <c r="B115" s="3773"/>
      <c r="C115" s="3116" t="s">
        <v>2738</v>
      </c>
      <c r="D115" s="3090" t="s">
        <v>2739</v>
      </c>
      <c r="E115" s="3116">
        <v>0.1</v>
      </c>
      <c r="F115" s="3116">
        <v>15</v>
      </c>
    </row>
    <row r="116" spans="1:6" ht="24">
      <c r="A116" s="3116">
        <v>44</v>
      </c>
      <c r="B116" s="3774" t="s">
        <v>2740</v>
      </c>
      <c r="C116" s="3116" t="s">
        <v>2741</v>
      </c>
      <c r="D116" s="3090" t="s">
        <v>2742</v>
      </c>
      <c r="E116" s="3116">
        <v>0.1</v>
      </c>
      <c r="F116" s="3116">
        <v>15</v>
      </c>
    </row>
    <row r="117" spans="1:6" ht="24">
      <c r="A117" s="3116">
        <v>45</v>
      </c>
      <c r="B117" s="3775"/>
      <c r="C117" s="3090" t="s">
        <v>2743</v>
      </c>
      <c r="D117" s="3090" t="s">
        <v>2744</v>
      </c>
      <c r="E117" s="3116">
        <v>0.1</v>
      </c>
      <c r="F117" s="3116">
        <v>15</v>
      </c>
    </row>
    <row r="118" spans="1:6" ht="24">
      <c r="A118" s="3116">
        <v>46</v>
      </c>
      <c r="B118" s="3774" t="s">
        <v>2745</v>
      </c>
      <c r="C118" s="3116" t="s">
        <v>2746</v>
      </c>
      <c r="D118" s="3090" t="s">
        <v>2747</v>
      </c>
      <c r="E118" s="3116">
        <v>0.1</v>
      </c>
      <c r="F118" s="3116">
        <v>15</v>
      </c>
    </row>
    <row r="119" spans="1:6" ht="24">
      <c r="A119" s="3116">
        <v>47</v>
      </c>
      <c r="B119" s="3775"/>
      <c r="C119" s="3116" t="s">
        <v>2748</v>
      </c>
      <c r="D119" s="3090" t="s">
        <v>2749</v>
      </c>
      <c r="E119" s="3116">
        <v>0.1</v>
      </c>
      <c r="F119" s="3116">
        <v>15</v>
      </c>
    </row>
    <row r="120" spans="1:6" ht="24">
      <c r="A120" s="3116">
        <v>48</v>
      </c>
      <c r="B120" s="3774" t="s">
        <v>2750</v>
      </c>
      <c r="C120" s="3116" t="s">
        <v>2751</v>
      </c>
      <c r="D120" s="3090" t="s">
        <v>2752</v>
      </c>
      <c r="E120" s="3116">
        <v>0.1</v>
      </c>
      <c r="F120" s="3116">
        <v>15</v>
      </c>
    </row>
    <row r="121" spans="1:6" ht="24">
      <c r="A121" s="3116">
        <v>49</v>
      </c>
      <c r="B121" s="3775"/>
      <c r="C121" s="3116" t="s">
        <v>2753</v>
      </c>
      <c r="D121" s="3090" t="s">
        <v>2754</v>
      </c>
      <c r="E121" s="3116">
        <v>0.1</v>
      </c>
      <c r="F121" s="3116">
        <v>15</v>
      </c>
    </row>
    <row r="122" spans="1:6" ht="24">
      <c r="A122" s="3116">
        <v>50</v>
      </c>
      <c r="B122" s="3773" t="s">
        <v>2755</v>
      </c>
      <c r="C122" s="3116" t="s">
        <v>2756</v>
      </c>
      <c r="D122" s="3090" t="s">
        <v>2757</v>
      </c>
      <c r="E122" s="3116">
        <v>0.1</v>
      </c>
      <c r="F122" s="3116">
        <v>15</v>
      </c>
    </row>
    <row r="123" spans="1:6" ht="24">
      <c r="A123" s="3116">
        <v>51</v>
      </c>
      <c r="B123" s="3773"/>
      <c r="C123" s="3116" t="s">
        <v>2758</v>
      </c>
      <c r="D123" s="3090" t="s">
        <v>2759</v>
      </c>
      <c r="E123" s="3116">
        <v>0.1</v>
      </c>
      <c r="F123" s="3116">
        <v>15</v>
      </c>
    </row>
    <row r="124" spans="1:6" ht="24">
      <c r="A124" s="3116">
        <v>52</v>
      </c>
      <c r="B124" s="3773" t="s">
        <v>2760</v>
      </c>
      <c r="C124" s="3116" t="s">
        <v>2761</v>
      </c>
      <c r="D124" s="3090" t="s">
        <v>2762</v>
      </c>
      <c r="E124" s="3116">
        <v>0.1</v>
      </c>
      <c r="F124" s="3116">
        <v>15</v>
      </c>
    </row>
    <row r="125" spans="1:6" ht="24">
      <c r="A125" s="3116">
        <v>53</v>
      </c>
      <c r="B125" s="3773"/>
      <c r="C125" s="3116" t="s">
        <v>2763</v>
      </c>
      <c r="D125" s="3090" t="s">
        <v>2764</v>
      </c>
      <c r="E125" s="3116">
        <v>0.1</v>
      </c>
      <c r="F125" s="3116">
        <v>15</v>
      </c>
    </row>
    <row r="126" spans="1:6" ht="24">
      <c r="A126" s="3116">
        <v>54</v>
      </c>
      <c r="B126" s="3116" t="s">
        <v>2765</v>
      </c>
      <c r="C126" s="3116" t="s">
        <v>2766</v>
      </c>
      <c r="D126" s="3090" t="s">
        <v>2767</v>
      </c>
      <c r="E126" s="3116">
        <v>0.1</v>
      </c>
      <c r="F126" s="3116">
        <v>15</v>
      </c>
    </row>
    <row r="127" spans="1:6" ht="24">
      <c r="A127" s="3116">
        <v>55</v>
      </c>
      <c r="B127" s="3773" t="s">
        <v>2768</v>
      </c>
      <c r="C127" s="3116" t="s">
        <v>2769</v>
      </c>
      <c r="D127" s="3090" t="s">
        <v>2770</v>
      </c>
      <c r="E127" s="3116">
        <v>0.1</v>
      </c>
      <c r="F127" s="3116">
        <v>15</v>
      </c>
    </row>
    <row r="128" spans="1:6" ht="24">
      <c r="A128" s="3116">
        <v>56</v>
      </c>
      <c r="B128" s="3773"/>
      <c r="C128" s="3116" t="s">
        <v>2771</v>
      </c>
      <c r="D128" s="3090" t="s">
        <v>2772</v>
      </c>
      <c r="E128" s="3116">
        <v>0.1</v>
      </c>
      <c r="F128" s="3116">
        <v>15</v>
      </c>
    </row>
    <row r="129" spans="1:6" ht="24">
      <c r="A129" s="3116">
        <v>57</v>
      </c>
      <c r="B129" s="3773"/>
      <c r="C129" s="3116" t="s">
        <v>2773</v>
      </c>
      <c r="D129" s="3090" t="s">
        <v>2774</v>
      </c>
      <c r="E129" s="3116">
        <v>0.1</v>
      </c>
      <c r="F129" s="3116">
        <v>15</v>
      </c>
    </row>
    <row r="130" spans="1:6" ht="24">
      <c r="A130" s="3116">
        <v>58</v>
      </c>
      <c r="B130" s="3773" t="s">
        <v>2775</v>
      </c>
      <c r="C130" s="3116" t="s">
        <v>2776</v>
      </c>
      <c r="D130" s="3090" t="s">
        <v>2777</v>
      </c>
      <c r="E130" s="3116">
        <v>0.1</v>
      </c>
      <c r="F130" s="3116">
        <v>15</v>
      </c>
    </row>
    <row r="131" spans="1:6" ht="24">
      <c r="A131" s="3116">
        <v>59</v>
      </c>
      <c r="B131" s="3773"/>
      <c r="C131" s="3116" t="s">
        <v>2778</v>
      </c>
      <c r="D131" s="3090" t="s">
        <v>2779</v>
      </c>
      <c r="E131" s="3116">
        <v>0.1</v>
      </c>
      <c r="F131" s="3116">
        <v>15</v>
      </c>
    </row>
    <row r="132" spans="1:6" ht="24">
      <c r="A132" s="3116">
        <v>60</v>
      </c>
      <c r="B132" s="3774" t="s">
        <v>2780</v>
      </c>
      <c r="C132" s="3116" t="s">
        <v>2781</v>
      </c>
      <c r="D132" s="3090" t="s">
        <v>2782</v>
      </c>
      <c r="E132" s="3116">
        <v>0.1</v>
      </c>
      <c r="F132" s="3116">
        <v>15</v>
      </c>
    </row>
    <row r="133" spans="1:6" ht="24">
      <c r="A133" s="3116">
        <v>61</v>
      </c>
      <c r="B133" s="3775"/>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24">
      <c r="A135" s="3116">
        <v>63</v>
      </c>
      <c r="B135" s="3773" t="s">
        <v>2788</v>
      </c>
      <c r="C135" s="3116" t="s">
        <v>2789</v>
      </c>
      <c r="D135" s="3090" t="s">
        <v>2790</v>
      </c>
      <c r="E135" s="3116">
        <v>0.1</v>
      </c>
      <c r="F135" s="3116">
        <v>15</v>
      </c>
    </row>
    <row r="136" spans="1:6" ht="24">
      <c r="A136" s="3116">
        <v>64</v>
      </c>
      <c r="B136" s="3773"/>
      <c r="C136" s="3116" t="s">
        <v>2791</v>
      </c>
      <c r="D136" s="3090" t="s">
        <v>2792</v>
      </c>
      <c r="E136" s="3116">
        <v>0.1</v>
      </c>
      <c r="F136" s="3116">
        <v>15</v>
      </c>
    </row>
    <row r="137" spans="1:6" ht="24">
      <c r="A137" s="3116">
        <v>65</v>
      </c>
      <c r="B137" s="3116" t="s">
        <v>2793</v>
      </c>
      <c r="C137" s="3116" t="s">
        <v>2794</v>
      </c>
      <c r="D137" s="3090" t="s">
        <v>2795</v>
      </c>
      <c r="E137" s="3116">
        <v>0.1</v>
      </c>
      <c r="F137" s="3116">
        <v>15</v>
      </c>
    </row>
    <row r="138" spans="1:6" ht="14.4">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7.399999999999999">
      <c r="A3" s="3470" t="str">
        <f>IF(项目基本情况!B9="房地产市场价值","估价结果一览表（市场价值不需“结果表-1”）","估价结果一览表")</f>
        <v>估价结果一览表</v>
      </c>
      <c r="B3" s="3470"/>
      <c r="C3" s="3470"/>
      <c r="D3" s="3470"/>
      <c r="E3" s="3470"/>
    </row>
    <row r="4" spans="1:5" ht="18" thickBot="1">
      <c r="A4" s="1491"/>
      <c r="B4" s="3468" t="s">
        <v>917</v>
      </c>
      <c r="C4" s="3468"/>
      <c r="D4" s="3468"/>
      <c r="E4" s="1491"/>
    </row>
    <row r="5" spans="1:5" ht="16.2" thickTop="1">
      <c r="A5" s="1489"/>
      <c r="B5" s="3466" t="s">
        <v>909</v>
      </c>
      <c r="C5" s="1492" t="s">
        <v>910</v>
      </c>
      <c r="D5" s="850" t="e">
        <f ca="1">结果表!H101</f>
        <v>#REF!</v>
      </c>
      <c r="E5" s="1489"/>
    </row>
    <row r="6" spans="1:5" ht="15.6">
      <c r="A6" s="1489"/>
      <c r="B6" s="3466"/>
      <c r="C6" s="1492" t="s">
        <v>911</v>
      </c>
      <c r="D6" s="850" t="e">
        <f ca="1">NUMBERSTRING(INT(D5*10000),2)&amp;"元整"</f>
        <v>#REF!</v>
      </c>
      <c r="E6" s="1489"/>
    </row>
    <row r="7" spans="1:5" ht="15.6">
      <c r="A7" s="1489"/>
      <c r="B7" s="3471"/>
      <c r="C7" s="1493" t="s">
        <v>912</v>
      </c>
      <c r="D7" s="851" t="e">
        <f ca="1">结果表!H102</f>
        <v>#REF!</v>
      </c>
      <c r="E7" s="1489"/>
    </row>
    <row r="8" spans="1:5" ht="15.6">
      <c r="A8" s="1489"/>
      <c r="B8" s="3472" t="str">
        <f>结果表!E103</f>
        <v>2.估价师知悉的法定优先受偿款</v>
      </c>
      <c r="C8" s="1494" t="s">
        <v>913</v>
      </c>
      <c r="D8" s="851">
        <f>结果表!H103</f>
        <v>0</v>
      </c>
      <c r="E8" s="1489"/>
    </row>
    <row r="9" spans="1:5" ht="15.6">
      <c r="A9" s="1489"/>
      <c r="B9" s="3474"/>
      <c r="C9" s="1492" t="s">
        <v>911</v>
      </c>
      <c r="D9" s="850" t="str">
        <f>NUMBERSTRING(INT(D8*10000),2)&amp;"元整"</f>
        <v>零元整</v>
      </c>
      <c r="E9" s="1489"/>
    </row>
    <row r="10" spans="1:5" ht="15.6">
      <c r="A10" s="1489"/>
      <c r="B10" s="1495" t="s">
        <v>916</v>
      </c>
      <c r="C10" s="1496" t="s">
        <v>914</v>
      </c>
      <c r="D10" s="852">
        <f>结果表!H104</f>
        <v>0</v>
      </c>
      <c r="E10" s="1489"/>
    </row>
    <row r="11" spans="1:5" ht="15.6">
      <c r="A11" s="1489"/>
      <c r="B11" s="1495" t="s">
        <v>918</v>
      </c>
      <c r="C11" s="1496" t="s">
        <v>919</v>
      </c>
      <c r="D11" s="852">
        <f>结果表!H105</f>
        <v>0</v>
      </c>
      <c r="E11" s="1489"/>
    </row>
    <row r="12" spans="1:5" ht="15.6">
      <c r="A12" s="1489"/>
      <c r="B12" s="1495" t="s">
        <v>920</v>
      </c>
      <c r="C12" s="1496" t="s">
        <v>919</v>
      </c>
      <c r="D12" s="852">
        <f>结果表!H106</f>
        <v>0</v>
      </c>
      <c r="E12" s="1489"/>
    </row>
    <row r="13" spans="1:5" ht="15.6">
      <c r="A13" s="1489"/>
      <c r="B13" s="3465" t="str">
        <f>结果表!E107</f>
        <v>3.房地产抵押价值</v>
      </c>
      <c r="C13" s="1497" t="s">
        <v>910</v>
      </c>
      <c r="D13" s="853" t="e">
        <f ca="1">结果表!H107</f>
        <v>#REF!</v>
      </c>
      <c r="E13" s="1489"/>
    </row>
    <row r="14" spans="1:5" ht="15.6">
      <c r="A14" s="1489"/>
      <c r="B14" s="3466"/>
      <c r="C14" s="1492" t="s">
        <v>911</v>
      </c>
      <c r="D14" s="850" t="e">
        <f ca="1">NUMBERSTRING(INT(D13*10000),2)&amp;"元整"</f>
        <v>#REF!</v>
      </c>
      <c r="E14" s="1489"/>
    </row>
    <row r="15" spans="1:5" ht="15.6">
      <c r="A15" s="1489"/>
      <c r="B15" s="3471"/>
      <c r="C15" s="1493" t="s">
        <v>921</v>
      </c>
      <c r="D15" s="859" t="e">
        <f ca="1">结果表!H108</f>
        <v>#REF!</v>
      </c>
      <c r="E15" s="1489"/>
    </row>
    <row r="16" spans="1:5" ht="15.6">
      <c r="A16" s="1489"/>
      <c r="B16" s="3472" t="str">
        <f>结果表!E109</f>
        <v>——</v>
      </c>
      <c r="C16" s="1497" t="s">
        <v>922</v>
      </c>
      <c r="D16" s="1498" t="str">
        <f>结果表!H109</f>
        <v>——</v>
      </c>
      <c r="E16" s="1489"/>
    </row>
    <row r="17" spans="1:5" ht="15.6">
      <c r="A17" s="1489"/>
      <c r="B17" s="3473"/>
      <c r="C17" s="1492" t="s">
        <v>923</v>
      </c>
      <c r="D17" s="850" t="e">
        <f>NUMBERSTRING(INT(D16*10000),2)&amp;"元整"</f>
        <v>#VALUE!</v>
      </c>
      <c r="E17" s="1489"/>
    </row>
    <row r="18" spans="1:5" ht="15.6">
      <c r="A18" s="1489"/>
      <c r="B18" s="3474"/>
      <c r="C18" s="1493" t="s">
        <v>912</v>
      </c>
      <c r="D18" s="859" t="str">
        <f>结果表!H110</f>
        <v>——</v>
      </c>
      <c r="E18" s="1489"/>
    </row>
    <row r="19" spans="1:5" ht="15.6">
      <c r="A19" s="1489"/>
      <c r="B19" s="3465" t="str">
        <f>结果表!E111</f>
        <v>——</v>
      </c>
      <c r="C19" s="1497" t="s">
        <v>910</v>
      </c>
      <c r="D19" s="851" t="str">
        <f>结果表!H111</f>
        <v>——</v>
      </c>
      <c r="E19" s="1489"/>
    </row>
    <row r="20" spans="1:5" ht="15.6">
      <c r="A20" s="1489"/>
      <c r="B20" s="3466"/>
      <c r="C20" s="1492" t="s">
        <v>923</v>
      </c>
      <c r="D20" s="850" t="e">
        <f>NUMBERSTRING(INT(D19*10000),2)&amp;"元整"</f>
        <v>#VALUE!</v>
      </c>
      <c r="E20" s="1489"/>
    </row>
    <row r="21" spans="1:5" ht="16.2" thickBot="1">
      <c r="A21" s="1489"/>
      <c r="B21" s="3467"/>
      <c r="C21" s="1499" t="s">
        <v>921</v>
      </c>
      <c r="D21" s="860"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8"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87" t="s">
        <v>2838</v>
      </c>
      <c r="B1" s="3787"/>
      <c r="C1" s="3787"/>
      <c r="D1" s="3787"/>
      <c r="E1" s="3787"/>
      <c r="F1" s="3787"/>
      <c r="G1" s="3788"/>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1.4"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5"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1.4" thickBot="1">
      <c r="A4" s="3786"/>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1.4"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1.4"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1.4"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1.4"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89" t="s">
        <v>3180</v>
      </c>
      <c r="B1" s="3789"/>
    </row>
    <row r="2" spans="1:7" ht="15" thickBot="1">
      <c r="A2" s="3253"/>
      <c r="B2" s="3253"/>
    </row>
    <row r="3" spans="1:7" ht="15" thickBot="1">
      <c r="A3" s="3253"/>
      <c r="B3" s="3253"/>
      <c r="C3" s="3254" t="s">
        <v>2810</v>
      </c>
      <c r="D3" s="3254" t="s">
        <v>2866</v>
      </c>
      <c r="E3" s="3254" t="s">
        <v>2812</v>
      </c>
      <c r="F3" s="3254" t="s">
        <v>2867</v>
      </c>
      <c r="G3" s="3254" t="s">
        <v>2630</v>
      </c>
    </row>
    <row r="4" spans="1:7" ht="1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8"/>
  </cols>
  <sheetData>
    <row r="1" spans="1:6">
      <c r="A1" s="3790" t="s">
        <v>3231</v>
      </c>
      <c r="B1" s="3790"/>
      <c r="C1" s="3790"/>
      <c r="D1" s="3790"/>
      <c r="E1" s="3790"/>
      <c r="F1" s="3791"/>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9">
        <f>基准地价修正!G23</f>
        <v>45322</v>
      </c>
      <c r="B1" s="3208" t="s">
        <v>3370</v>
      </c>
      <c r="C1" s="3209"/>
      <c r="D1" s="3209"/>
      <c r="E1" s="3209"/>
      <c r="F1" s="3209"/>
      <c r="G1" s="3209"/>
      <c r="H1" s="3209"/>
      <c r="I1" s="3209"/>
      <c r="J1" s="3163"/>
      <c r="K1" s="3209" t="s">
        <v>454</v>
      </c>
      <c r="L1" s="3209"/>
      <c r="M1" s="3209"/>
      <c r="N1" s="3209"/>
      <c r="O1" s="3209"/>
      <c r="P1" s="3209"/>
      <c r="Q1" s="3163"/>
      <c r="R1" s="3792" t="s">
        <v>456</v>
      </c>
      <c r="S1" s="3793"/>
      <c r="T1" s="3793"/>
      <c r="U1" s="3793"/>
      <c r="V1" s="3793"/>
      <c r="W1" s="3793"/>
      <c r="X1" s="3163"/>
      <c r="Y1" s="3792" t="s">
        <v>457</v>
      </c>
      <c r="Z1" s="3793"/>
      <c r="AA1" s="3793"/>
      <c r="AB1" s="3793"/>
      <c r="AC1" s="3793"/>
      <c r="AD1" s="3793"/>
    </row>
    <row r="2" spans="1:30" s="3141" customFormat="1" ht="1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3.2">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3.2">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3.2">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3.2">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6" t="s">
        <v>3365</v>
      </c>
    </row>
    <row r="21" spans="1:30" s="3007" customFormat="1">
      <c r="I21" s="3206" t="s">
        <v>2824</v>
      </c>
    </row>
    <row r="22" spans="1:30" s="3007" customFormat="1"/>
    <row r="23" spans="1:30" s="3207" customFormat="1" ht="13.2">
      <c r="B23" s="3208" t="s">
        <v>3371</v>
      </c>
      <c r="C23" s="3209"/>
      <c r="D23" s="3209"/>
      <c r="E23" s="3209"/>
      <c r="F23" s="3209"/>
      <c r="G23" s="3209"/>
      <c r="H23" s="3209"/>
      <c r="I23" s="3209"/>
      <c r="J23" s="3163"/>
      <c r="K23" s="3209" t="s">
        <v>2825</v>
      </c>
      <c r="L23" s="3209"/>
      <c r="M23" s="3209"/>
      <c r="N23" s="3209"/>
      <c r="O23" s="3209"/>
      <c r="P23" s="3209"/>
      <c r="Q23" s="3163"/>
      <c r="R23" s="3792" t="s">
        <v>2826</v>
      </c>
      <c r="S23" s="3793"/>
      <c r="T23" s="3793"/>
      <c r="U23" s="3793"/>
      <c r="V23" s="3793"/>
      <c r="W23" s="3793"/>
      <c r="X23" s="3163"/>
      <c r="Y23" s="3792" t="s">
        <v>2827</v>
      </c>
      <c r="Z23" s="3793"/>
      <c r="AA23" s="3793"/>
      <c r="AB23" s="3793"/>
      <c r="AC23" s="3793"/>
      <c r="AD23" s="3793"/>
    </row>
    <row r="24" spans="1:30" s="3141" customFormat="1" ht="1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3.2">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3.2">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3.2">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3.2">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79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79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0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79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79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79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79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79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79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79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79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79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79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79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5">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796">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79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5">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796">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6">
      <c r="A3" s="3478"/>
      <c r="B3" s="3478"/>
      <c r="C3" s="3478"/>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6">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6">
      <c r="A8" s="3477" t="str">
        <f>结果表!A122</f>
        <v>房地产抵押价值</v>
      </c>
      <c r="B8" s="3477"/>
      <c r="C8" s="3477"/>
      <c r="D8" s="3477" t="e">
        <f ca="1">结果表!D122</f>
        <v>#REF!</v>
      </c>
      <c r="E8" s="3477"/>
      <c r="F8" s="3477"/>
      <c r="G8" s="3477"/>
      <c r="H8" s="3477"/>
      <c r="I8" s="3477"/>
    </row>
    <row r="9" spans="1:9" ht="15">
      <c r="A9" s="3478" t="s">
        <v>927</v>
      </c>
      <c r="B9" s="3478"/>
      <c r="C9" s="3478"/>
      <c r="D9" s="3478" t="e">
        <f ca="1">结果表!D123</f>
        <v>#REF!</v>
      </c>
      <c r="E9" s="3478"/>
      <c r="F9" s="3478"/>
      <c r="G9" s="3478"/>
      <c r="H9" s="3478"/>
      <c r="I9" s="3478"/>
    </row>
    <row r="10" spans="1:9" ht="15.6">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6">
      <c r="A12" s="3477" t="str">
        <f>结果表!A126</f>
        <v/>
      </c>
      <c r="B12" s="3477"/>
      <c r="C12" s="3477"/>
      <c r="D12" s="3477" t="str">
        <f>结果表!D126</f>
        <v>——</v>
      </c>
      <c r="E12" s="3477"/>
      <c r="F12" s="3477"/>
      <c r="G12" s="3477"/>
      <c r="H12" s="3477"/>
      <c r="I12" s="3477"/>
    </row>
    <row r="13" spans="1:9" ht="15.6" thickBot="1">
      <c r="A13" s="3475" t="s">
        <v>927</v>
      </c>
      <c r="B13" s="3475"/>
      <c r="C13" s="3475"/>
      <c r="D13" s="3475" t="e">
        <f>结果表!D127</f>
        <v>#VALUE!</v>
      </c>
      <c r="E13" s="3475"/>
      <c r="F13" s="3475"/>
      <c r="G13" s="3475"/>
      <c r="H13" s="3475"/>
      <c r="I13" s="3475"/>
    </row>
    <row r="14" spans="1:9" ht="14.4" thickTop="1">
      <c r="A14" s="3476" t="s">
        <v>932</v>
      </c>
      <c r="B14" s="3476"/>
      <c r="C14" s="3476"/>
      <c r="D14" s="3476"/>
      <c r="E14" s="3476"/>
      <c r="F14" s="3476"/>
      <c r="G14" s="3476"/>
      <c r="H14" s="3476"/>
      <c r="I14" s="3476"/>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90" t="s">
        <v>949</v>
      </c>
      <c r="B1" s="3490"/>
      <c r="C1" s="3490"/>
      <c r="D1" s="3490"/>
    </row>
    <row r="2" spans="1:4" ht="17.399999999999999">
      <c r="A2" s="3491" t="s">
        <v>933</v>
      </c>
      <c r="B2" s="3491"/>
      <c r="C2" s="3491"/>
      <c r="D2" s="3491"/>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491" t="s">
        <v>939</v>
      </c>
      <c r="B6" s="3491"/>
      <c r="C6" s="3491"/>
      <c r="D6" s="3491"/>
    </row>
    <row r="7" spans="1:4" ht="17.399999999999999">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7.399999999999999">
      <c r="A10" s="1514" t="s">
        <v>941</v>
      </c>
      <c r="B10" s="675"/>
      <c r="C10" s="675"/>
      <c r="D10" s="675"/>
    </row>
    <row r="11" spans="1:4" ht="30" customHeight="1">
      <c r="A11" s="3492" t="s">
        <v>942</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498" t="s">
        <v>956</v>
      </c>
      <c r="B15" s="3493" t="s">
        <v>109</v>
      </c>
      <c r="C15" s="3494"/>
    </row>
    <row r="16" spans="1:7" ht="14.4">
      <c r="A16" s="3499"/>
      <c r="B16" s="3493" t="s">
        <v>42</v>
      </c>
      <c r="C16" s="3494"/>
    </row>
    <row r="17" spans="1:3" ht="14.4">
      <c r="A17" s="3499"/>
      <c r="B17" s="3496" t="s">
        <v>957</v>
      </c>
      <c r="C17" s="1530" t="s">
        <v>956</v>
      </c>
    </row>
    <row r="18" spans="1:3" ht="14.4">
      <c r="A18" s="3499"/>
      <c r="B18" s="3496"/>
      <c r="C18" s="1530" t="s">
        <v>958</v>
      </c>
    </row>
    <row r="19" spans="1:3" ht="14.4">
      <c r="A19" s="3499"/>
      <c r="B19" s="3496"/>
      <c r="C19" s="1530" t="s">
        <v>959</v>
      </c>
    </row>
    <row r="20" spans="1:3" ht="14.4">
      <c r="A20" s="3500"/>
      <c r="B20" s="3495" t="s">
        <v>960</v>
      </c>
      <c r="C20" s="3494"/>
    </row>
    <row r="21" spans="1:3" ht="14.4">
      <c r="A21" s="1531" t="s">
        <v>961</v>
      </c>
      <c r="B21" s="1532"/>
      <c r="C21" s="1533"/>
    </row>
    <row r="22" spans="1:3" ht="14.4">
      <c r="A22" s="3497" t="s">
        <v>962</v>
      </c>
      <c r="B22" s="3495" t="s">
        <v>963</v>
      </c>
      <c r="C22" s="3494"/>
    </row>
    <row r="23" spans="1:3" ht="14.4">
      <c r="A23" s="3497"/>
      <c r="B23" s="3495" t="s">
        <v>964</v>
      </c>
      <c r="C23" s="3494"/>
    </row>
    <row r="24" spans="1:3" ht="14.4">
      <c r="A24" s="3497"/>
      <c r="B24" s="3495" t="s">
        <v>965</v>
      </c>
      <c r="C24" s="3494"/>
    </row>
    <row r="25" spans="1:3" ht="14.4">
      <c r="A25" s="3497"/>
      <c r="B25" s="3496" t="s">
        <v>966</v>
      </c>
      <c r="C25" s="1530" t="s">
        <v>967</v>
      </c>
    </row>
    <row r="26" spans="1:3" ht="14.4">
      <c r="A26" s="3497"/>
      <c r="B26" s="3496"/>
      <c r="C26" s="1530" t="s">
        <v>968</v>
      </c>
    </row>
    <row r="27" spans="1:3" ht="14.4">
      <c r="A27" s="3497"/>
      <c r="B27" s="3496"/>
      <c r="C27" s="1530" t="s">
        <v>969</v>
      </c>
    </row>
    <row r="28" spans="1:3" ht="14.4">
      <c r="A28" s="3497"/>
      <c r="B28" s="3496"/>
      <c r="C28" s="1530" t="s">
        <v>970</v>
      </c>
    </row>
    <row r="29" spans="1:3" ht="14.4">
      <c r="A29" s="3497"/>
      <c r="B29" s="3496"/>
      <c r="C29" s="1530" t="s">
        <v>971</v>
      </c>
    </row>
    <row r="30" spans="1:3" ht="14.4">
      <c r="A30" s="3497"/>
      <c r="B30" s="3496"/>
      <c r="C30" s="1530" t="s">
        <v>972</v>
      </c>
    </row>
    <row r="31" spans="1:3" ht="14.4">
      <c r="A31" s="3497"/>
      <c r="B31" s="3496"/>
      <c r="C31" s="1530" t="s">
        <v>973</v>
      </c>
    </row>
    <row r="32" spans="1:3" ht="14.4">
      <c r="A32" s="3497"/>
      <c r="B32" s="3496"/>
      <c r="C32" s="1530" t="s">
        <v>974</v>
      </c>
    </row>
    <row r="33" spans="1:3" ht="14.4">
      <c r="A33" s="3497"/>
      <c r="B33" s="3496"/>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2134</v>
      </c>
      <c r="B2" s="2337">
        <f ca="1">TODAY()</f>
        <v>45323</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1" t="s">
        <v>2155</v>
      </c>
      <c r="B17" s="3501"/>
      <c r="C17" s="3501"/>
      <c r="D17" s="3501"/>
      <c r="E17" s="3501"/>
      <c r="F17" s="3501"/>
      <c r="G17" s="3501"/>
      <c r="H17" s="3501"/>
    </row>
    <row r="18" spans="1:8" ht="24" customHeight="1">
      <c r="A18" s="3502" t="s">
        <v>2156</v>
      </c>
      <c r="B18" s="3502"/>
      <c r="C18" s="3502"/>
      <c r="D18" s="2341"/>
      <c r="E18" s="3503" t="s">
        <v>2157</v>
      </c>
      <c r="F18" s="3502"/>
      <c r="G18" s="3502"/>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2024-02-01T09:19:07Z</dcterms:modified>
</cp:coreProperties>
</file>