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比较法-联排" sheetId="69" r:id="rId29"/>
    <sheet name="不动产比较法-高层" sheetId="21" r:id="rId30"/>
    <sheet name="不动产比较法-车位" sheetId="35" r:id="rId31"/>
    <sheet name="不动产收益法-地下仓储" sheetId="68" state="hidden" r:id="rId32"/>
    <sheet name="不动产收益法-养老院"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存贷款利率" sheetId="65" state="hidden" r:id="rId41"/>
    <sheet name="基准地价" sheetId="46" r:id="rId42"/>
    <sheet name="Sheet1" sheetId="70"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30" hidden="1">'不动产比较法-车位'!$A$1:$L$39</definedName>
    <definedName name="_xlnm._FilterDatabase" localSheetId="29" hidden="1">'不动产比较法-高层'!$A$1:$L$49</definedName>
    <definedName name="_xlnm._FilterDatabase" localSheetId="37" hidden="1">'不动产比较法-工业'!$A$1:$L$43</definedName>
    <definedName name="_xlnm._FilterDatabase" localSheetId="28" hidden="1">'不动产比较法-联排'!$A$1:$L$49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8">'不动产比较法-联排'!$B$88:$M$88</definedName>
    <definedName name="住宅朝向">'不动产比较法-高层'!$B$88:$M$88</definedName>
    <definedName name="住宅房型" localSheetId="28">'不动产比较法-联排'!$B$118:$M$118</definedName>
    <definedName name="住宅房型">'不动产比较法-高层'!$B$118:$M$118</definedName>
    <definedName name="住宅公共部分装修" localSheetId="28">'不动产比较法-联排'!$B$109:$M$109</definedName>
    <definedName name="住宅公共部分装修">'不动产比较法-高层'!$B$109:$M$109</definedName>
    <definedName name="住宅基础设施水平" localSheetId="28">'不动产比较法-联排'!$B$116:$M$116</definedName>
    <definedName name="住宅基础设施水平">'不动产比较法-高层'!$B$116:$M$116</definedName>
    <definedName name="住宅建筑结构" localSheetId="28">'不动产比较法-联排'!$B$105:$M$105</definedName>
    <definedName name="住宅建筑结构">'不动产比较法-高层'!$B$105:$M$105</definedName>
    <definedName name="住宅建筑类型" localSheetId="28">'不动产比较法-联排'!$B$100:$M$100</definedName>
    <definedName name="住宅建筑类型">'不动产比较法-高层'!$B$100:$M$100</definedName>
    <definedName name="住宅建筑品质" localSheetId="28">'不动产比较法-联排'!$B$107:$M$107</definedName>
    <definedName name="住宅建筑品质">'不动产比较法-高层'!$B$107:$M$107</definedName>
    <definedName name="住宅交易情况" localSheetId="28">'不动产比较法-联排'!$A$61:$M$61</definedName>
    <definedName name="住宅交易情况">'不动产比较法-高层'!$A$61:$M$61</definedName>
    <definedName name="住宅楼层" localSheetId="28">'不动产比较法-联排'!$B$86:$M$86</definedName>
    <definedName name="住宅楼层">'不动产比较法-高层'!$B$86:$M$86</definedName>
    <definedName name="住宅内部装修" localSheetId="28">'不动产比较法-联排'!$B$122:$M$122</definedName>
    <definedName name="住宅内部装修">'不动产比较法-高层'!$B$122:$M$122</definedName>
    <definedName name="住宅物业管理" localSheetId="28">'不动产比较法-联排'!$B$114:$M$114</definedName>
    <definedName name="住宅物业管理">'不动产比较法-高层'!$B$114:$M$114</definedName>
    <definedName name="住宅用途" localSheetId="28">'不动产比较法-联排'!$B$63:$M$63</definedName>
    <definedName name="住宅用途">'不动产比较法-高层'!$B$63:$M$63</definedName>
    <definedName name="住宅主力户型面积" localSheetId="28">'不动产比较法-联排'!$B$120:$M$120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E47" i="69" l="1"/>
  <c r="B29" i="9"/>
  <c r="B28" i="9" l="1"/>
  <c r="B27" i="9"/>
  <c r="I47" i="69" l="1"/>
  <c r="G47" i="69"/>
  <c r="E54" i="69" s="1"/>
  <c r="F54" i="69" s="1"/>
  <c r="I47" i="21"/>
  <c r="G47" i="21"/>
  <c r="E47" i="21"/>
  <c r="K30" i="35"/>
  <c r="K29" i="35"/>
  <c r="K28" i="35"/>
  <c r="K20" i="35"/>
  <c r="K18" i="35"/>
  <c r="K16" i="35"/>
  <c r="K14" i="35"/>
  <c r="I29" i="35"/>
  <c r="G29" i="35"/>
  <c r="E37" i="69"/>
  <c r="C145" i="69"/>
  <c r="J142" i="69"/>
  <c r="J140" i="69"/>
  <c r="K145" i="69" s="1"/>
  <c r="K139" i="69"/>
  <c r="K143" i="69" s="1"/>
  <c r="B130" i="69"/>
  <c r="B128" i="69"/>
  <c r="B126" i="69"/>
  <c r="H44" i="69" s="1"/>
  <c r="AB44" i="69" s="1"/>
  <c r="E125" i="69"/>
  <c r="F125" i="69" s="1"/>
  <c r="G125" i="69" s="1"/>
  <c r="D125" i="69"/>
  <c r="E123" i="69"/>
  <c r="F123" i="69" s="1"/>
  <c r="G123" i="69" s="1"/>
  <c r="H123" i="69" s="1"/>
  <c r="I123" i="69" s="1"/>
  <c r="J123" i="69" s="1"/>
  <c r="K123" i="69" s="1"/>
  <c r="L123" i="69" s="1"/>
  <c r="M123" i="69" s="1"/>
  <c r="D123" i="69"/>
  <c r="E119" i="69"/>
  <c r="F119" i="69" s="1"/>
  <c r="G119" i="69" s="1"/>
  <c r="H119" i="69" s="1"/>
  <c r="I119" i="69" s="1"/>
  <c r="J119" i="69" s="1"/>
  <c r="K119" i="69" s="1"/>
  <c r="L119" i="69" s="1"/>
  <c r="M119" i="69" s="1"/>
  <c r="D119" i="69"/>
  <c r="D117" i="69"/>
  <c r="E117" i="69" s="1"/>
  <c r="F117" i="69" s="1"/>
  <c r="G117" i="69" s="1"/>
  <c r="E115" i="69"/>
  <c r="F115" i="69" s="1"/>
  <c r="G115" i="69" s="1"/>
  <c r="H115" i="69" s="1"/>
  <c r="I115" i="69" s="1"/>
  <c r="J115" i="69" s="1"/>
  <c r="K115" i="69" s="1"/>
  <c r="L115" i="69" s="1"/>
  <c r="M115" i="69" s="1"/>
  <c r="D115" i="69"/>
  <c r="D113" i="69"/>
  <c r="E113" i="69" s="1"/>
  <c r="F113" i="69" s="1"/>
  <c r="G113" i="69" s="1"/>
  <c r="H113" i="69" s="1"/>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P49" i="69"/>
  <c r="P48" i="69"/>
  <c r="P47" i="69"/>
  <c r="I54" i="69"/>
  <c r="J54" i="69" s="1"/>
  <c r="T47" i="69"/>
  <c r="Q46" i="69"/>
  <c r="Z46" i="69" s="1"/>
  <c r="J46" i="69"/>
  <c r="AC46" i="69" s="1"/>
  <c r="H46" i="69"/>
  <c r="AB46" i="69" s="1"/>
  <c r="F46" i="69"/>
  <c r="AA46" i="69" s="1"/>
  <c r="Q45" i="69"/>
  <c r="Z45" i="69" s="1"/>
  <c r="J45" i="69"/>
  <c r="AC45" i="69" s="1"/>
  <c r="H45" i="69"/>
  <c r="AB45" i="69" s="1"/>
  <c r="F45" i="69"/>
  <c r="AA45" i="69" s="1"/>
  <c r="Q44" i="69"/>
  <c r="Z44" i="69" s="1"/>
  <c r="J44" i="69"/>
  <c r="AC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C33" i="69"/>
  <c r="H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W21" i="69" s="1"/>
  <c r="H21" i="69"/>
  <c r="F21" i="69"/>
  <c r="AA21" i="69" s="1"/>
  <c r="C21" i="69"/>
  <c r="Q19" i="69"/>
  <c r="Z19" i="69" s="1"/>
  <c r="J19" i="69"/>
  <c r="H19" i="69"/>
  <c r="AB19" i="69" s="1"/>
  <c r="F19" i="69"/>
  <c r="C19" i="69"/>
  <c r="Q17" i="69"/>
  <c r="Z17" i="69" s="1"/>
  <c r="J17" i="69"/>
  <c r="AC17" i="69" s="1"/>
  <c r="H17" i="69"/>
  <c r="AB17" i="69" s="1"/>
  <c r="F17" i="69"/>
  <c r="AA17" i="69" s="1"/>
  <c r="C17" i="69"/>
  <c r="Q15" i="69"/>
  <c r="Z15" i="69" s="1"/>
  <c r="J15" i="69"/>
  <c r="AC15" i="69" s="1"/>
  <c r="H15" i="69"/>
  <c r="U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C11" i="69"/>
  <c r="Q10" i="69"/>
  <c r="Z10" i="69" s="1"/>
  <c r="J10" i="69"/>
  <c r="AC10" i="69" s="1"/>
  <c r="H10" i="69"/>
  <c r="AB10" i="69" s="1"/>
  <c r="F10" i="69"/>
  <c r="AA10" i="69" s="1"/>
  <c r="Q9" i="69"/>
  <c r="Z9" i="69" s="1"/>
  <c r="J9" i="69"/>
  <c r="AC9" i="69" s="1"/>
  <c r="H9" i="69"/>
  <c r="AB9" i="69" s="1"/>
  <c r="F9" i="69"/>
  <c r="AA9" i="69" s="1"/>
  <c r="W8" i="69"/>
  <c r="S8" i="69"/>
  <c r="J8" i="69"/>
  <c r="AC8" i="69" s="1"/>
  <c r="H8" i="69"/>
  <c r="U8" i="69" s="1"/>
  <c r="F8" i="69"/>
  <c r="AA8" i="69" s="1"/>
  <c r="J7" i="69"/>
  <c r="W7" i="69" s="1"/>
  <c r="F7" i="69"/>
  <c r="S7" i="69" s="1"/>
  <c r="C7" i="69"/>
  <c r="C58" i="69" s="1"/>
  <c r="D58" i="69" s="1"/>
  <c r="E58" i="69" s="1"/>
  <c r="F58" i="69" s="1"/>
  <c r="G58" i="69" s="1"/>
  <c r="H58" i="69" s="1"/>
  <c r="I58" i="69" s="1"/>
  <c r="J58" i="69" s="1"/>
  <c r="K58" i="69" s="1"/>
  <c r="L58" i="69" s="1"/>
  <c r="M58" i="69" s="1"/>
  <c r="N58" i="69" s="1"/>
  <c r="O58" i="69" s="1"/>
  <c r="D3" i="69"/>
  <c r="C11" i="21"/>
  <c r="I37" i="21"/>
  <c r="G37" i="21"/>
  <c r="I21" i="21"/>
  <c r="G21" i="21"/>
  <c r="I19" i="21"/>
  <c r="G19" i="21"/>
  <c r="C33" i="21"/>
  <c r="E37" i="21"/>
  <c r="E21" i="21"/>
  <c r="E19" i="21"/>
  <c r="C13" i="39"/>
  <c r="C40" i="39"/>
  <c r="J11" i="69" l="1"/>
  <c r="W11" i="69" s="1"/>
  <c r="AC21" i="69"/>
  <c r="AB15" i="69"/>
  <c r="U23" i="69"/>
  <c r="AC11" i="69"/>
  <c r="AA7" i="69"/>
  <c r="U10" i="69"/>
  <c r="U13" i="69"/>
  <c r="S17" i="69"/>
  <c r="W17" i="69"/>
  <c r="AB21" i="69"/>
  <c r="U21" i="69"/>
  <c r="AB33" i="69"/>
  <c r="U33" i="69"/>
  <c r="AC7" i="69"/>
  <c r="AB8" i="69"/>
  <c r="S9" i="69"/>
  <c r="W9" i="69"/>
  <c r="H11" i="69"/>
  <c r="S12" i="69"/>
  <c r="W12" i="69"/>
  <c r="S14" i="69"/>
  <c r="W14" i="69"/>
  <c r="H7" i="69"/>
  <c r="U9" i="69"/>
  <c r="S10" i="69"/>
  <c r="W10" i="69"/>
  <c r="F11" i="69"/>
  <c r="U12" i="69"/>
  <c r="S13" i="69"/>
  <c r="W13" i="69"/>
  <c r="U14" i="69"/>
  <c r="S15" i="69"/>
  <c r="W15" i="69"/>
  <c r="U17" i="69"/>
  <c r="AA19" i="69"/>
  <c r="S19" i="69"/>
  <c r="AC19" i="69"/>
  <c r="W19" i="69"/>
  <c r="U19" i="69"/>
  <c r="S21" i="69"/>
  <c r="S23" i="69"/>
  <c r="W23" i="69"/>
  <c r="U25" i="69"/>
  <c r="S26" i="69"/>
  <c r="W26" i="69"/>
  <c r="U27" i="69"/>
  <c r="S28" i="69"/>
  <c r="W28" i="69"/>
  <c r="U29" i="69"/>
  <c r="S30" i="69"/>
  <c r="W30" i="69"/>
  <c r="U31" i="69"/>
  <c r="S32" i="69"/>
  <c r="W32" i="69"/>
  <c r="F33" i="69"/>
  <c r="J33" i="69"/>
  <c r="U34" i="69"/>
  <c r="S35" i="69"/>
  <c r="W35" i="69"/>
  <c r="U36" i="69"/>
  <c r="U37" i="69"/>
  <c r="S38" i="69"/>
  <c r="W38" i="69"/>
  <c r="U39" i="69"/>
  <c r="S40" i="69"/>
  <c r="W40" i="69"/>
  <c r="U41" i="69"/>
  <c r="S42" i="69"/>
  <c r="W42" i="69"/>
  <c r="U43" i="69"/>
  <c r="S44" i="69"/>
  <c r="W44" i="69"/>
  <c r="S25" i="69"/>
  <c r="W25" i="69"/>
  <c r="U26" i="69"/>
  <c r="S27" i="69"/>
  <c r="W27" i="69"/>
  <c r="U28" i="69"/>
  <c r="S29" i="69"/>
  <c r="W29" i="69"/>
  <c r="U30" i="69"/>
  <c r="S31" i="69"/>
  <c r="W31" i="69"/>
  <c r="U32" i="69"/>
  <c r="S34" i="69"/>
  <c r="W34" i="69"/>
  <c r="U35" i="69"/>
  <c r="S36" i="69"/>
  <c r="W36" i="69"/>
  <c r="S37" i="69"/>
  <c r="W37" i="69"/>
  <c r="U38" i="69"/>
  <c r="S39" i="69"/>
  <c r="W39" i="69"/>
  <c r="U40" i="69"/>
  <c r="S41" i="69"/>
  <c r="W41" i="69"/>
  <c r="U42" i="69"/>
  <c r="S43" i="69"/>
  <c r="W43" i="69"/>
  <c r="U44" i="69"/>
  <c r="S45" i="69"/>
  <c r="W45" i="69"/>
  <c r="U46" i="69"/>
  <c r="R47" i="69"/>
  <c r="V47" i="69"/>
  <c r="G54" i="69"/>
  <c r="H54" i="69" s="1"/>
  <c r="K141" i="69"/>
  <c r="U45" i="69"/>
  <c r="S46" i="69"/>
  <c r="W46" i="69"/>
  <c r="K144" i="69"/>
  <c r="Q73" i="68"/>
  <c r="Q60" i="68"/>
  <c r="D60" i="68"/>
  <c r="Q59" i="68"/>
  <c r="K59" i="68"/>
  <c r="P75" i="68" s="1"/>
  <c r="F58" i="68"/>
  <c r="Q52" i="68"/>
  <c r="J50" i="68"/>
  <c r="M47" i="68"/>
  <c r="F34" i="68"/>
  <c r="F33" i="68"/>
  <c r="F60" i="68" s="1"/>
  <c r="F32" i="68"/>
  <c r="F59" i="68" s="1"/>
  <c r="F31" i="68"/>
  <c r="F28" i="68"/>
  <c r="C28" i="68"/>
  <c r="F23" i="68"/>
  <c r="D24" i="68" s="1"/>
  <c r="D23" i="68"/>
  <c r="D22" i="68"/>
  <c r="F21" i="68"/>
  <c r="M20" i="68"/>
  <c r="F20" i="68"/>
  <c r="M19" i="68"/>
  <c r="M18" i="68"/>
  <c r="F18" i="68"/>
  <c r="M17" i="68"/>
  <c r="F17" i="68"/>
  <c r="F15" i="68"/>
  <c r="G1" i="68"/>
  <c r="I7" i="6"/>
  <c r="H17" i="4"/>
  <c r="F21" i="6"/>
  <c r="F20" i="6"/>
  <c r="F19" i="6"/>
  <c r="G23" i="6"/>
  <c r="G22" i="6"/>
  <c r="AF39" i="3"/>
  <c r="AD39" i="3"/>
  <c r="AT20" i="3"/>
  <c r="AT19" i="3"/>
  <c r="AT18" i="3"/>
  <c r="F36" i="68"/>
  <c r="F42" i="68"/>
  <c r="M28" i="68"/>
  <c r="M24" i="68"/>
  <c r="F9" i="68"/>
  <c r="F8" i="68"/>
  <c r="M22" i="68"/>
  <c r="L47" i="68"/>
  <c r="F7" i="68"/>
  <c r="AA33" i="69" l="1"/>
  <c r="S33" i="69"/>
  <c r="AA11" i="69"/>
  <c r="S11" i="69"/>
  <c r="R48" i="69"/>
  <c r="AC33" i="69"/>
  <c r="W33" i="69"/>
  <c r="AB11" i="69"/>
  <c r="U11" i="69"/>
  <c r="V48" i="69"/>
  <c r="I48" i="69" s="1"/>
  <c r="AB7" i="69"/>
  <c r="T48" i="69" s="1"/>
  <c r="G48" i="69" s="1"/>
  <c r="U7" i="69"/>
  <c r="P62" i="68"/>
  <c r="F49" i="68"/>
  <c r="M7" i="68"/>
  <c r="F50" i="68"/>
  <c r="C48" i="68" s="1"/>
  <c r="F63" i="68"/>
  <c r="F61" i="68"/>
  <c r="J51" i="68"/>
  <c r="AT17" i="3"/>
  <c r="AT16" i="3"/>
  <c r="AT15" i="3"/>
  <c r="AT14" i="3"/>
  <c r="AT13" i="3"/>
  <c r="G17" i="4"/>
  <c r="B7" i="4"/>
  <c r="D3" i="4"/>
  <c r="F16" i="68"/>
  <c r="M8" i="68"/>
  <c r="F40" i="68"/>
  <c r="F38" i="68"/>
  <c r="M27" i="68"/>
  <c r="M29" i="68"/>
  <c r="M6" i="68"/>
  <c r="L48" i="68"/>
  <c r="F35" i="68"/>
  <c r="F6" i="68"/>
  <c r="J36" i="68"/>
  <c r="F26" i="68"/>
  <c r="M23" i="68"/>
  <c r="F13" i="68"/>
  <c r="F43" i="68"/>
  <c r="M21" i="68"/>
  <c r="M26" i="68"/>
  <c r="J15" i="68"/>
  <c r="M9" i="68"/>
  <c r="F37" i="68"/>
  <c r="I52" i="69" l="1"/>
  <c r="J52" i="69" s="1"/>
  <c r="G53" i="69"/>
  <c r="H53" i="69" s="1"/>
  <c r="G52" i="69"/>
  <c r="H52" i="69" s="1"/>
  <c r="R49" i="69"/>
  <c r="E48" i="69"/>
  <c r="J53" i="68"/>
  <c r="F1" i="68" s="1"/>
  <c r="F70" i="68"/>
  <c r="F67" i="68"/>
  <c r="F64" i="68"/>
  <c r="F62" i="68"/>
  <c r="C61" i="68" s="1"/>
  <c r="C34" i="68"/>
  <c r="C27" i="68"/>
  <c r="J20" i="68"/>
  <c r="C6" i="68"/>
  <c r="L56" i="68"/>
  <c r="L58" i="68"/>
  <c r="F65" i="68"/>
  <c r="Q72" i="68"/>
  <c r="J6" i="68"/>
  <c r="J59" i="68"/>
  <c r="J57" i="68"/>
  <c r="J55" i="68" s="1"/>
  <c r="J58" i="68" s="1"/>
  <c r="Q51" i="68" s="1"/>
  <c r="J60" i="68"/>
  <c r="Q49" i="68" s="1"/>
  <c r="I54" i="68"/>
  <c r="L59" i="68"/>
  <c r="J4" i="59"/>
  <c r="K4" i="59"/>
  <c r="L4" i="59"/>
  <c r="I4" i="59"/>
  <c r="C17" i="68"/>
  <c r="Q53" i="68" l="1"/>
  <c r="E53" i="69"/>
  <c r="F53" i="69" s="1"/>
  <c r="E52" i="69"/>
  <c r="F52" i="69" s="1"/>
  <c r="C49" i="69"/>
  <c r="D8" i="12" s="1"/>
  <c r="C48" i="69"/>
  <c r="I53" i="69"/>
  <c r="J53" i="69" s="1"/>
  <c r="Q75" i="68"/>
  <c r="Q62" i="68"/>
  <c r="Q61" i="68"/>
  <c r="Q74" i="68"/>
  <c r="Q4" i="59"/>
  <c r="F4" i="59" s="1"/>
  <c r="P4" i="59"/>
  <c r="E4" i="59" s="1"/>
  <c r="O4" i="59"/>
  <c r="C4" i="59" s="1"/>
  <c r="D4" i="59" s="1"/>
  <c r="N4" i="59"/>
  <c r="B4" i="59" s="1"/>
  <c r="B3" i="69" l="1"/>
  <c r="B2" i="69" s="1"/>
  <c r="D10" i="12" s="1"/>
  <c r="I5" i="59"/>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F11" i="67"/>
  <c r="F14" i="67"/>
  <c r="B8" i="67"/>
  <c r="B11" i="67"/>
  <c r="E13" i="67"/>
  <c r="E12" i="67"/>
  <c r="E14" i="67"/>
  <c r="E10" i="67"/>
  <c r="F12" i="67"/>
  <c r="E8" i="67"/>
  <c r="B12" i="67"/>
  <c r="B13" i="67"/>
  <c r="E9" i="67"/>
  <c r="B14" i="67"/>
  <c r="B9" i="67"/>
  <c r="E11" i="67"/>
  <c r="F13" i="67"/>
  <c r="F8" i="67"/>
  <c r="B10" i="67"/>
  <c r="F9"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I5" i="65"/>
  <c r="I4" i="65"/>
  <c r="I3" i="65"/>
  <c r="N6" i="65"/>
  <c r="I6" i="65"/>
  <c r="N3" i="65"/>
  <c r="J7" i="65"/>
  <c r="J3" i="65"/>
  <c r="J4" i="65"/>
  <c r="N5" i="65"/>
  <c r="I7" i="65"/>
  <c r="J5" i="65"/>
  <c r="J6" i="65"/>
  <c r="E20" i="46" l="1"/>
  <c r="J1" i="65"/>
  <c r="C4" i="65"/>
  <c r="B39" i="1" s="1"/>
  <c r="E3" i="65"/>
  <c r="M11" i="68" l="1"/>
  <c r="J10" i="68" s="1"/>
  <c r="J5" i="68" s="1"/>
  <c r="F11" i="68"/>
  <c r="F17" i="11"/>
  <c r="M5" i="54"/>
  <c r="A23" i="51"/>
  <c r="J24" i="68" l="1"/>
  <c r="J18" i="68"/>
  <c r="J26" i="68"/>
  <c r="C52" i="68"/>
  <c r="C47" i="68" s="1"/>
  <c r="C10" i="68"/>
  <c r="C5"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68" l="1"/>
  <c r="C38" i="68"/>
  <c r="C59" i="68"/>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AZ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AZ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F11" i="35" s="1"/>
  <c r="S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E15" i="21" s="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D119"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E17" i="21" s="1"/>
  <c r="G17" i="21" s="1"/>
  <c r="I17" i="21" s="1"/>
  <c r="C23" i="21"/>
  <c r="E23" i="21" s="1"/>
  <c r="G23" i="21" s="1"/>
  <c r="I23" i="21" s="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C40" i="21"/>
  <c r="AC35" i="21"/>
  <c r="C29" i="39"/>
  <c r="C23" i="39"/>
  <c r="U36" i="39"/>
  <c r="S42" i="39"/>
  <c r="H32" i="33"/>
  <c r="AB32" i="33"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C19" i="33"/>
  <c r="W19" i="33"/>
  <c r="U43" i="34"/>
  <c r="AB43" i="34"/>
  <c r="AC34" i="37"/>
  <c r="S35" i="37"/>
  <c r="AA35" i="37"/>
  <c r="AB10" i="35"/>
  <c r="AB34" i="21"/>
  <c r="BL571" i="3"/>
  <c r="BA571" i="3"/>
  <c r="AZ571" i="3"/>
  <c r="BL570" i="3"/>
  <c r="AZ570" i="3"/>
  <c r="BE5" i="3"/>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J46" i="39"/>
  <c r="W46" i="39" s="1"/>
  <c r="F29" i="39"/>
  <c r="AA29" i="39" s="1"/>
  <c r="E103" i="39"/>
  <c r="F103" i="39" s="1"/>
  <c r="G103" i="39" s="1"/>
  <c r="H29" i="39"/>
  <c r="U29" i="39" s="1"/>
  <c r="F34" i="39"/>
  <c r="AA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8" i="21"/>
  <c r="S34" i="21"/>
  <c r="AB8" i="33"/>
  <c r="U8" i="33"/>
  <c r="E106" i="33"/>
  <c r="H34" i="33"/>
  <c r="U34" i="33" s="1"/>
  <c r="F34" i="33"/>
  <c r="S34" i="33" s="1"/>
  <c r="E121" i="33"/>
  <c r="F41" i="33"/>
  <c r="S41" i="33" s="1"/>
  <c r="AC34" i="34"/>
  <c r="W34" i="34"/>
  <c r="AA39" i="34"/>
  <c r="S39" i="34"/>
  <c r="S43" i="34"/>
  <c r="E78" i="34"/>
  <c r="F15" i="34"/>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56" i="3"/>
  <c r="AZ63" i="3"/>
  <c r="AZ71" i="3"/>
  <c r="AZ79" i="3"/>
  <c r="AZ91" i="3"/>
  <c r="AZ99" i="3"/>
  <c r="AZ107" i="3"/>
  <c r="AZ112" i="3"/>
  <c r="H47" i="46"/>
  <c r="J13" i="40"/>
  <c r="W13" i="40" s="1"/>
  <c r="AB14" i="40"/>
  <c r="W40" i="40"/>
  <c r="F34" i="44"/>
  <c r="AC14" i="40"/>
  <c r="W35" i="40"/>
  <c r="S33" i="40"/>
  <c r="AB32" i="40"/>
  <c r="S47" i="39"/>
  <c r="U37" i="34"/>
  <c r="AB37" i="34"/>
  <c r="AC41" i="40"/>
  <c r="W41" i="40"/>
  <c r="U41" i="40"/>
  <c r="J23" i="40"/>
  <c r="AC23" i="40" s="1"/>
  <c r="G92" i="40"/>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W23" i="40"/>
  <c r="D73" i="9"/>
  <c r="N73" i="9" s="1"/>
  <c r="AP11" i="1"/>
  <c r="J51" i="15"/>
  <c r="B11" i="1"/>
  <c r="E11" i="1" s="1"/>
  <c r="K11" i="1"/>
  <c r="M11" i="1" s="1"/>
  <c r="B9" i="1"/>
  <c r="E9" i="1" s="1"/>
  <c r="K9" i="1"/>
  <c r="M9" i="1" s="1"/>
  <c r="B7" i="1"/>
  <c r="E7" i="1" s="1"/>
  <c r="K7" i="1"/>
  <c r="M7" i="1" s="1"/>
  <c r="O7" i="1" s="1"/>
  <c r="P7" i="1" s="1"/>
  <c r="C20" i="43"/>
  <c r="E2" i="65"/>
  <c r="AE10" i="1"/>
  <c r="H11" i="21" l="1"/>
  <c r="U11" i="21" s="1"/>
  <c r="F11" i="21"/>
  <c r="S11" i="21" s="1"/>
  <c r="U29" i="35"/>
  <c r="AB20" i="35"/>
  <c r="W29" i="35"/>
  <c r="S31" i="35"/>
  <c r="U28" i="35"/>
  <c r="S10" i="35"/>
  <c r="H11" i="35"/>
  <c r="S12" i="35"/>
  <c r="J12" i="35"/>
  <c r="G123" i="21"/>
  <c r="H123" i="21" s="1"/>
  <c r="I123" i="21" s="1"/>
  <c r="J123" i="21" s="1"/>
  <c r="K123" i="21" s="1"/>
  <c r="L123" i="21" s="1"/>
  <c r="M123" i="21" s="1"/>
  <c r="F42" i="21"/>
  <c r="AA42" i="21" s="1"/>
  <c r="H42" i="21"/>
  <c r="AB42" i="21" s="1"/>
  <c r="J42" i="21"/>
  <c r="AC42" i="21" s="1"/>
  <c r="G113" i="21"/>
  <c r="H113" i="21" s="1"/>
  <c r="J37" i="21"/>
  <c r="W37" i="21" s="1"/>
  <c r="F37" i="21"/>
  <c r="S37" i="21" s="1"/>
  <c r="H37" i="21"/>
  <c r="U37" i="21" s="1"/>
  <c r="U42" i="21"/>
  <c r="W42" i="21"/>
  <c r="AA38" i="21"/>
  <c r="AC36" i="21"/>
  <c r="U39" i="21"/>
  <c r="U38" i="21"/>
  <c r="AB36" i="21"/>
  <c r="AA32" i="21"/>
  <c r="U17" i="21"/>
  <c r="AB10" i="21"/>
  <c r="AA9" i="21"/>
  <c r="U9" i="21"/>
  <c r="W9" i="21"/>
  <c r="A30" i="64"/>
  <c r="A30" i="51"/>
  <c r="H34" i="39"/>
  <c r="AB34" i="39" s="1"/>
  <c r="F33" i="39"/>
  <c r="AA33" i="39" s="1"/>
  <c r="J27" i="39"/>
  <c r="AC27" i="39" s="1"/>
  <c r="F27" i="39"/>
  <c r="AA27" i="39" s="1"/>
  <c r="F91" i="39"/>
  <c r="H17" i="39"/>
  <c r="U17" i="39" s="1"/>
  <c r="F17" i="39"/>
  <c r="AA17" i="39" s="1"/>
  <c r="U27" i="39"/>
  <c r="AB25" i="39"/>
  <c r="AB17" i="39"/>
  <c r="S17" i="39"/>
  <c r="AB29" i="39"/>
  <c r="W27" i="39"/>
  <c r="S23" i="39"/>
  <c r="W33" i="39"/>
  <c r="W14" i="39"/>
  <c r="AB44" i="39"/>
  <c r="AA43" i="39"/>
  <c r="AC43" i="39"/>
  <c r="U46" i="39"/>
  <c r="AB46" i="39"/>
  <c r="AC47" i="39"/>
  <c r="U34" i="39"/>
  <c r="S33" i="39"/>
  <c r="AA13" i="39"/>
  <c r="F72" i="9"/>
  <c r="F66" i="9"/>
  <c r="P72" i="9" s="1"/>
  <c r="F71" i="9"/>
  <c r="BA26" i="3"/>
  <c r="AZ26" i="3" s="1"/>
  <c r="BA27" i="3"/>
  <c r="AZ27" i="3" s="1"/>
  <c r="BA29" i="3"/>
  <c r="AZ29" i="3" s="1"/>
  <c r="BA33" i="3"/>
  <c r="AZ33" i="3" s="1"/>
  <c r="BA22" i="3"/>
  <c r="AZ22" i="3" s="1"/>
  <c r="BA23" i="3"/>
  <c r="AZ23" i="3" s="1"/>
  <c r="BA24" i="3"/>
  <c r="AZ24" i="3" s="1"/>
  <c r="BA36" i="3"/>
  <c r="AZ36" i="3" s="1"/>
  <c r="AZ37" i="3"/>
  <c r="BA38" i="3"/>
  <c r="AZ38" i="3" s="1"/>
  <c r="BA40" i="3"/>
  <c r="AZ40" i="3" s="1"/>
  <c r="AZ41" i="3"/>
  <c r="BL44" i="3"/>
  <c r="AZ44" i="3" s="1"/>
  <c r="BL46" i="3"/>
  <c r="AZ46" i="3" s="1"/>
  <c r="BA25" i="3"/>
  <c r="AZ25" i="3" s="1"/>
  <c r="A11" i="55"/>
  <c r="B62" i="63" s="1"/>
  <c r="G40" i="3"/>
  <c r="BA21" i="3"/>
  <c r="AZ21" i="3" s="1"/>
  <c r="H5" i="3"/>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G4" i="4" s="1"/>
  <c r="E5" i="52"/>
  <c r="D24" i="15"/>
  <c r="F41" i="68"/>
  <c r="F16" i="15"/>
  <c r="L49" i="44"/>
  <c r="M8" i="15"/>
  <c r="F43" i="44"/>
  <c r="L48" i="44"/>
  <c r="F28" i="44"/>
  <c r="F42" i="15"/>
  <c r="F9" i="44"/>
  <c r="F40" i="44"/>
  <c r="M31" i="44"/>
  <c r="M9" i="15"/>
  <c r="F7" i="15"/>
  <c r="M27" i="15"/>
  <c r="C16" i="68"/>
  <c r="F38" i="44"/>
  <c r="F8" i="15"/>
  <c r="L48" i="15"/>
  <c r="F37" i="15"/>
  <c r="F40" i="15"/>
  <c r="F10" i="44"/>
  <c r="M28" i="44"/>
  <c r="M30" i="44"/>
  <c r="M24" i="15"/>
  <c r="F26" i="15"/>
  <c r="J36" i="15"/>
  <c r="M25" i="44"/>
  <c r="F43" i="15"/>
  <c r="M11" i="44"/>
  <c r="F11" i="44"/>
  <c r="J15" i="15"/>
  <c r="M8" i="44"/>
  <c r="F8" i="44"/>
  <c r="M26" i="15"/>
  <c r="F39" i="44"/>
  <c r="F13" i="15"/>
  <c r="M26" i="44"/>
  <c r="F6" i="15"/>
  <c r="M24" i="44"/>
  <c r="F9" i="15"/>
  <c r="F18" i="44"/>
  <c r="F15" i="44"/>
  <c r="F38" i="15"/>
  <c r="M6" i="15"/>
  <c r="M22" i="15"/>
  <c r="F36" i="15"/>
  <c r="J17" i="44"/>
  <c r="M23" i="15"/>
  <c r="M29" i="44"/>
  <c r="L47" i="15"/>
  <c r="M28" i="15"/>
  <c r="F45" i="44"/>
  <c r="M10" i="44"/>
  <c r="M29" i="15"/>
  <c r="F68" i="68" l="1"/>
  <c r="J29" i="68"/>
  <c r="AA11" i="21"/>
  <c r="H69" i="46"/>
  <c r="H77" i="46"/>
  <c r="W12" i="35"/>
  <c r="AC12" i="35"/>
  <c r="U11" i="35"/>
  <c r="AB11" i="35"/>
  <c r="O10" i="1"/>
  <c r="P10" i="1" s="1"/>
  <c r="AC23" i="21"/>
  <c r="AA15" i="21"/>
  <c r="G91" i="39"/>
  <c r="J17" i="39"/>
  <c r="C24" i="68"/>
  <c r="E8" i="6"/>
  <c r="AB11" i="46"/>
  <c r="AB13" i="46" s="1"/>
  <c r="G5" i="3"/>
  <c r="B3" i="3" s="1"/>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283" i="3"/>
  <c r="E535" i="3"/>
  <c r="A17" i="51"/>
  <c r="B13" i="63" s="1"/>
  <c r="E421" i="3"/>
  <c r="E206" i="3"/>
  <c r="E132" i="3"/>
  <c r="E333" i="3"/>
  <c r="E91" i="3"/>
  <c r="E115" i="3"/>
  <c r="E359" i="3"/>
  <c r="E195" i="3"/>
  <c r="E391" i="3"/>
  <c r="E58" i="39"/>
  <c r="E53" i="40"/>
  <c r="F27" i="6"/>
  <c r="E5" i="6"/>
  <c r="E321" i="3"/>
  <c r="O6" i="1"/>
  <c r="P6" i="1" s="1"/>
  <c r="C15" i="12" s="1"/>
  <c r="E36" i="3"/>
  <c r="E131" i="3"/>
  <c r="E237" i="3"/>
  <c r="E304" i="3"/>
  <c r="E428" i="3"/>
  <c r="E165" i="3"/>
  <c r="E100" i="3"/>
  <c r="E404" i="3"/>
  <c r="E374" i="3"/>
  <c r="E30" i="3"/>
  <c r="E463" i="3"/>
  <c r="E32" i="3"/>
  <c r="E292" i="3"/>
  <c r="E547" i="3"/>
  <c r="E426" i="3"/>
  <c r="E447" i="3"/>
  <c r="E60" i="3"/>
  <c r="E33" i="3"/>
  <c r="E75" i="3"/>
  <c r="Q6" i="3"/>
  <c r="E178" i="3"/>
  <c r="E119" i="3"/>
  <c r="J6" i="3"/>
  <c r="E500" i="3"/>
  <c r="E48" i="3"/>
  <c r="E97" i="3"/>
  <c r="E438" i="3"/>
  <c r="AE6" i="3"/>
  <c r="E455" i="3"/>
  <c r="C8" i="44"/>
  <c r="M9" i="44"/>
  <c r="C29" i="44"/>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C28" i="9" s="1"/>
  <c r="D28" i="9"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E36" i="46"/>
  <c r="G33" i="46"/>
  <c r="I33" i="46" s="1"/>
  <c r="C37" i="46"/>
  <c r="G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F33" i="44"/>
  <c r="F58" i="15"/>
  <c r="F31" i="15"/>
  <c r="M19" i="44"/>
  <c r="M17" i="15"/>
  <c r="C16" i="15"/>
  <c r="AE8" i="1"/>
  <c r="C18" i="44"/>
  <c r="F46" i="44"/>
  <c r="I37" i="46" l="1"/>
  <c r="C29" i="9"/>
  <c r="D29" i="9" s="1"/>
  <c r="I38" i="46"/>
  <c r="G39" i="46"/>
  <c r="W17" i="39"/>
  <c r="AC17" i="39"/>
  <c r="F107" i="46"/>
  <c r="K105" i="46"/>
  <c r="C105" i="46"/>
  <c r="K104" i="46"/>
  <c r="J109" i="46"/>
  <c r="J105" i="46"/>
  <c r="E23" i="3"/>
  <c r="E69" i="3"/>
  <c r="E446" i="3"/>
  <c r="E152" i="3"/>
  <c r="E437" i="3"/>
  <c r="E46" i="3"/>
  <c r="E221" i="3"/>
  <c r="E457" i="3"/>
  <c r="E31" i="3"/>
  <c r="X6" i="3"/>
  <c r="E149" i="3"/>
  <c r="E295" i="3"/>
  <c r="E249" i="3"/>
  <c r="E89" i="3"/>
  <c r="E549" i="3"/>
  <c r="E201" i="3"/>
  <c r="E460" i="3"/>
  <c r="E170" i="3"/>
  <c r="I3" i="6"/>
  <c r="E21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K107" i="46"/>
  <c r="F103" i="46"/>
  <c r="F106" i="46"/>
  <c r="C107" i="46"/>
  <c r="C104" i="46"/>
  <c r="J107" i="46"/>
  <c r="E413" i="3"/>
  <c r="AO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76" i="3"/>
  <c r="E411" i="3"/>
  <c r="E395" i="3"/>
  <c r="E250" i="3"/>
  <c r="E114" i="3"/>
  <c r="E147" i="3"/>
  <c r="E348" i="3"/>
  <c r="E22" i="3"/>
  <c r="E93" i="3"/>
  <c r="E439" i="3"/>
  <c r="E394" i="3"/>
  <c r="E459" i="3"/>
  <c r="E55" i="3"/>
  <c r="E117" i="3"/>
  <c r="E282" i="3"/>
  <c r="E231" i="3"/>
  <c r="E570" i="3"/>
  <c r="E528" i="3"/>
  <c r="E375" i="3"/>
  <c r="E470" i="3"/>
  <c r="E409" i="3"/>
  <c r="E349" i="3"/>
  <c r="E376" i="3"/>
  <c r="E187" i="3"/>
  <c r="E387" i="3"/>
  <c r="E253" i="3"/>
  <c r="E294" i="3"/>
  <c r="E225" i="3"/>
  <c r="R6" i="3"/>
  <c r="E537" i="3"/>
  <c r="E21" i="3"/>
  <c r="E199" i="3"/>
  <c r="E125" i="3"/>
  <c r="E54" i="3"/>
  <c r="E64" i="3"/>
  <c r="E423" i="3"/>
  <c r="AH6" i="3"/>
  <c r="E452" i="3"/>
  <c r="E140" i="3"/>
  <c r="E435" i="3"/>
  <c r="P6"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561" i="3"/>
  <c r="E297" i="3"/>
  <c r="E86" i="3"/>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L52" i="44"/>
  <c r="F68" i="15" l="1"/>
  <c r="E29" i="46"/>
  <c r="C30" i="46"/>
  <c r="E30" i="46" s="1"/>
  <c r="I39" i="46"/>
  <c r="C27" i="9"/>
  <c r="D27" i="9" s="1"/>
  <c r="M23" i="6"/>
  <c r="I23" i="6" s="1"/>
  <c r="S23" i="6" s="1"/>
  <c r="S10" i="1"/>
  <c r="AC6" i="3"/>
  <c r="H6" i="3"/>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C17" i="15"/>
  <c r="F7" i="67"/>
  <c r="C19" i="44"/>
  <c r="E4" i="67" l="1"/>
  <c r="C27" i="46"/>
  <c r="E6" i="3"/>
  <c r="G46" i="37"/>
  <c r="H46" i="37" s="1"/>
  <c r="E47" i="37"/>
  <c r="F47" i="37" s="1"/>
  <c r="L47" i="44"/>
  <c r="Q59" i="44"/>
  <c r="Q68" i="44"/>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B7" i="67"/>
  <c r="E3" i="67" l="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C8" i="12" s="1"/>
  <c r="I53" i="21"/>
  <c r="J53" i="21" s="1"/>
  <c r="I70" i="39"/>
  <c r="H72" i="39"/>
  <c r="I65" i="40"/>
  <c r="H67" i="40"/>
  <c r="C14" i="15"/>
  <c r="C14" i="68"/>
  <c r="C16" i="44"/>
  <c r="C15" i="68" l="1"/>
  <c r="C18" i="68"/>
  <c r="B3" i="21"/>
  <c r="B2" i="21" s="1"/>
  <c r="C10" i="12" s="1"/>
  <c r="L57" i="68"/>
  <c r="L60" i="68" s="1"/>
  <c r="L46" i="68" s="1"/>
  <c r="R22" i="6"/>
  <c r="R9" i="1"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19" i="68" l="1"/>
  <c r="C20" i="68" s="1"/>
  <c r="C26" i="68" s="1"/>
  <c r="Q67" i="68"/>
  <c r="Q58"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8" l="1"/>
  <c r="C29" i="68" s="1"/>
  <c r="C28" i="44"/>
  <c r="C31" i="44" s="1"/>
  <c r="C35" i="44" s="1"/>
  <c r="I5" i="6"/>
  <c r="C26" i="15"/>
  <c r="C29" i="15" s="1"/>
  <c r="J59" i="15" s="1"/>
  <c r="J60" i="15" s="1"/>
  <c r="Q49" i="15" s="1"/>
  <c r="C23" i="12"/>
  <c r="C19" i="43"/>
  <c r="C22" i="43" s="1"/>
  <c r="C21" i="43" s="1"/>
  <c r="K67" i="40"/>
  <c r="L65" i="40"/>
  <c r="K72" i="39"/>
  <c r="L70" i="39"/>
  <c r="C56" i="68" l="1"/>
  <c r="C36" i="68"/>
  <c r="J19" i="68"/>
  <c r="J17" i="68" s="1"/>
  <c r="C13" i="68"/>
  <c r="Q50" i="68"/>
  <c r="C33" i="68"/>
  <c r="C31" i="68" s="1"/>
  <c r="J14"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8" l="1"/>
  <c r="J13" i="68"/>
  <c r="J23" i="68" s="1"/>
  <c r="C63" i="68"/>
  <c r="C60" i="68"/>
  <c r="C58" i="68" s="1"/>
  <c r="Q71" i="68"/>
  <c r="C37" i="68"/>
  <c r="C30" i="68" s="1"/>
  <c r="C39" i="68" s="1"/>
  <c r="C55" i="68"/>
  <c r="C64" i="68" s="1"/>
  <c r="J35"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57" i="68" l="1"/>
  <c r="C66" i="68" s="1"/>
  <c r="C67" i="68" s="1"/>
  <c r="C70" i="68" s="1"/>
  <c r="J16" i="68"/>
  <c r="J25" i="68" s="1"/>
  <c r="J39" i="68"/>
  <c r="J40" i="68" s="1"/>
  <c r="Q68" i="68"/>
  <c r="Q70" i="68"/>
  <c r="Q69" i="68" s="1"/>
  <c r="C40"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8" l="1"/>
  <c r="Q57" i="68"/>
  <c r="Q63" i="68" s="1"/>
  <c r="C43" i="68"/>
  <c r="Q66" i="68"/>
  <c r="Q76" i="68" s="1"/>
  <c r="Q48" i="68"/>
  <c r="Q54" i="68" s="1"/>
  <c r="B2" i="68"/>
  <c r="B3" i="68" s="1"/>
  <c r="J42" i="68"/>
  <c r="J43" i="68"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10" i="12"/>
  <c r="C46" i="15"/>
  <c r="Q66" i="15"/>
  <c r="L57" i="15"/>
  <c r="L60" i="15" s="1"/>
  <c r="Q67" i="15" s="1"/>
  <c r="Q68" i="15"/>
  <c r="Q57" i="15"/>
  <c r="C43" i="15"/>
  <c r="E8" i="12" s="1"/>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D30" i="9" l="1"/>
  <c r="C45" i="9"/>
  <c r="H14" i="66" s="1"/>
  <c r="B7" i="66" s="1"/>
  <c r="C30" i="9" l="1"/>
  <c r="C25" i="9" s="1"/>
  <c r="C24" i="9"/>
  <c r="D7" i="66"/>
  <c r="C7" i="66"/>
  <c r="D45" i="9" l="1"/>
  <c r="E45" i="9"/>
  <c r="O40" i="9"/>
  <c r="F45" i="9"/>
  <c r="K31" i="9" l="1"/>
  <c r="K32" i="9" s="1"/>
  <c r="R7" i="54"/>
  <c r="B52" i="63" s="1"/>
  <c r="N76" i="9" l="1"/>
  <c r="F46" i="9" l="1"/>
  <c r="O41" i="9"/>
  <c r="I14" i="66"/>
  <c r="B8" i="66" s="1"/>
  <c r="E46" i="9"/>
  <c r="D46" i="9"/>
  <c r="K34" i="9"/>
  <c r="C8" i="66"/>
  <c r="D8" i="66"/>
  <c r="R8" i="54"/>
  <c r="B54" i="63" s="1"/>
  <c r="B2" i="35"/>
  <c r="B3" i="35" l="1"/>
  <c r="F8" i="12" s="1"/>
  <c r="F10" i="12"/>
  <c r="C6" i="12" s="1"/>
  <c r="C24" i="12" l="1"/>
  <c r="C29" i="12"/>
  <c r="C28" i="12" l="1"/>
  <c r="C26" i="12" s="1"/>
  <c r="C31" i="12" s="1"/>
  <c r="C30" i="12" s="1"/>
  <c r="C35" i="12"/>
  <c r="C33" i="12" s="1"/>
  <c r="C36" i="12" l="1"/>
  <c r="B2" i="12" s="1"/>
  <c r="D19" i="9"/>
  <c r="L44" i="9" l="1"/>
  <c r="G19" i="9"/>
  <c r="D22" i="9"/>
  <c r="B5" i="12"/>
  <c r="B4" i="12"/>
  <c r="B3" i="12"/>
  <c r="D20" i="9"/>
  <c r="D21" i="9"/>
  <c r="G20" i="9" l="1"/>
  <c r="G21" i="9"/>
  <c r="G22" i="9"/>
  <c r="N43" i="9"/>
  <c r="C32" i="9"/>
  <c r="C42" i="9" l="1"/>
  <c r="C33" i="9"/>
  <c r="O38" i="9"/>
  <c r="C34" i="9"/>
  <c r="C35" i="9"/>
  <c r="F42" i="9" s="1"/>
  <c r="O43" i="9"/>
  <c r="E42" i="9" l="1"/>
  <c r="P5" i="54" s="1"/>
  <c r="B46" i="63" s="1"/>
  <c r="M38" i="9"/>
  <c r="K27" i="9" s="1"/>
  <c r="D42" i="9"/>
  <c r="Q5" i="54" s="1"/>
  <c r="B47" i="63" s="1"/>
  <c r="N38" i="9"/>
  <c r="K28" i="9" s="1"/>
  <c r="K25" i="9"/>
  <c r="K26" i="9"/>
  <c r="D14" i="66"/>
  <c r="D63" i="9"/>
  <c r="C44" i="9"/>
  <c r="R5" i="54"/>
  <c r="B48" i="63" s="1"/>
  <c r="N68" i="9"/>
  <c r="G14" i="66" l="1"/>
  <c r="B6" i="66" s="1"/>
  <c r="N69" i="9"/>
  <c r="D44" i="9"/>
  <c r="F44" i="9"/>
  <c r="O39" i="9"/>
  <c r="E44" i="9"/>
  <c r="F14" i="66"/>
  <c r="E14" i="66"/>
  <c r="B5" i="66"/>
  <c r="C111" i="9"/>
  <c r="C104" i="9" s="1"/>
  <c r="C96" i="9"/>
  <c r="C91" i="9" s="1"/>
  <c r="D71" i="9"/>
  <c r="D66" i="9" s="1"/>
  <c r="N72" i="9" s="1"/>
  <c r="D77" i="9"/>
  <c r="N75" i="9" s="1"/>
  <c r="C103" i="9"/>
  <c r="C113" i="9" s="1"/>
  <c r="C90" i="9"/>
  <c r="C97" i="9" s="1"/>
  <c r="C82" i="9"/>
  <c r="C81" i="9" s="1"/>
  <c r="C85" i="9" s="1"/>
  <c r="C86" i="9" s="1"/>
  <c r="D72" i="9" s="1"/>
  <c r="D70" i="9"/>
  <c r="C114" i="9" l="1"/>
  <c r="E114" i="9" s="1"/>
  <c r="E115" i="9" s="1"/>
  <c r="M86" i="9"/>
  <c r="N86" i="9" s="1"/>
  <c r="M88" i="9"/>
  <c r="N88" i="9" s="1"/>
  <c r="M85" i="9"/>
  <c r="N85" i="9" s="1"/>
  <c r="M84" i="9"/>
  <c r="N84" i="9" s="1"/>
  <c r="M87" i="9"/>
  <c r="N87" i="9" s="1"/>
  <c r="M83" i="9"/>
  <c r="N83" i="9" s="1"/>
  <c r="C98" i="9"/>
  <c r="E98" i="9" s="1"/>
  <c r="E99" i="9" s="1"/>
  <c r="C5" i="66"/>
  <c r="D5" i="66"/>
  <c r="K29" i="9"/>
  <c r="K30" i="9" s="1"/>
  <c r="R6" i="54"/>
  <c r="B50" i="63" s="1"/>
  <c r="D6" i="66"/>
  <c r="C6" i="66"/>
  <c r="C99" i="9" l="1"/>
  <c r="C115" i="9"/>
  <c r="D76" i="9" s="1"/>
  <c r="D74" i="9" s="1"/>
  <c r="N74" i="9" s="1"/>
  <c r="O77" i="9" s="1"/>
  <c r="O78" i="9" s="1"/>
  <c r="N89" i="9"/>
  <c r="O89" i="9" s="1"/>
  <c r="Q77" i="9" l="1"/>
  <c r="O79" i="9"/>
  <c r="O81" i="9" s="1"/>
  <c r="C46" i="9"/>
  <c r="K33"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<sst xmlns="http://schemas.openxmlformats.org/spreadsheetml/2006/main" count="7916" uniqueCount="3186">
  <si>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</si>
  <si>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</si>
  <si>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</si>
  <si>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</si>
  <si>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</si>
  <si>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</si>
  <si>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</si>
  <si>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</si>
  <si>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</si>
  <si>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</si>
  <si>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</si>
  <si>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</si>
  <si>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</si>
  <si>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</si>
  <si>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</si>
  <si>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</si>
  <si>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</si>
  <si>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</si>
  <si>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</si>
  <si>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</si>
  <si>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</si>
  <si>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</si>
  <si>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</si>
  <si>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</si>
  <si>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</si>
  <si>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</si>
  <si>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</si>
  <si>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</si>
  <si>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</si>
  <si>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</si>
  <si>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</si>
  <si>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</si>
  <si>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</si>
  <si>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</si>
  <si>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</si>
  <si>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</si>
  <si>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</si>
  <si>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</si>
  <si>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</si>
  <si>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</si>
  <si>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</si>
  <si>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</si>
  <si>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</si>
  <si>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</si>
  <si>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</si>
  <si>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</si>
  <si>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</si>
  <si>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</si>
  <si>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</si>
  <si>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</si>
  <si>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</si>
  <si>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</si>
  <si>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</si>
  <si>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</si>
  <si>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</si>
  <si>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</si>
  <si>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</si>
  <si>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</si>
  <si>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</si>
  <si>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</si>
  <si>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</si>
  <si>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</si>
  <si>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</si>
  <si>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</si>
  <si>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</si>
  <si>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</si>
  <si>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</si>
  <si>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</si>
  <si>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</si>
  <si>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</si>
  <si>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</si>
  <si>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</si>
  <si>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</si>
  <si>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</si>
  <si>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</si>
  <si>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</si>
  <si>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</si>
  <si>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</si>
  <si>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</si>
  <si>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</si>
  <si>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</si>
  <si>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</si>
  <si>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</si>
  <si>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</si>
  <si>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</si>
  <si>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</si>
  <si>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</si>
  <si>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</si>
  <si>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</si>
  <si>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</si>
  <si>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</si>
  <si>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</si>
  <si>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</si>
  <si>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</si>
  <si>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</si>
  <si>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</si>
  <si>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</si>
  <si>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</si>
  <si>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</si>
  <si>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</si>
  <si>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</si>
  <si>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</si>
  <si>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</si>
  <si>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</si>
  <si>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</si>
  <si>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</si>
  <si>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</si>
  <si>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</si>
  <si>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</si>
  <si>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</si>
  <si>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</si>
  <si>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</si>
  <si>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</si>
  <si>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</si>
  <si>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</si>
  <si>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</si>
  <si>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</si>
  <si>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</si>
  <si>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</si>
  <si>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</si>
  <si>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</si>
  <si>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</si>
  <si>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</si>
  <si>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</si>
  <si>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</si>
  <si>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</si>
  <si>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</si>
  <si>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</si>
  <si>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</si>
  <si>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</si>
  <si>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</si>
  <si>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</si>
  <si>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</si>
  <si>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</si>
  <si>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</si>
  <si>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</si>
  <si>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</si>
  <si>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</si>
  <si>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</si>
  <si>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</si>
  <si>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</si>
  <si>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</si>
  <si>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</si>
  <si>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</si>
  <si>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</si>
  <si>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</si>
  <si>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</si>
  <si>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</si>
  <si>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</si>
  <si>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</si>
  <si>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</si>
  <si>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</si>
  <si>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</si>
  <si>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</si>
  <si>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</si>
  <si>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</si>
  <si>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</si>
  <si>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</si>
  <si>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</si>
  <si>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</si>
  <si>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</si>
  <si>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</si>
  <si>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</si>
  <si>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</si>
  <si>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</si>
  <si>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</si>
  <si>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</si>
  <si>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</si>
  <si>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</si>
  <si>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</si>
  <si>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</si>
  <si>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</si>
  <si>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</si>
  <si>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</si>
  <si>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</si>
  <si>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</si>
  <si>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</si>
  <si>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</si>
  <si>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</si>
  <si>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</si>
  <si>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</si>
  <si>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</si>
  <si>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</si>
  <si>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</si>
  <si>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</si>
  <si>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</si>
  <si>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</si>
  <si>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</si>
  <si>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</si>
  <si>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</si>
  <si>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</si>
  <si>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</si>
  <si>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</si>
  <si>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</si>
  <si>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</si>
  <si>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</si>
  <si>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</si>
  <si>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</si>
  <si>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</si>
  <si>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</si>
  <si>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</si>
  <si>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</si>
  <si>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</si>
  <si>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</si>
  <si>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</si>
  <si>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</si>
  <si>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</si>
  <si>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</si>
  <si>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</si>
  <si>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</si>
  <si>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</si>
  <si>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</si>
  <si>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</si>
  <si>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</si>
  <si>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</si>
  <si>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</si>
  <si>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</si>
  <si>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</si>
  <si>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</si>
  <si>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</si>
  <si>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</si>
  <si>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</si>
  <si>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</si>
  <si>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</si>
  <si>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</si>
  <si>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</si>
  <si>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</si>
  <si>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</si>
  <si>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</si>
  <si>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</si>
  <si>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</si>
  <si>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</si>
  <si>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</si>
  <si>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</si>
  <si>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</si>
  <si>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</si>
  <si>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</si>
  <si>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</si>
  <si>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</si>
  <si>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</si>
  <si>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</si>
  <si>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</si>
  <si>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</si>
  <si>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</si>
  <si>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</si>
  <si>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</si>
  <si>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</si>
  <si>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</si>
  <si>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</si>
  <si>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</si>
  <si>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</si>
  <si>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</si>
  <si>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</si>
  <si>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</si>
  <si>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</si>
  <si>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</si>
  <si>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</si>
  <si>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</si>
  <si>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</si>
  <si>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</si>
  <si>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</si>
  <si>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</si>
  <si>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</si>
  <si>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</si>
  <si>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</si>
  <si>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</si>
  <si>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</si>
  <si>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</si>
  <si>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</si>
  <si>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</si>
  <si>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</si>
  <si>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</si>
  <si>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</si>
  <si>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</si>
  <si>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</si>
  <si>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</si>
  <si>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</si>
  <si>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</si>
  <si>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</si>
  <si>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</si>
  <si>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</si>
  <si>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</si>
  <si>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</si>
  <si>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</si>
  <si>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</si>
  <si>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</si>
  <si>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</si>
  <si>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</si>
  <si>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</si>
  <si>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</si>
  <si>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</si>
  <si>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</si>
  <si>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</si>
  <si>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</si>
  <si>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</si>
  <si>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</si>
  <si>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</si>
  <si>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</si>
  <si>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</si>
  <si>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</si>
  <si>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</si>
  <si>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</si>
  <si>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</si>
  <si>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</si>
  <si>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</si>
  <si>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</si>
  <si>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</si>
  <si>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</si>
  <si>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</si>
  <si>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</si>
  <si>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</si>
  <si>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</si>
  <si>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</si>
  <si>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</si>
  <si>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</si>
  <si>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</si>
  <si>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</si>
  <si>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</si>
  <si>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</si>
  <si>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</si>
  <si>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</si>
  <si>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</si>
  <si>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</si>
  <si>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</si>
  <si>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</si>
  <si>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</si>
  <si>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</si>
  <si>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</si>
  <si>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</si>
  <si>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</si>
  <si>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</si>
  <si>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</si>
  <si>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</si>
  <si>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</si>
  <si>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</si>
  <si>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</si>
  <si>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</si>
  <si>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</si>
  <si>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</si>
  <si>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</si>
  <si>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</si>
  <si>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</si>
  <si>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</si>
  <si>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</si>
  <si>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</si>
  <si>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</si>
  <si>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</si>
  <si>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</si>
  <si>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</si>
  <si>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</si>
  <si>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</si>
  <si>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</si>
  <si>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</si>
  <si>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</si>
  <si>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</si>
  <si>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</si>
  <si>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</si>
  <si>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</si>
  <si>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</si>
  <si>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</si>
  <si>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</si>
  <si>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</si>
  <si>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</si>
  <si>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</si>
  <si>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</si>
  <si>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</si>
  <si>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</si>
  <si>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</si>
  <si>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</si>
  <si>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</si>
  <si>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</si>
  <si>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</si>
  <si>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</si>
  <si>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</si>
  <si>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</si>
  <si>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</si>
  <si>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</si>
  <si>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</si>
  <si>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</si>
  <si>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</si>
  <si>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</si>
  <si>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</si>
  <si>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</si>
  <si>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</si>
  <si>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</si>
  <si>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</si>
  <si>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</si>
  <si>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</si>
  <si>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</si>
  <si>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</si>
  <si>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</si>
  <si>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</si>
  <si>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</si>
  <si>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</si>
  <si>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</si>
  <si>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</si>
  <si>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</si>
  <si>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</si>
  <si>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</si>
  <si>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</si>
  <si>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</si>
  <si>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</si>
  <si>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</si>
  <si>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</si>
  <si>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</si>
  <si>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</si>
  <si>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</si>
  <si>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</si>
  <si>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</si>
  <si>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</si>
  <si>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</si>
  <si>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</si>
  <si>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</si>
  <si>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</si>
  <si>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</si>
  <si>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</si>
  <si>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</si>
  <si>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</si>
  <si>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</si>
  <si>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</si>
  <si>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</si>
  <si>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</si>
  <si>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</si>
  <si>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</si>
  <si>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</si>
  <si>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</si>
  <si>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</si>
  <si>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</si>
  <si>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</si>
  <si>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</si>
  <si>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</si>
  <si>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</si>
  <si>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</si>
  <si>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</si>
  <si>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</si>
  <si>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</si>
  <si>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</si>
  <si>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</si>
  <si>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</si>
  <si>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</si>
  <si>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</si>
  <si>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</si>
  <si>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</si>
  <si>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</si>
  <si>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</si>
  <si>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</si>
  <si>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</si>
  <si>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</si>
  <si>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</si>
  <si>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</si>
  <si>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</si>
  <si>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</si>
  <si>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</si>
  <si>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</si>
  <si>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</si>
  <si>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</si>
  <si>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</si>
  <si>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</si>
  <si>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</si>
  <si>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</si>
  <si>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</si>
  <si>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</si>
  <si>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</si>
  <si>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</si>
  <si>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</si>
  <si>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</si>
  <si>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</si>
  <si>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</si>
  <si>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</si>
  <si>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</si>
  <si>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</si>
  <si>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</si>
  <si>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</si>
  <si>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</si>
  <si>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</si>
  <si>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</si>
  <si>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</si>
  <si>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</si>
  <si>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</si>
  <si>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</si>
  <si>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</si>
  <si>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</si>
  <si>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</si>
  <si>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</si>
  <si>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</si>
  <si>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</si>
  <si>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</si>
  <si>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</si>
  <si>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</si>
  <si>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</si>
  <si>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</si>
  <si>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</si>
  <si>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</si>
  <si>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</si>
  <si>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</si>
  <si>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</si>
  <si>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</si>
  <si>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</si>
  <si>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</si>
  <si>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</si>
  <si>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</si>
  <si>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</si>
  <si>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</si>
  <si>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</si>
  <si>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</si>
  <si>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</si>
  <si>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</si>
  <si>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</si>
  <si>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</si>
  <si>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</si>
  <si>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</si>
  <si>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</si>
  <si>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</si>
  <si>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</si>
  <si>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</si>
  <si>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</si>
  <si>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</si>
  <si>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</si>
  <si>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</si>
  <si>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</si>
  <si>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</si>
  <si>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</si>
  <si>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</si>
  <si>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</si>
  <si>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</si>
  <si>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</si>
  <si>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</si>
  <si>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</si>
  <si>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</si>
  <si>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</si>
  <si>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</si>
  <si>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</si>
  <si>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</si>
  <si>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</si>
  <si>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</si>
  <si>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</si>
  <si>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</si>
  <si>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</si>
  <si>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</si>
  <si>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</si>
  <si>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</si>
  <si>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</si>
  <si>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</si>
  <si>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</si>
  <si>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</si>
  <si>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</si>
  <si>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</si>
  <si>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</si>
  <si>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</si>
  <si>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</si>
  <si>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</si>
  <si>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</si>
  <si>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</si>
  <si>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</si>
  <si>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</si>
  <si>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</si>
  <si>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</si>
  <si>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</si>
  <si>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</si>
  <si>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</si>
  <si>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</si>
  <si>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</si>
  <si>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</si>
  <si>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</si>
  <si>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</si>
  <si>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</si>
  <si>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</si>
  <si>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</si>
  <si>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</si>
  <si>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</si>
  <si>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</si>
  <si>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</si>
  <si>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</si>
  <si>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</si>
  <si>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</si>
  <si>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</si>
  <si>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</si>
  <si>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</si>
  <si>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</si>
  <si>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</si>
  <si>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</si>
  <si>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</si>
  <si>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</si>
  <si>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</si>
  <si>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</si>
  <si>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</si>
  <si>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</si>
  <si>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</si>
  <si>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</si>
  <si>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</si>
  <si>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</si>
  <si>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</si>
  <si>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</si>
  <si>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</si>
  <si>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</si>
  <si>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</si>
  <si>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</si>
  <si>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</si>
  <si>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</si>
  <si>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</si>
  <si>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</si>
  <si>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</si>
  <si>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</si>
  <si>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</si>
  <si>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</si>
  <si>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</si>
  <si>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</si>
  <si>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</si>
  <si>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</si>
  <si>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</si>
  <si>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</si>
  <si>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</si>
  <si>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</si>
  <si>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</si>
  <si>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</si>
  <si>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</si>
  <si>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</si>
  <si>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</si>
  <si>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</si>
  <si>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</si>
  <si>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</si>
  <si>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</si>
  <si>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</si>
  <si>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</si>
  <si>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</si>
  <si>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</si>
  <si>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</si>
  <si>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</si>
  <si>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</si>
  <si>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</si>
  <si>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</si>
  <si>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</si>
  <si>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</si>
  <si>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</si>
  <si>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</si>
  <si>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</si>
  <si>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</si>
  <si>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</si>
  <si>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</si>
  <si>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</si>
  <si>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</si>
  <si>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</si>
  <si>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</si>
  <si>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</si>
  <si>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</si>
  <si>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</si>
  <si>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</si>
  <si>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</si>
  <si>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</si>
  <si>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</si>
  <si>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</si>
  <si>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</si>
  <si>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</si>
  <si>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</si>
  <si>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</si>
  <si>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</si>
  <si>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</si>
  <si>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</si>
  <si>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</si>
  <si>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</si>
  <si>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</si>
  <si>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</si>
  <si>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</si>
  <si>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</si>
  <si>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</si>
  <si>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</si>
  <si>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</si>
  <si>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</si>
  <si>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</si>
  <si>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</si>
  <si>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</si>
  <si>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</si>
  <si>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</si>
  <si>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</si>
  <si>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</si>
  <si>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</si>
  <si>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</si>
  <si>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</si>
  <si>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</si>
  <si>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</si>
  <si>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</si>
  <si>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</si>
  <si>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</si>
  <si>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</si>
  <si>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</si>
  <si>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</si>
  <si>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</si>
  <si>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</si>
  <si>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</si>
  <si>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</si>
  <si>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</si>
  <si>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</si>
  <si>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</si>
  <si>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</si>
  <si>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</si>
  <si>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</si>
  <si>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</si>
  <si>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</si>
  <si>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</si>
  <si>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</si>
  <si>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</si>
  <si>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</si>
  <si>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</si>
  <si>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</si>
  <si>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</si>
  <si>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</si>
  <si>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</si>
  <si>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</si>
  <si>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</si>
  <si>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</si>
  <si>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</si>
  <si>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</si>
  <si>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</si>
  <si>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</si>
  <si>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</si>
  <si>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</si>
  <si>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</si>
  <si>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</si>
  <si>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</si>
  <si>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</si>
  <si>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</si>
  <si>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</si>
  <si>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</si>
  <si>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</si>
  <si>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</si>
  <si>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</si>
  <si>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</si>
  <si>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</si>
  <si>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</si>
  <si>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</si>
  <si>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</si>
  <si>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</si>
  <si>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</si>
  <si>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</si>
  <si>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</si>
  <si>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</si>
  <si>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</si>
  <si>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</si>
  <si>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</si>
  <si>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</si>
  <si>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</si>
  <si>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</si>
  <si>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</si>
  <si>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</si>
  <si>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</si>
  <si>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</si>
  <si>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</si>
  <si>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</si>
  <si>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</si>
  <si>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</si>
  <si>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</si>
  <si>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</si>
  <si>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</si>
  <si>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</si>
  <si>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</si>
  <si>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</si>
  <si>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</si>
  <si>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</si>
  <si>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</si>
  <si>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</si>
  <si>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</si>
  <si>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</si>
  <si>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</si>
  <si>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</si>
  <si>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</si>
  <si>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</si>
  <si>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</si>
  <si>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</si>
  <si>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</si>
  <si>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</si>
  <si>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</si>
  <si>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</si>
  <si>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</si>
  <si>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</si>
  <si>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</si>
  <si>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</si>
  <si>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</si>
  <si>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</si>
  <si>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</si>
  <si>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</si>
  <si>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</si>
  <si>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</si>
  <si>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</si>
  <si>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</si>
  <si>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</si>
  <si>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</si>
  <si>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</si>
  <si>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</si>
  <si>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</si>
  <si>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</si>
  <si>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</si>
  <si>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</si>
  <si>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</si>
  <si>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</si>
  <si>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</si>
  <si>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</si>
  <si>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</si>
  <si>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</si>
  <si>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</si>
  <si>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</si>
  <si>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</si>
  <si>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</si>
  <si>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</si>
  <si>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</si>
  <si>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</si>
  <si>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</si>
  <si>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</si>
  <si>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</si>
  <si>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</si>
  <si>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</si>
  <si>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</si>
  <si>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</si>
  <si>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</si>
  <si>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</si>
  <si>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</si>
  <si>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</si>
  <si>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</si>
  <si>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</si>
  <si>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</si>
  <si>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</si>
  <si>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</si>
  <si>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</si>
  <si>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</si>
  <si>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</si>
  <si>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</si>
  <si>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</si>
  <si>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</si>
  <si>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</si>
  <si>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</si>
  <si>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</si>
  <si>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</si>
  <si>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</si>
  <si>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</si>
  <si>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</si>
  <si>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</si>
  <si>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</si>
  <si>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</si>
  <si>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</si>
  <si>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</si>
  <si>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</si>
  <si>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</si>
  <si>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</si>
  <si>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</si>
  <si>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</si>
  <si>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</si>
  <si>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</si>
  <si>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</si>
  <si>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</si>
  <si>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</si>
  <si>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</si>
  <si>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</si>
  <si>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</si>
  <si>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</si>
  <si>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</si>
  <si>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</si>
  <si>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</si>
  <si>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</si>
  <si>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</si>
  <si>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</si>
  <si>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</si>
  <si>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</si>
  <si>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</si>
  <si>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</si>
  <si>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</si>
  <si>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</si>
  <si>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</si>
  <si>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</si>
  <si>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</si>
  <si>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</si>
  <si>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</si>
  <si>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</si>
  <si>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</si>
  <si>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</si>
  <si>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</si>
  <si>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</si>
  <si>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</si>
  <si>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</si>
  <si>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</si>
  <si>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</si>
  <si>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</si>
  <si>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</si>
  <si>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</si>
  <si>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</si>
  <si>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</si>
  <si>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</si>
  <si>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</si>
  <si>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</si>
  <si>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</si>
  <si>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</si>
  <si>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</si>
  <si>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</si>
  <si>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</si>
  <si>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</si>
  <si>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</si>
  <si>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</si>
  <si>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</si>
  <si>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</si>
  <si>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</si>
  <si>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</si>
  <si>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</si>
  <si>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</si>
  <si>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</si>
  <si>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</si>
  <si>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</si>
  <si>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</si>
  <si>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</si>
  <si>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</si>
  <si>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</si>
  <si>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</si>
  <si>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</si>
  <si>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</si>
  <si>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</si>
  <si>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</si>
  <si>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</si>
  <si>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</si>
  <si>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</si>
  <si>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</si>
  <si>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</si>
  <si>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</si>
  <si>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</si>
  <si>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</si>
  <si>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</si>
  <si>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</si>
  <si>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</si>
  <si>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</si>
  <si>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</si>
  <si>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</si>
  <si>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</si>
  <si>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</si>
  <si>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</si>
  <si>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</si>
  <si>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</si>
  <si>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</si>
  <si>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</si>
  <si>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</si>
  <si>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</si>
  <si>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</si>
  <si>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</si>
  <si>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</si>
  <si>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</si>
  <si>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</si>
  <si>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</si>
  <si>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</si>
  <si>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</si>
  <si>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</si>
  <si>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</si>
  <si>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</si>
  <si>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</si>
  <si>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</si>
  <si>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</si>
  <si>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</si>
  <si>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</si>
  <si>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</si>
  <si>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</si>
  <si>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</si>
  <si>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</si>
  <si>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</si>
  <si>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</si>
  <si>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</si>
  <si>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</si>
  <si>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</si>
  <si>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</si>
  <si>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</si>
  <si>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</si>
  <si>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</si>
  <si>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</si>
  <si>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</si>
  <si>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</si>
  <si>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</si>
  <si>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</si>
  <si>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</si>
  <si>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</si>
  <si>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</si>
  <si>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</si>
  <si>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</si>
  <si>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</si>
  <si>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</si>
  <si>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</si>
  <si>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</si>
  <si>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</si>
  <si>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</si>
  <si>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</si>
  <si>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</si>
  <si>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</si>
  <si>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</si>
  <si>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</si>
  <si>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</si>
  <si>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</si>
  <si>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</si>
  <si>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</si>
  <si>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</si>
  <si>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</si>
  <si>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</si>
  <si>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</si>
  <si>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</si>
  <si>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</si>
  <si>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</si>
  <si>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</si>
  <si>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</si>
  <si>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</si>
  <si>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</si>
  <si>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</si>
  <si>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</si>
  <si>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</si>
  <si>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</si>
  <si>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</si>
  <si>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</si>
  <si>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</si>
  <si>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</si>
  <si>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</si>
  <si>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</si>
  <si>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</si>
  <si>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</si>
  <si>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</si>
  <si>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</si>
  <si>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</si>
  <si>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</si>
  <si>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</si>
  <si>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</si>
  <si>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</si>
  <si>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</si>
  <si>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</si>
  <si>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</si>
  <si>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</si>
  <si>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</si>
  <si>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</si>
  <si>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</si>
  <si>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</si>
  <si>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</si>
  <si>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</si>
  <si>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</si>
  <si>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</si>
  <si>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</si>
  <si>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</si>
  <si>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</si>
  <si>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</si>
  <si>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</si>
  <si>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</si>
  <si>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</si>
  <si>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</si>
  <si>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</si>
  <si>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</si>
  <si>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</si>
  <si>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</si>
  <si>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</si>
  <si>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</si>
  <si>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</si>
  <si>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</si>
  <si>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</si>
  <si>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</si>
  <si>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</si>
  <si>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</si>
  <si>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</si>
  <si>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</si>
  <si>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</si>
  <si>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</si>
  <si>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</si>
  <si>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</si>
  <si>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</si>
  <si>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</si>
  <si>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</si>
  <si>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</si>
  <si>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</si>
  <si>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</si>
  <si>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</si>
  <si>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</si>
  <si>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</si>
  <si>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</si>
  <si>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</si>
  <si>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</si>
  <si>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</si>
  <si>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</si>
  <si>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</si>
  <si>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</si>
  <si>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</si>
  <si>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</si>
  <si>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</si>
  <si>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</si>
  <si>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</si>
  <si>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</si>
  <si>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</si>
  <si>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</si>
  <si>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</si>
  <si>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</si>
  <si>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</si>
  <si>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</si>
  <si>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</si>
  <si>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</si>
  <si>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</si>
  <si>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</si>
  <si>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</si>
  <si>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</si>
  <si>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</si>
  <si>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</si>
  <si>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</si>
  <si>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</si>
  <si>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</si>
  <si>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</si>
  <si>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</si>
  <si>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</si>
  <si>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</si>
  <si>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</si>
  <si>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</si>
  <si>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</si>
  <si>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</si>
  <si>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</si>
  <si>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</si>
  <si>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</si>
  <si>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</si>
  <si>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</si>
  <si>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</si>
  <si>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</si>
  <si>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</si>
  <si>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</si>
  <si>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</si>
  <si>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</si>
  <si>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</si>
  <si>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</si>
  <si>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</si>
  <si>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</si>
  <si>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</si>
  <si>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</si>
  <si>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</si>
  <si>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</si>
  <si>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</si>
  <si>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</si>
  <si>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</si>
  <si>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</si>
  <si>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</si>
  <si>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</si>
  <si>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</si>
  <si>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</si>
  <si>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</si>
  <si>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</si>
  <si>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</si>
  <si>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</si>
  <si>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</si>
  <si>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</si>
  <si>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</si>
  <si>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</si>
  <si>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</si>
  <si>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</si>
  <si>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</si>
  <si>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</si>
  <si>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</si>
  <si>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</si>
  <si>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</si>
  <si>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</si>
  <si>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</si>
  <si>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</si>
  <si>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</si>
  <si>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</si>
  <si>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</si>
  <si>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</si>
  <si>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</si>
  <si>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</si>
  <si>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</si>
  <si>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</si>
  <si>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</si>
  <si>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</si>
  <si>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</si>
  <si>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</si>
  <si>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</si>
  <si>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</si>
  <si>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</si>
  <si>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</si>
  <si>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</si>
  <si>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</si>
  <si>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</si>
  <si>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</si>
  <si>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</si>
  <si>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</si>
  <si>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</si>
  <si>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</si>
  <si>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</si>
  <si>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</si>
  <si>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</si>
  <si>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</si>
  <si>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</si>
  <si>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</si>
  <si>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</si>
  <si>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</si>
  <si>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</si>
  <si>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</si>
  <si>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</si>
  <si>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</si>
  <si>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</si>
  <si>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</si>
  <si>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</si>
  <si>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</si>
  <si>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</si>
  <si>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</si>
  <si>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</si>
  <si>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</si>
  <si>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</si>
  <si>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</si>
  <si>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</si>
  <si>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</si>
  <si>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</si>
  <si>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</si>
  <si>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</si>
  <si>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</si>
  <si>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</si>
  <si>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</si>
  <si>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</si>
  <si>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</si>
  <si>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</si>
  <si>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</si>
  <si>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</si>
  <si>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</si>
  <si>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</si>
  <si>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</si>
  <si>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</si>
  <si>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</si>
  <si>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</si>
  <si>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</si>
  <si>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</si>
  <si>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</si>
  <si>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</si>
  <si>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</si>
  <si>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</si>
  <si>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</si>
  <si>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</si>
  <si>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</si>
  <si>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</si>
  <si>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</si>
  <si>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</si>
  <si>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</si>
  <si>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</si>
  <si>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</si>
  <si>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</si>
  <si>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</si>
  <si>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</si>
  <si>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</si>
  <si>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</si>
  <si>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</si>
  <si>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</si>
  <si>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</si>
  <si>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</si>
  <si>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</si>
  <si>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</si>
  <si>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</si>
  <si>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</si>
  <si>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</si>
  <si>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</si>
  <si>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</si>
  <si>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</si>
  <si>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</si>
  <si>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</si>
  <si>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</si>
  <si>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</si>
  <si>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</si>
  <si>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</si>
  <si>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</si>
  <si>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</si>
  <si>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</si>
  <si>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</si>
  <si>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</si>
  <si>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</si>
  <si>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</si>
  <si>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</si>
  <si>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</si>
  <si>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</si>
  <si>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</si>
  <si>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</si>
  <si>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</si>
  <si>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</si>
  <si>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</si>
  <si>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</si>
  <si>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</si>
  <si>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</si>
  <si>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</si>
  <si>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</si>
  <si>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</si>
  <si>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</si>
  <si>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</si>
  <si>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</si>
  <si>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</si>
  <si>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</si>
  <si>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</si>
  <si>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</si>
  <si>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</si>
  <si>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</si>
  <si>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</si>
  <si>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</si>
  <si>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</si>
  <si>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</si>
  <si>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</si>
  <si>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</si>
  <si>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</si>
  <si>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</si>
  <si>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</si>
  <si>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</si>
  <si>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</si>
  <si>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</si>
  <si>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</si>
  <si>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</si>
  <si>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</si>
  <si>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</si>
  <si>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</si>
  <si>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</si>
  <si>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</si>
  <si>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</si>
  <si>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</si>
  <si>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</si>
  <si>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</si>
  <si>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</si>
  <si>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</si>
  <si>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</si>
  <si>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</si>
  <si>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</si>
  <si>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</si>
  <si>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</si>
  <si>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</si>
  <si>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</si>
  <si>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</si>
  <si>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</si>
  <si>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</si>
  <si>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</si>
  <si>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</si>
  <si>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</si>
  <si>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</si>
  <si>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</si>
  <si>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</si>
  <si>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</si>
  <si>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</si>
  <si>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</si>
  <si>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</si>
  <si>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</si>
  <si>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</si>
  <si>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</si>
  <si>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</si>
  <si>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</si>
  <si>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</si>
  <si>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</si>
  <si>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</si>
  <si>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</si>
  <si>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</si>
  <si>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</si>
  <si>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</si>
  <si>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</si>
  <si>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</si>
  <si>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</si>
  <si>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</si>
  <si>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</si>
  <si>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</si>
  <si>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</si>
  <si>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</si>
  <si>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</si>
  <si>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</si>
  <si>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</si>
  <si>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</si>
  <si>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</si>
  <si>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</si>
  <si>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</si>
  <si>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</si>
  <si>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</si>
  <si>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</si>
  <si>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</si>
  <si>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</si>
  <si>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</si>
  <si>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</si>
  <si>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</si>
  <si>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</si>
  <si>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</si>
  <si>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</si>
  <si>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</si>
  <si>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</si>
  <si>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</si>
  <si>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</si>
  <si>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</si>
  <si>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</si>
  <si>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</si>
  <si>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</si>
  <si>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</si>
  <si>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</si>
  <si>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</si>
  <si>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</si>
  <si>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</si>
  <si>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</si>
  <si>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</si>
  <si>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</si>
  <si>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</si>
  <si>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</si>
  <si>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</si>
  <si>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</si>
  <si>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</si>
  <si>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</si>
  <si>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</si>
  <si>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</si>
  <si>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</si>
  <si>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</si>
  <si>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</si>
  <si>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</si>
  <si>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</si>
  <si>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</si>
  <si>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</si>
  <si>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</si>
  <si>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</si>
  <si>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</si>
  <si>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</si>
  <si>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</si>
  <si>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</si>
  <si>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</si>
  <si>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</si>
  <si>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</si>
  <si>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</si>
  <si>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</si>
  <si>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</si>
  <si>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</si>
  <si>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</si>
  <si>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</si>
  <si>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</si>
  <si>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</si>
  <si>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</si>
  <si>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</si>
  <si>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</si>
  <si>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</si>
  <si>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</si>
  <si>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</si>
  <si>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</si>
  <si>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</si>
  <si>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</si>
  <si>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</si>
  <si>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</si>
  <si>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</si>
  <si>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</si>
  <si>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</si>
  <si>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</si>
  <si>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</si>
  <si>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</si>
  <si>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</si>
  <si>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</si>
  <si>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</si>
  <si>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</si>
  <si>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</si>
  <si>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</si>
  <si>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</si>
  <si>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</si>
  <si>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</si>
  <si>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</si>
  <si>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</si>
  <si>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</si>
  <si>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</si>
  <si>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</si>
  <si>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</si>
  <si>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</si>
  <si>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</si>
  <si>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</si>
  <si>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</si>
  <si>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</si>
  <si>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</si>
  <si>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</si>
  <si>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</si>
  <si>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</si>
  <si>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</si>
  <si>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</si>
  <si>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</si>
  <si>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</si>
  <si>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</si>
  <si>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</si>
  <si>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</si>
  <si>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</si>
  <si>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</si>
  <si>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</si>
  <si>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</si>
  <si>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</si>
  <si>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</si>
  <si>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</si>
  <si>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</si>
  <si>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</si>
  <si>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</si>
  <si>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</si>
  <si>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</si>
  <si>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</si>
  <si>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</si>
  <si>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</si>
  <si>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</si>
  <si>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</si>
  <si>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</si>
  <si>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</si>
  <si>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</si>
  <si>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</si>
  <si>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</si>
  <si>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</si>
  <si>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</si>
  <si>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</si>
  <si>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</si>
  <si>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</si>
  <si>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</si>
  <si>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</si>
  <si>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</si>
  <si>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</si>
  <si>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</si>
  <si>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</si>
  <si>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</si>
  <si>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</si>
  <si>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</si>
  <si>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</si>
  <si>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</si>
  <si>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</si>
  <si>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</si>
  <si>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</si>
  <si>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</si>
  <si>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</si>
  <si>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</si>
  <si>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</si>
  <si>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</si>
  <si>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</si>
  <si>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</si>
  <si>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</si>
  <si>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</si>
  <si>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</si>
  <si>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</si>
  <si>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</si>
  <si>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</si>
  <si>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</si>
  <si>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</si>
  <si>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</si>
  <si>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</si>
  <si>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</si>
  <si>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</si>
  <si>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</si>
  <si>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</si>
  <si>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</si>
  <si>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</si>
  <si>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</si>
  <si>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</si>
  <si>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</si>
  <si>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</si>
  <si>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</si>
  <si>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</si>
  <si>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</si>
  <si>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</si>
  <si>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</si>
  <si>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</si>
  <si>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</si>
  <si>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</si>
  <si>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</si>
  <si>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</si>
  <si>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</si>
  <si>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</si>
  <si>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</si>
  <si>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</si>
  <si>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</si>
  <si>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</si>
  <si>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</si>
  <si>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</si>
  <si>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</si>
  <si>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</si>
  <si>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</si>
  <si>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</si>
  <si>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</si>
  <si>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</si>
  <si>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</si>
  <si>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</si>
  <si>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</si>
  <si>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</si>
  <si>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</si>
  <si>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</si>
  <si>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</si>
  <si>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</si>
  <si>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</si>
  <si>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</si>
  <si>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</si>
  <si>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</si>
  <si>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</si>
  <si>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</si>
  <si>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</si>
  <si>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</si>
  <si>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</si>
  <si>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</si>
  <si>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</si>
  <si>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</si>
  <si>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</si>
  <si>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</si>
  <si>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</si>
  <si>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</si>
  <si>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</si>
  <si>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</si>
  <si>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</si>
  <si>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</si>
  <si>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</si>
  <si>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</si>
  <si>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</si>
  <si>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</si>
  <si>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</si>
  <si>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</si>
  <si>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</si>
  <si>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</si>
  <si>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</si>
  <si>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</si>
  <si>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</si>
  <si>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</si>
  <si>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</si>
  <si>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</si>
  <si>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</si>
  <si>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</si>
  <si>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</si>
  <si>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</si>
  <si>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</si>
  <si>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</si>
  <si>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</si>
  <si>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</si>
  <si>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</si>
  <si>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</si>
  <si>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</si>
  <si>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</si>
  <si>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</si>
  <si>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</si>
  <si>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</si>
  <si>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</si>
  <si>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</si>
  <si>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</si>
  <si>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</si>
  <si>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</si>
  <si>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</si>
  <si>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</si>
  <si>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</si>
  <si>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</si>
  <si>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</si>
  <si>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</si>
  <si>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</si>
  <si>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</si>
  <si>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</si>
  <si>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</si>
  <si>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</si>
  <si>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</si>
  <si>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</si>
  <si>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</si>
  <si>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</si>
  <si>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</si>
  <si>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</si>
  <si>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</si>
  <si>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</si>
  <si>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</si>
  <si>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</si>
  <si>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</si>
  <si>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</si>
  <si>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</si>
  <si>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</si>
  <si>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</si>
  <si>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</si>
  <si>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</si>
  <si>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</si>
  <si>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</si>
  <si>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</si>
  <si>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</si>
  <si>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</si>
  <si>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</si>
  <si>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</si>
  <si>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</si>
  <si>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</si>
  <si>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</si>
  <si>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</si>
  <si>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</si>
  <si>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</si>
  <si>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</si>
  <si>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</si>
  <si>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</si>
  <si>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</si>
  <si>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</si>
  <si>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</si>
  <si>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</si>
  <si>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</si>
  <si>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</si>
  <si>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</si>
  <si>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</si>
  <si>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</si>
  <si>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</si>
  <si>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</si>
  <si>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</si>
  <si>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</si>
  <si>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</si>
  <si>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</si>
  <si>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</si>
  <si>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</si>
  <si>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</si>
  <si>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</si>
  <si>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</si>
  <si>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</si>
  <si>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</si>
  <si>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</si>
  <si>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</si>
  <si>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</si>
  <si>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</si>
  <si>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</si>
  <si>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</si>
  <si>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</si>
  <si>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</si>
  <si>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</si>
  <si>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</si>
  <si>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</si>
  <si>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</si>
  <si>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</si>
  <si>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</si>
  <si>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</si>
  <si>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</si>
  <si>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</si>
  <si>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</si>
  <si>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</si>
  <si>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</si>
  <si>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</si>
  <si>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</si>
  <si>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</si>
  <si>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</si>
  <si>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</si>
  <si>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</si>
  <si>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</si>
  <si>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</si>
  <si>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</si>
  <si>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</si>
  <si>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</si>
  <si>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</si>
  <si>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</si>
  <si>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</si>
  <si>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</si>
  <si>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</si>
  <si>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</si>
  <si>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</si>
  <si>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</si>
  <si>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</si>
  <si>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</si>
  <si>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</si>
  <si>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</si>
  <si>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</si>
  <si>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</si>
  <si>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</si>
  <si>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</si>
  <si>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</si>
  <si>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</si>
  <si>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</si>
  <si>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</si>
  <si>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</si>
  <si>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</si>
  <si>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</si>
  <si>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</si>
  <si>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</si>
  <si>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</si>
  <si>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</si>
  <si>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</si>
  <si>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</si>
  <si>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</si>
  <si>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</si>
  <si>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</si>
  <si>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</si>
  <si>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</si>
  <si>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</si>
  <si>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</si>
  <si>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</si>
  <si>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</si>
  <si>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</si>
  <si>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</si>
  <si>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</si>
  <si>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</si>
  <si>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</si>
  <si>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</si>
  <si>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</si>
  <si>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</si>
  <si>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</si>
  <si>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</si>
  <si>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</si>
  <si>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</si>
  <si>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</si>
  <si>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</si>
  <si>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</si>
  <si>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</si>
  <si>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</si>
  <si>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</si>
  <si>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</si>
  <si>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</si>
  <si>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</si>
  <si>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</si>
  <si>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</si>
  <si>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</si>
  <si>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</si>
  <si>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</si>
  <si>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</si>
  <si>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</si>
  <si>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</si>
  <si>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</si>
  <si>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</si>
  <si>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</si>
  <si>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</si>
  <si>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</si>
  <si>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</si>
  <si>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</si>
  <si>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</si>
  <si>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</si>
  <si>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</si>
  <si>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</si>
  <si>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</si>
  <si>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</si>
  <si>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</si>
  <si>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</si>
  <si>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</si>
  <si>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</si>
  <si>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</si>
  <si>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</si>
  <si>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</si>
  <si>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</si>
  <si>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</si>
  <si>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</si>
  <si>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</si>
  <si>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</si>
  <si>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</si>
  <si>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</si>
  <si>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</si>
  <si>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</si>
  <si>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</si>
  <si>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</si>
  <si>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</si>
  <si>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</si>
  <si>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</si>
  <si>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</si>
  <si>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</si>
  <si>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</si>
  <si>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</si>
  <si>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</si>
  <si>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</si>
  <si>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</si>
  <si>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</si>
  <si>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</si>
  <si>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</si>
  <si>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</si>
  <si>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</si>
  <si>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</si>
  <si>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</si>
  <si>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</si>
  <si>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</si>
  <si>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</si>
  <si>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</si>
  <si>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</si>
  <si>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</si>
  <si>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</si>
  <si>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</si>
  <si>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</si>
  <si>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</si>
  <si>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</si>
  <si>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</si>
  <si>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</si>
  <si>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</si>
  <si>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</si>
  <si>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</si>
  <si>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</si>
  <si>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</si>
  <si>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</si>
  <si>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</si>
  <si>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</si>
  <si>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</si>
  <si>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</si>
  <si>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</si>
  <si>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</si>
  <si>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</si>
  <si>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</si>
  <si>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</si>
  <si>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</si>
  <si>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</si>
  <si>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</si>
  <si>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</si>
  <si>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</si>
  <si>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</si>
  <si>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</si>
  <si>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</si>
  <si>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</si>
  <si>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</si>
  <si>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</si>
  <si>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</si>
  <si>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</si>
  <si>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</si>
  <si>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</si>
  <si>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</si>
  <si>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</si>
  <si>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</si>
  <si>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</si>
  <si>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</si>
  <si>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</si>
  <si>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</si>
  <si>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</si>
  <si>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</si>
  <si>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</si>
  <si>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</si>
  <si>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</si>
  <si>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</si>
  <si>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</si>
  <si>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</si>
  <si>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</si>
  <si>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</si>
  <si>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</si>
  <si>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</si>
  <si>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</si>
  <si>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</si>
  <si>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</si>
  <si>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</si>
  <si>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</si>
  <si>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</si>
  <si>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</si>
  <si>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</si>
  <si>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</si>
  <si>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</si>
  <si>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</si>
  <si>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</si>
  <si>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</si>
  <si>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</si>
  <si>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</si>
  <si>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</si>
  <si>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</si>
  <si>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</si>
  <si>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</si>
  <si>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</si>
  <si>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</si>
  <si>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</si>
  <si>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</si>
  <si>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</si>
  <si>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</si>
  <si>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</si>
  <si>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</si>
  <si>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</si>
  <si>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</si>
  <si>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</si>
  <si>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</si>
  <si>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</si>
  <si>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</si>
  <si>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</si>
  <si>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</si>
  <si>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</si>
  <si>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</si>
  <si>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</si>
  <si>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</si>
  <si>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</si>
  <si>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</si>
  <si>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</si>
  <si>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</si>
  <si>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</si>
  <si>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</si>
  <si>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</si>
  <si>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</si>
  <si>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</si>
  <si>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</si>
  <si>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</si>
  <si>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</si>
  <si>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</si>
  <si>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</si>
  <si>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</si>
  <si>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</si>
  <si>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</si>
  <si>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</si>
  <si>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</si>
  <si>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</si>
  <si>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</si>
  <si>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</si>
  <si>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</si>
  <si>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</si>
  <si>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</si>
  <si>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</si>
  <si>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</si>
  <si>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</si>
  <si>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</si>
  <si>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</si>
  <si>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</si>
  <si>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</si>
  <si>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</si>
  <si>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</si>
  <si>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</si>
  <si>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</si>
  <si>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</si>
  <si>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</si>
  <si>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</si>
  <si>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</si>
  <si>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</si>
  <si>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</si>
  <si>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</si>
  <si>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</si>
  <si>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</si>
  <si>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</si>
  <si>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</si>
  <si>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</si>
  <si>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</si>
  <si>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</si>
  <si>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</si>
  <si>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</si>
  <si>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</si>
  <si>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</si>
  <si>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</si>
  <si>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</si>
  <si>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</si>
  <si>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</si>
  <si>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</si>
  <si>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</si>
  <si>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</si>
  <si>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</si>
  <si>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</si>
  <si>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</si>
  <si>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</si>
  <si>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</si>
  <si>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</si>
  <si>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</si>
  <si>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</si>
  <si>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</si>
  <si>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</si>
  <si>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</si>
  <si>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</si>
  <si>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</si>
  <si>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</si>
  <si>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</si>
  <si>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</si>
  <si>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</si>
  <si>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</si>
  <si>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</si>
  <si>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</si>
  <si>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</si>
  <si>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</si>
  <si>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</si>
  <si>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</si>
  <si>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</si>
  <si>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</si>
  <si>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</si>
  <si>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</si>
  <si>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</si>
  <si>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</si>
  <si>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</si>
  <si>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</si>
  <si>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</si>
  <si>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</si>
  <si>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</si>
  <si>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</si>
  <si>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</si>
  <si>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</si>
  <si>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</si>
  <si>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</si>
  <si>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</si>
  <si>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</si>
  <si>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</si>
  <si>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</si>
  <si>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</si>
  <si>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</si>
  <si>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</si>
  <si>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</si>
  <si>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</si>
  <si>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</si>
  <si>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</si>
  <si>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</si>
  <si>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</si>
  <si>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</si>
  <si>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</si>
  <si>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</si>
  <si>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</si>
  <si>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</si>
  <si>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</si>
  <si>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</si>
  <si>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</si>
  <si>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</si>
  <si>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</si>
  <si>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</si>
  <si>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</si>
  <si>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</si>
  <si>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</si>
  <si>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</si>
  <si>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</si>
  <si>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</si>
  <si>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</si>
  <si>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</si>
  <si>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</si>
  <si>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</si>
  <si>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</si>
  <si>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</si>
  <si>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</si>
  <si>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</si>
  <si>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</si>
  <si>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</si>
  <si>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</si>
  <si>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</si>
  <si>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</si>
  <si>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</si>
  <si>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</si>
  <si>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</si>
  <si>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</si>
  <si>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</si>
  <si>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</si>
  <si>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</si>
  <si>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</si>
  <si>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</si>
  <si>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</si>
  <si>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</si>
  <si>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</si>
  <si>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</si>
  <si>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</si>
  <si>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</si>
  <si>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</si>
  <si>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</si>
  <si>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</si>
  <si>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</si>
  <si>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</si>
  <si>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</si>
  <si>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</si>
  <si>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</si>
  <si>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</si>
  <si>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</si>
  <si>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</si>
  <si>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</si>
  <si>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</si>
  <si>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</si>
  <si>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</si>
  <si>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</si>
  <si>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</si>
  <si>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</si>
  <si>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</si>
  <si>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</si>
  <si>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</si>
  <si>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</si>
  <si>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</si>
  <si>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</si>
  <si>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</si>
  <si>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</si>
  <si>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</si>
  <si>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</si>
  <si>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</si>
  <si>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</si>
  <si>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</si>
  <si>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</si>
  <si>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</si>
  <si>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</si>
  <si>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</si>
  <si>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</si>
  <si>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</si>
  <si>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</si>
  <si>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</si>
  <si>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</si>
  <si>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</si>
  <si>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</si>
  <si>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</si>
  <si>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</si>
  <si>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</si>
  <si>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</si>
  <si>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</si>
  <si>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</si>
  <si>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</si>
  <si>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</si>
  <si>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</si>
  <si>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</si>
  <si>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</si>
  <si>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</si>
  <si>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</si>
  <si>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</si>
  <si>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</si>
  <si>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</si>
  <si>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</si>
  <si>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</si>
  <si>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</si>
  <si>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</si>
  <si>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</si>
  <si>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</si>
  <si>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</si>
  <si>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</si>
  <si>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</si>
  <si>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</si>
  <si>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</si>
  <si>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</si>
  <si>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</si>
  <si>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</si>
  <si>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</si>
  <si>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</si>
  <si>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</si>
  <si>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</si>
  <si>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</si>
  <si>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</si>
  <si>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</si>
  <si>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</si>
  <si>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</si>
  <si>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</si>
  <si>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</si>
  <si>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</si>
  <si>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</si>
  <si>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</si>
  <si>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</si>
  <si>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</si>
  <si>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</si>
  <si>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</si>
  <si>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</si>
  <si>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</si>
  <si>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</si>
  <si>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</si>
  <si>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</si>
  <si>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</si>
  <si>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</si>
  <si>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</si>
  <si>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</si>
  <si>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</si>
  <si>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</si>
  <si>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</si>
  <si>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</si>
  <si>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</si>
  <si>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</si>
  <si>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</si>
  <si>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</si>
  <si>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</si>
  <si>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</si>
  <si>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</si>
  <si>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</si>
  <si>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</si>
  <si>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</si>
  <si>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</si>
  <si>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</si>
  <si>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</si>
  <si>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</si>
  <si>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</si>
  <si>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</si>
  <si>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</si>
  <si>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</si>
  <si>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</si>
  <si>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</si>
  <si>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</si>
  <si>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</si>
  <si>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</si>
  <si>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</si>
  <si>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</si>
  <si>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</si>
  <si>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</si>
  <si>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</si>
  <si>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</si>
  <si>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</si>
  <si>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</si>
  <si>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</si>
  <si>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</si>
  <si>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</si>
  <si>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</si>
  <si>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</si>
  <si>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</si>
  <si>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</si>
  <si>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</si>
  <si>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</si>
  <si>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</si>
  <si>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</si>
  <si>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</si>
  <si>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</si>
  <si>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</si>
  <si>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</si>
  <si>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</si>
  <si>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</si>
  <si>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</si>
  <si>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</si>
  <si>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</si>
  <si>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</si>
  <si>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</si>
  <si>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</si>
  <si>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</si>
  <si>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</si>
  <si>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</si>
  <si>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</si>
  <si>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</si>
  <si>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</si>
  <si>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</si>
  <si>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</si>
  <si>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</si>
  <si>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</si>
  <si>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</si>
  <si>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</si>
  <si>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</si>
  <si>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</si>
  <si>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</si>
  <si>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</si>
  <si>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</si>
  <si>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</si>
  <si>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</si>
  <si>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</si>
  <si>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</si>
  <si>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</si>
  <si>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</si>
  <si>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</si>
  <si>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</si>
  <si>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</si>
  <si>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</si>
  <si>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</si>
  <si>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</si>
  <si>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</si>
  <si>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</si>
  <si>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</si>
  <si>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</si>
  <si>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</si>
  <si>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</si>
  <si>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</si>
  <si>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</si>
  <si>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</si>
  <si>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</si>
  <si>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</si>
  <si>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</si>
  <si>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</si>
  <si>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</si>
  <si>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</si>
  <si>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</si>
  <si>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</si>
  <si>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</si>
  <si>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</si>
  <si>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</si>
  <si>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</si>
  <si>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</si>
  <si>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</si>
  <si>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</si>
  <si>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</si>
  <si>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</si>
  <si>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</si>
  <si>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</si>
  <si>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</si>
  <si>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</si>
  <si>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</si>
  <si>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</si>
  <si>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</si>
  <si>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</si>
  <si>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</si>
  <si>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</si>
  <si>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</si>
  <si>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</si>
  <si>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</si>
  <si>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</si>
  <si>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</si>
  <si>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</si>
  <si>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</si>
  <si>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</si>
  <si>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</si>
  <si>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</si>
  <si>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</si>
  <si>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</si>
  <si>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</si>
  <si>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</si>
  <si>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</si>
  <si>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</si>
  <si>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</si>
  <si>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</si>
  <si>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</si>
  <si>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</si>
  <si>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</si>
  <si>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</si>
  <si>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</si>
  <si>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</si>
  <si>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</si>
  <si>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</si>
  <si>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</si>
  <si>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</si>
  <si>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</si>
  <si>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</si>
  <si>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</si>
  <si>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</si>
  <si>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</si>
  <si>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</si>
  <si>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</si>
  <si>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</si>
  <si>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</si>
  <si>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</si>
  <si>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</si>
  <si>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</si>
  <si>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</si>
  <si>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</si>
  <si>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</si>
  <si>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</si>
  <si>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</si>
  <si>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</si>
  <si>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</si>
  <si>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</si>
  <si>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</si>
  <si>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</si>
  <si>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</si>
  <si>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</si>
  <si>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</si>
  <si>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</si>
  <si>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</si>
  <si>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</si>
  <si>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</si>
  <si>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</si>
  <si>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</si>
  <si>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</si>
  <si>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</si>
  <si>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</si>
  <si>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</si>
  <si>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</si>
  <si>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</si>
  <si>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</si>
  <si>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</si>
  <si>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</si>
  <si>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</si>
  <si>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</si>
  <si>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</si>
  <si>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</si>
  <si>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</si>
  <si>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</si>
  <si>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</si>
  <si>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</si>
  <si>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</si>
  <si>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</si>
  <si>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</si>
  <si>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</si>
  <si>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</si>
  <si>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</si>
  <si>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</si>
  <si>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</si>
  <si>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</si>
  <si>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</si>
  <si>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</si>
  <si>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</si>
  <si>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</si>
  <si>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</si>
  <si>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</si>
  <si>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</si>
  <si>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</si>
  <si>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</si>
  <si>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</si>
  <si>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</si>
  <si>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</si>
  <si>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</si>
  <si>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</si>
  <si>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</si>
  <si>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</si>
  <si>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</si>
  <si>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</si>
  <si>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</si>
  <si>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</si>
  <si>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</si>
  <si>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</si>
  <si>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</si>
  <si>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</si>
  <si>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</si>
  <si>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</si>
  <si>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</si>
  <si>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</si>
  <si>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</si>
  <si>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</si>
  <si>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</si>
  <si>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</si>
  <si>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</si>
  <si>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</si>
  <si>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</si>
  <si>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</si>
  <si>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</si>
  <si>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</si>
  <si>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</si>
  <si>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</si>
  <si>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</si>
  <si>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</si>
  <si>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</si>
  <si>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</si>
  <si>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</si>
  <si>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</si>
  <si>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</si>
  <si>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</si>
  <si>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</si>
  <si>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</si>
  <si>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</si>
  <si>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</si>
  <si>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</si>
  <si>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</si>
  <si>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</si>
  <si>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</si>
  <si>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</si>
  <si>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</si>
  <si>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</si>
  <si>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</si>
  <si>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</si>
  <si>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</si>
  <si>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</si>
  <si>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</si>
  <si>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</si>
  <si>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</si>
  <si>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</si>
  <si>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</si>
  <si>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</si>
  <si>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</si>
  <si>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</si>
  <si>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</si>
  <si>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</si>
  <si>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</si>
  <si>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</si>
  <si>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</si>
  <si>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</si>
  <si>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</si>
  <si>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</si>
  <si>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</si>
  <si>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</si>
  <si>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</si>
  <si>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</si>
  <si>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</si>
  <si>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</si>
  <si>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</si>
  <si>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</si>
  <si>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</si>
  <si>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</si>
  <si>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</si>
  <si>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</si>
  <si>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</si>
  <si>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</si>
  <si>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</si>
  <si>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</si>
  <si>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</si>
  <si>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</si>
  <si>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</si>
  <si>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</si>
  <si>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</si>
  <si>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</si>
  <si>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</si>
  <si>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</si>
  <si>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</si>
  <si>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</si>
  <si>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</si>
  <si>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</si>
  <si>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</si>
  <si>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</si>
  <si>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</si>
  <si>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</si>
  <si>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</si>
  <si>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</si>
  <si>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</si>
  <si>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</si>
  <si>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</si>
  <si>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</si>
  <si>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</si>
  <si>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</si>
  <si>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</si>
  <si>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</si>
  <si>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</si>
  <si>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</si>
  <si>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</si>
  <si>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</si>
  <si>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</si>
  <si>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</si>
  <si>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</si>
  <si>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</si>
  <si>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</si>
  <si>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</si>
  <si>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</si>
  <si>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</si>
  <si>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</si>
  <si>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</si>
  <si>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</si>
  <si>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</si>
  <si>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</si>
  <si>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</si>
  <si>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</si>
  <si>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</si>
  <si>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</si>
  <si>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</si>
  <si>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</si>
  <si>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</si>
  <si>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</si>
  <si>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</si>
  <si>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</si>
  <si>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</si>
  <si>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</si>
  <si>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</si>
  <si>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</si>
  <si>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</si>
  <si>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</si>
  <si>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</si>
  <si>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</si>
  <si>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</si>
  <si>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</si>
  <si>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</si>
  <si>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</si>
  <si>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</si>
  <si>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</si>
  <si>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</si>
  <si>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</si>
  <si>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</si>
  <si>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</si>
  <si>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</si>
  <si>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</si>
  <si>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</si>
  <si>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</si>
  <si>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</si>
  <si>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</si>
  <si>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</si>
  <si>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</si>
  <si>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</si>
  <si>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</si>
  <si>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</si>
  <si>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</si>
  <si>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</si>
  <si>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</si>
  <si>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</si>
  <si>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</si>
  <si>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</si>
  <si>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</si>
  <si>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</si>
  <si>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</si>
  <si>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</si>
  <si>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</si>
  <si>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</si>
  <si>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</si>
  <si>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</si>
  <si>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</si>
  <si>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</si>
  <si>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</si>
  <si>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</si>
  <si>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</si>
  <si>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</si>
  <si>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</si>
  <si>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</si>
  <si>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</si>
  <si>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</si>
  <si>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</si>
  <si>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</si>
  <si>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</si>
  <si>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</si>
  <si>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</si>
  <si>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</si>
  <si>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</si>
  <si>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</si>
  <si>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</si>
  <si>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</si>
  <si>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</si>
  <si>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</si>
  <si>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</si>
  <si>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</si>
  <si>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</si>
  <si>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</si>
  <si>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</si>
  <si>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</si>
  <si>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</si>
  <si>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</si>
  <si>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</si>
  <si>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</si>
  <si>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</si>
  <si>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</si>
  <si>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</si>
  <si>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</si>
  <si>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</si>
  <si>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</si>
  <si>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</si>
  <si>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</si>
  <si>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</si>
  <si>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</si>
  <si>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</si>
  <si>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</si>
  <si>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</si>
  <si>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</si>
  <si>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</si>
  <si>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</si>
  <si>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</si>
  <si>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</si>
  <si>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</si>
  <si>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</si>
  <si>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</si>
  <si>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</si>
  <si>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</si>
  <si>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</si>
  <si>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</si>
  <si>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</si>
  <si>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</si>
  <si>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</si>
  <si>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</si>
  <si>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</si>
  <si>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</si>
  <si>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</si>
  <si>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</si>
  <si>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</si>
  <si>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</si>
  <si>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</si>
  <si>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</si>
  <si>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</si>
  <si>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</si>
  <si>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</si>
  <si>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</si>
  <si>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</si>
  <si>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</si>
  <si>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</si>
  <si>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</si>
  <si>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</si>
  <si>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</si>
  <si>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</si>
  <si>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</si>
  <si>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</si>
  <si>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</si>
  <si>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</si>
  <si>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</si>
  <si>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</si>
  <si>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</si>
  <si>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</si>
  <si>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</si>
  <si>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</si>
  <si>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</si>
  <si>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</si>
  <si>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</si>
  <si>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</si>
  <si>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</si>
  <si>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</si>
  <si>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</si>
  <si>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</si>
  <si>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</si>
  <si>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</si>
  <si>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</si>
  <si>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</si>
  <si>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</si>
  <si>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</si>
  <si>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</si>
  <si>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</si>
  <si>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</si>
  <si>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</si>
  <si>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</si>
  <si>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</si>
  <si>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</si>
  <si>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</si>
  <si>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</si>
  <si>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</si>
  <si>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</si>
  <si>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</si>
  <si>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</si>
  <si>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</si>
  <si>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</si>
  <si>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</si>
  <si>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</si>
  <si>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</si>
  <si>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</si>
  <si>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</si>
  <si>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</si>
  <si>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</si>
  <si>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</si>
  <si>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</si>
  <si>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</si>
  <si>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</si>
  <si>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</si>
  <si>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</si>
  <si>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</si>
  <si>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</si>
  <si>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</si>
  <si>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</si>
  <si>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</si>
  <si>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</si>
  <si>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</si>
  <si>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</si>
  <si>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</si>
  <si>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</si>
  <si>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</si>
  <si>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</si>
  <si>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</si>
  <si>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</si>
  <si>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</si>
  <si>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</si>
  <si>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</si>
  <si>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</si>
  <si>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</si>
  <si>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</si>
  <si>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</si>
  <si>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</si>
  <si>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</si>
  <si>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</si>
  <si>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</si>
  <si>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</si>
  <si>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</si>
  <si>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</si>
  <si>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</si>
  <si>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</si>
  <si>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</si>
  <si>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</si>
  <si>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</si>
  <si>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</si>
  <si>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</si>
  <si>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</si>
  <si>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</si>
  <si>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</si>
  <si>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</si>
  <si>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</si>
  <si>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</si>
  <si>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</si>
  <si>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</si>
  <si>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</si>
  <si>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</si>
  <si>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</si>
  <si>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</si>
  <si>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</si>
  <si>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</si>
  <si>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</si>
  <si>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</si>
  <si>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</si>
  <si>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</si>
  <si>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</si>
  <si>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</si>
  <si>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</si>
  <si>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</si>
  <si>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</si>
  <si>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</si>
  <si>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</si>
  <si>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</si>
  <si>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</si>
  <si>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</si>
  <si>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</si>
  <si>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</si>
  <si>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</si>
  <si>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</si>
  <si>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</si>
  <si>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</si>
  <si>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</si>
  <si>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</si>
  <si>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</si>
  <si>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</si>
  <si>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</si>
  <si>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</si>
  <si>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</si>
  <si>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</si>
  <si>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</si>
  <si>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</si>
  <si>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</si>
  <si>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</si>
  <si>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</si>
  <si>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</si>
  <si>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</si>
  <si>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</si>
  <si>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</si>
  <si>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</si>
  <si>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</si>
  <si>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</si>
  <si>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</si>
  <si>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</si>
  <si>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</si>
  <si>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</si>
  <si>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</si>
  <si>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</si>
  <si>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</si>
  <si>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</si>
  <si>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</si>
  <si>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</si>
  <si>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</si>
  <si>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</si>
  <si>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</si>
  <si>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</si>
  <si>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</si>
  <si>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</si>
  <si>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</si>
  <si>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</si>
  <si>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</si>
  <si>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</si>
  <si>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</si>
  <si>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</si>
  <si>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</si>
  <si>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</si>
  <si>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</si>
  <si>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</si>
  <si>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</si>
  <si>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</si>
  <si>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</si>
  <si>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</si>
  <si>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</si>
  <si>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</si>
  <si>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</si>
  <si>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</si>
  <si>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</si>
  <si>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</si>
  <si>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</si>
  <si>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</si>
  <si>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</si>
  <si>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</si>
  <si>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</si>
  <si>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</si>
  <si>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</si>
  <si>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</si>
  <si>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</si>
  <si>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</si>
  <si>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</si>
  <si>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</si>
  <si>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</si>
  <si>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</si>
  <si>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</si>
  <si>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</si>
  <si>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</si>
  <si>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</si>
  <si>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</si>
  <si>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</si>
  <si>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</si>
  <si>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</si>
  <si>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</si>
  <si>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</si>
  <si>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</si>
  <si>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</si>
  <si>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</si>
  <si>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</si>
  <si>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</si>
  <si>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</si>
  <si>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</si>
  <si>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</si>
  <si>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</si>
  <si>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</si>
  <si>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</si>
  <si>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</si>
  <si>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</si>
  <si>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</si>
  <si>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</si>
  <si>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</si>
  <si>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</si>
  <si>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</si>
  <si>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</si>
  <si>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</si>
  <si>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</si>
  <si>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</si>
  <si>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</si>
  <si>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</si>
  <si>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</si>
  <si>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</si>
  <si>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</si>
  <si>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</si>
  <si>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</si>
  <si>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</si>
  <si>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</si>
  <si>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</si>
  <si>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</si>
  <si>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</si>
  <si>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</si>
  <si>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</si>
  <si>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</si>
  <si>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</si>
  <si>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</si>
  <si>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</si>
  <si>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</si>
  <si>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</si>
  <si>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</si>
  <si>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</si>
  <si>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</si>
  <si>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</si>
  <si>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</si>
  <si>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</si>
  <si>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</si>
  <si>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</si>
  <si>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</si>
  <si>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</si>
  <si>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</si>
  <si>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</si>
  <si>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</si>
  <si>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</si>
  <si>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</si>
  <si>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</si>
  <si>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</si>
  <si>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</si>
  <si>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</si>
  <si>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</si>
  <si>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</si>
  <si>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</si>
  <si>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</si>
  <si>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</si>
  <si>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</si>
  <si>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</si>
  <si>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</si>
  <si>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</si>
  <si>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</si>
  <si>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</si>
  <si>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</si>
  <si>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</si>
  <si>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</si>
  <si>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</si>
  <si>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</si>
  <si>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</si>
  <si>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</si>
  <si>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</si>
  <si>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</si>
  <si>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</si>
  <si>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</si>
  <si>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</si>
  <si>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</si>
  <si>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</si>
  <si>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</si>
  <si>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</si>
  <si>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</si>
  <si>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</si>
  <si>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</si>
  <si>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</si>
  <si>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</si>
  <si>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</si>
  <si>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</si>
  <si>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</si>
  <si>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</si>
  <si>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</si>
  <si>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</si>
  <si>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</si>
  <si>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</si>
  <si>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</si>
  <si>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</si>
  <si>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</si>
  <si>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</si>
  <si>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</si>
  <si>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</si>
  <si>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</si>
  <si>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赵雯</t>
  </si>
  <si>
    <t>欧红伟</t>
  </si>
  <si>
    <t>梁津</t>
  </si>
  <si>
    <t>和记黄埔地产（北京朝阳）有限公司</t>
    <phoneticPr fontId="6" type="noConversion"/>
  </si>
  <si>
    <t>中国银行股份有限公司</t>
    <phoneticPr fontId="6" type="noConversion"/>
  </si>
  <si>
    <t>抵押</t>
  </si>
  <si>
    <t>抵押价格</t>
  </si>
  <si>
    <t>企业</t>
  </si>
  <si>
    <t>出让</t>
  </si>
  <si>
    <t>商业</t>
  </si>
  <si>
    <t>车库</t>
  </si>
  <si>
    <t>通路</t>
  </si>
  <si>
    <t>通电</t>
  </si>
  <si>
    <t>通讯</t>
  </si>
  <si>
    <t>通上水</t>
  </si>
  <si>
    <t>通下水</t>
  </si>
  <si>
    <t>燃气</t>
  </si>
  <si>
    <t>2017规（朝）建字0101号</t>
    <phoneticPr fontId="3" type="noConversion"/>
  </si>
  <si>
    <t>1#住宅楼</t>
    <phoneticPr fontId="3" type="noConversion"/>
  </si>
  <si>
    <t>地上</t>
  </si>
  <si>
    <t>普通住宅</t>
  </si>
  <si>
    <t>地下</t>
  </si>
  <si>
    <t>2#住宅楼</t>
  </si>
  <si>
    <t>3#住宅楼</t>
  </si>
  <si>
    <t>4#住宅楼</t>
  </si>
  <si>
    <t>5#住宅楼</t>
  </si>
  <si>
    <t>6#住宅楼</t>
  </si>
  <si>
    <t>7#住宅楼</t>
  </si>
  <si>
    <t>8#住宅楼</t>
  </si>
  <si>
    <t>9#住宅楼</t>
  </si>
  <si>
    <t>联排</t>
  </si>
  <si>
    <t>仓储</t>
  </si>
  <si>
    <t>戊类库房</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</si>
  <si>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</si>
  <si>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</si>
  <si>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</si>
  <si>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</si>
  <si>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</si>
  <si>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</si>
  <si>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</si>
  <si>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</si>
  <si>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</si>
  <si>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</si>
  <si>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</si>
  <si>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</si>
  <si>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</si>
  <si>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</si>
  <si>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</si>
  <si>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</si>
  <si>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</si>
  <si>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27#配套公建楼</t>
    <phoneticPr fontId="3" type="noConversion"/>
  </si>
  <si>
    <t>28#养老院</t>
    <phoneticPr fontId="3" type="noConversion"/>
  </si>
  <si>
    <t>养老院</t>
  </si>
  <si>
    <t>养老院</t>
    <phoneticPr fontId="14" type="noConversion"/>
  </si>
  <si>
    <t>1#配电室</t>
    <phoneticPr fontId="3" type="noConversion"/>
  </si>
  <si>
    <t>2#配电室</t>
  </si>
  <si>
    <t>3、4#配电室</t>
    <phoneticPr fontId="3" type="noConversion"/>
  </si>
  <si>
    <t>南岗厅</t>
    <phoneticPr fontId="3" type="noConversion"/>
  </si>
  <si>
    <t>北岗厅</t>
    <phoneticPr fontId="3" type="noConversion"/>
  </si>
  <si>
    <t>西岗厅</t>
    <phoneticPr fontId="3" type="noConversion"/>
  </si>
  <si>
    <t>4#13#人防室外主要出入口</t>
    <phoneticPr fontId="3" type="noConversion"/>
  </si>
  <si>
    <t>5#人防次要出入口</t>
    <phoneticPr fontId="3" type="noConversion"/>
  </si>
  <si>
    <t>地下车库</t>
    <phoneticPr fontId="3" type="noConversion"/>
  </si>
  <si>
    <t>否</t>
  </si>
  <si>
    <t>联排</t>
    <phoneticPr fontId="7" type="noConversion"/>
  </si>
  <si>
    <t>养老院</t>
    <phoneticPr fontId="7" type="noConversion"/>
  </si>
  <si>
    <t>地下车库</t>
    <phoneticPr fontId="7" type="noConversion"/>
  </si>
  <si>
    <t>地下仓储</t>
  </si>
  <si>
    <t>地下仓储</t>
    <phoneticPr fontId="7" type="noConversion"/>
  </si>
  <si>
    <t>高层住宅</t>
  </si>
  <si>
    <t>高层住宅</t>
    <phoneticPr fontId="7" type="noConversion"/>
  </si>
  <si>
    <t>场地平整</t>
  </si>
  <si>
    <t>综合项目（居住、综合）</t>
  </si>
  <si>
    <t>无</t>
  </si>
  <si>
    <t>估价对象周边有姚家园东里、逸翠园等居住项目，综合评价居住社区成熟度一般</t>
    <phoneticPr fontId="3" type="noConversion"/>
  </si>
  <si>
    <t>估价对象周边有344、531路公交线路经过，综合评价交通便捷度一般</t>
  </si>
  <si>
    <t>估价对象周边有344、531路公交线路经过，综合评价交通便捷度一般</t>
    <phoneticPr fontId="3" type="noConversion"/>
  </si>
  <si>
    <t>估价对象所在区域公共配套设施齐备度一般</t>
  </si>
  <si>
    <t>估价对象所在区域公共配套设施齐备度一般</t>
    <phoneticPr fontId="3" type="noConversion"/>
  </si>
  <si>
    <t>估价对象所在区域基础设施水平达七通</t>
  </si>
  <si>
    <t>估价对象所在区域基础设施水平达七通</t>
    <phoneticPr fontId="3" type="noConversion"/>
  </si>
  <si>
    <t>周边有京城体育休闲公园；综合评价环境状况一般</t>
  </si>
  <si>
    <t>周边有京城体育休闲公园；综合评价环境状况一般</t>
    <phoneticPr fontId="3" type="noConversion"/>
  </si>
  <si>
    <t>多面临街</t>
  </si>
  <si>
    <t>不动产收益法-养老院</t>
  </si>
  <si>
    <t>不动产收益法-养老院</t>
    <phoneticPr fontId="14" type="noConversion"/>
  </si>
  <si>
    <t>不动产收益法-地下仓储</t>
  </si>
  <si>
    <t>不动产收益法-地下仓储</t>
    <phoneticPr fontId="14" type="noConversion"/>
  </si>
  <si>
    <t>土地（套用方法）</t>
  </si>
  <si>
    <t>押一</t>
  </si>
  <si>
    <t>钢混</t>
  </si>
  <si>
    <t>朝阳区常营乡1201-602、603地块(</t>
    <phoneticPr fontId="3" type="noConversion"/>
  </si>
  <si>
    <t>住宅、商业、综合</t>
  </si>
  <si>
    <t>住宅、商业、综合</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</si>
  <si>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</si>
  <si>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无</t>
    <phoneticPr fontId="26" type="noConversion"/>
  </si>
  <si>
    <t>双面临街</t>
  </si>
  <si>
    <t>朝阳北路</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</si>
  <si>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</si>
  <si>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</si>
  <si>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</si>
  <si>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</si>
  <si>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</si>
  <si>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</si>
  <si>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</si>
  <si>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较规则</t>
  </si>
  <si>
    <t>较规则</t>
    <phoneticPr fontId="26" type="noConversion"/>
  </si>
  <si>
    <t>七通</t>
  </si>
  <si>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</si>
  <si>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</si>
  <si>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</si>
  <si>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</si>
  <si>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</si>
  <si>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</si>
  <si>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</si>
  <si>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较好</t>
  </si>
  <si>
    <t>较好</t>
    <phoneticPr fontId="26" type="noConversion"/>
  </si>
  <si>
    <t>楼面地价</t>
  </si>
  <si>
    <t>丰台区南苑乡槐房村和新宫村1404-669、670、665、666、668地块（丰台区城乡一体化槐房村、新宫村旧村改造项目第一期B组团）</t>
    <phoneticPr fontId="3" type="noConversion"/>
  </si>
  <si>
    <t>单面临街</t>
  </si>
  <si>
    <t>未命名</t>
    <phoneticPr fontId="26" type="noConversion"/>
  </si>
  <si>
    <t>海淀区“海淀北部地区整体开发”永丰产业基地（新）HD00-0401-0146地块</t>
    <phoneticPr fontId="3" type="noConversion"/>
  </si>
  <si>
    <t>姚家园北一路</t>
    <phoneticPr fontId="26" type="noConversion"/>
  </si>
  <si>
    <t>较差</t>
  </si>
  <si>
    <t>一般</t>
  </si>
  <si>
    <t>住宅、养老、综合</t>
  </si>
  <si>
    <t>住宅、养老、综合</t>
    <phoneticPr fontId="26" type="noConversion"/>
  </si>
  <si>
    <r>
      <t>56.8</t>
    </r>
    <r>
      <rPr>
        <sz val="11"/>
        <color indexed="8"/>
        <rFont val="宋体"/>
        <family val="3"/>
        <charset val="134"/>
      </rPr>
      <t>、</t>
    </r>
    <r>
      <rPr>
        <sz val="11"/>
        <color indexed="8"/>
        <rFont val="Arial"/>
        <family val="2"/>
      </rPr>
      <t>36.8</t>
    </r>
    <phoneticPr fontId="26" type="noConversion"/>
  </si>
  <si>
    <t>周边有499、583路公交线路及地铁6号线经过，综合评价交通便捷度较好</t>
    <phoneticPr fontId="26" type="noConversion"/>
  </si>
  <si>
    <t>估价对象所在区域公共配套设施齐备度一般</t>
    <phoneticPr fontId="26" type="noConversion"/>
  </si>
  <si>
    <t>周边有翠海明苑、南庭新苑等居住项目，综合评价居住社区成熟度一般</t>
    <phoneticPr fontId="26" type="noConversion"/>
  </si>
  <si>
    <t>周边有南苑公园；综合评价环境状况一般</t>
    <phoneticPr fontId="26" type="noConversion"/>
  </si>
  <si>
    <t>周边有957、专59路公交线路及地铁4号线经过，综合评价交通便捷度较好</t>
    <phoneticPr fontId="26" type="noConversion"/>
  </si>
  <si>
    <t>周边有颐丰庄园及待开发土地，综合评价居住社区成熟度较差</t>
    <phoneticPr fontId="26" type="noConversion"/>
  </si>
  <si>
    <t>周边有上庄街心花园；综合评价环境状况一般</t>
    <phoneticPr fontId="26" type="noConversion"/>
  </si>
  <si>
    <t>周边有365、438路公交线路经过，综合评价交通便捷度一般</t>
    <phoneticPr fontId="26" type="noConversion"/>
  </si>
  <si>
    <t>周边有定福家园、苹果派等居住项目，综合评价居住社区成熟度一般</t>
    <phoneticPr fontId="26" type="noConversion"/>
  </si>
  <si>
    <t>周边有常营公园；综合评价环境状况一般</t>
    <phoneticPr fontId="26" type="noConversion"/>
  </si>
  <si>
    <t>比较法-住宅、综合</t>
  </si>
  <si>
    <t>剩余法-待开发</t>
  </si>
  <si>
    <t>银谷美泉家园</t>
    <phoneticPr fontId="3" type="noConversion"/>
  </si>
  <si>
    <t>林泉街8号院</t>
    <phoneticPr fontId="3" type="noConversion"/>
  </si>
  <si>
    <t>住宅</t>
    <phoneticPr fontId="21" type="noConversion"/>
  </si>
  <si>
    <t>50-60（含）</t>
  </si>
  <si>
    <t>60-70（含）</t>
  </si>
  <si>
    <t>高层板楼</t>
  </si>
  <si>
    <t>高层板楼</t>
    <phoneticPr fontId="21" type="noConversion"/>
  </si>
  <si>
    <t>多层板楼</t>
  </si>
  <si>
    <t>多层板楼</t>
    <phoneticPr fontId="21" type="noConversion"/>
  </si>
  <si>
    <t>精装修</t>
  </si>
  <si>
    <t>精装修</t>
    <phoneticPr fontId="21" type="noConversion"/>
  </si>
  <si>
    <t>钢混</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</si>
  <si>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</si>
  <si>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</si>
  <si>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</si>
  <si>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</si>
  <si>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</si>
  <si>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</si>
  <si>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</si>
  <si>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</si>
  <si>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</si>
  <si>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</si>
  <si>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</si>
  <si>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金隅凤麟洲</t>
    <phoneticPr fontId="3" type="noConversion"/>
  </si>
  <si>
    <t>姚家园西里甲7号院</t>
    <phoneticPr fontId="3" type="noConversion"/>
  </si>
  <si>
    <t>姚家园西里5号院</t>
    <phoneticPr fontId="3" type="noConversion"/>
  </si>
  <si>
    <t>逸翠园</t>
    <phoneticPr fontId="3" type="noConversion"/>
  </si>
  <si>
    <t>售价</t>
  </si>
  <si>
    <t>独栋</t>
  </si>
  <si>
    <t>独栋</t>
    <phoneticPr fontId="21" type="noConversion"/>
  </si>
  <si>
    <t>联排</t>
    <phoneticPr fontId="21" type="noConversion"/>
  </si>
  <si>
    <t>叠拼</t>
    <phoneticPr fontId="233" type="noConversion"/>
  </si>
  <si>
    <r>
      <rPr>
        <sz val="11"/>
        <rFont val="宋体"/>
        <family val="3"/>
        <charset val="134"/>
      </rPr>
      <t>周边有</t>
    </r>
    <r>
      <rPr>
        <sz val="11"/>
        <rFont val="Arial"/>
        <family val="2"/>
      </rPr>
      <t>530</t>
    </r>
    <r>
      <rPr>
        <sz val="11"/>
        <rFont val="宋体"/>
        <family val="3"/>
        <charset val="134"/>
      </rPr>
      <t>、专</t>
    </r>
    <r>
      <rPr>
        <sz val="11"/>
        <rFont val="Arial"/>
        <family val="2"/>
      </rPr>
      <t>81</t>
    </r>
    <r>
      <rPr>
        <sz val="11"/>
        <rFont val="宋体"/>
        <family val="3"/>
        <charset val="134"/>
      </rPr>
      <t>路公交线路经过，综合评价交通便捷度一般</t>
    </r>
    <phoneticPr fontId="233" type="noConversion"/>
  </si>
  <si>
    <t>周边有清河；综合评价环境状况一般</t>
    <phoneticPr fontId="233" type="noConversion"/>
  </si>
  <si>
    <t xml:space="preserve">保利首开·天誉 </t>
    <phoneticPr fontId="3" type="noConversion"/>
  </si>
  <si>
    <t>周边有首开常青藤、东坝家园等居住项目，综合评价居住社区成熟度一般</t>
    <phoneticPr fontId="233" type="noConversion"/>
  </si>
  <si>
    <t>周边有北京世纪国际艺术院；综合评价环境状况一般</t>
    <phoneticPr fontId="233" type="noConversion"/>
  </si>
  <si>
    <t>周边有431、571路公交线路经过，综合评价交通便捷度一般</t>
    <phoneticPr fontId="233" type="noConversion"/>
  </si>
  <si>
    <t>首城珑玺</t>
    <phoneticPr fontId="3" type="noConversion"/>
  </si>
  <si>
    <t>周边有天润福熙大道、润泽庄园等居住项目，综合评价居住社区成熟度一般</t>
    <phoneticPr fontId="233" type="noConversion"/>
  </si>
  <si>
    <t>车库</t>
    <phoneticPr fontId="27" type="noConversion"/>
  </si>
  <si>
    <t>30-40（含）</t>
  </si>
  <si>
    <t>40-50（含）</t>
  </si>
  <si>
    <t xml:space="preserve">恒大华府 </t>
    <phoneticPr fontId="3" type="noConversion"/>
  </si>
  <si>
    <t>元/车位</t>
  </si>
  <si>
    <t>专业</t>
    <phoneticPr fontId="27" type="noConversion"/>
  </si>
  <si>
    <t>简单装修</t>
  </si>
  <si>
    <t>简单装修</t>
    <phoneticPr fontId="27" type="noConversion"/>
  </si>
  <si>
    <t>平面车位</t>
  </si>
  <si>
    <t>平面车位</t>
    <phoneticPr fontId="27" type="noConversion"/>
  </si>
  <si>
    <r>
      <rPr>
        <sz val="11"/>
        <color theme="9" tint="-0.249977111117893"/>
        <rFont val="宋体"/>
        <family val="3"/>
        <charset val="134"/>
      </rPr>
      <t>公园</t>
    </r>
    <r>
      <rPr>
        <sz val="11"/>
        <color theme="9" tint="-0.249977111117893"/>
        <rFont val="Arial"/>
        <family val="2"/>
      </rPr>
      <t xml:space="preserve">1872 </t>
    </r>
    <phoneticPr fontId="27" type="noConversion"/>
  </si>
  <si>
    <t>办公</t>
    <phoneticPr fontId="27" type="noConversion"/>
  </si>
  <si>
    <t>逸翠园</t>
    <phoneticPr fontId="27" type="noConversion"/>
  </si>
  <si>
    <t>周边有红领巾公园；综合评价环境状况一般</t>
    <phoneticPr fontId="233" type="noConversion"/>
  </si>
  <si>
    <t>估价对象所在区域公共配套设施齐备度较好</t>
    <phoneticPr fontId="3" type="noConversion"/>
  </si>
  <si>
    <t>周边有640、675路公交线路及地铁6号线经过，综合评价交通便捷度较好</t>
    <phoneticPr fontId="233" type="noConversion"/>
  </si>
  <si>
    <t>居住用地（指二类居住用地）</t>
  </si>
  <si>
    <t>六通一平</t>
  </si>
  <si>
    <t>缺少</t>
  </si>
  <si>
    <t>通热</t>
  </si>
  <si>
    <t>按公示增长率计算</t>
  </si>
  <si>
    <t>容积率修正</t>
  </si>
  <si>
    <t>好</t>
  </si>
  <si>
    <t>不临58条商业街</t>
  </si>
  <si>
    <t>地下车库</t>
    <phoneticPr fontId="9" type="noConversion"/>
  </si>
  <si>
    <t>地下仓储</t>
    <phoneticPr fontId="9" type="noConversion"/>
  </si>
  <si>
    <t>地下物业</t>
    <phoneticPr fontId="9" type="noConversion"/>
  </si>
  <si>
    <t>润泽御府</t>
    <phoneticPr fontId="3" type="noConversion"/>
  </si>
  <si>
    <t>有地下仓储</t>
    <phoneticPr fontId="233" type="noConversion"/>
  </si>
  <si>
    <t>有</t>
    <phoneticPr fontId="233" type="noConversion"/>
  </si>
  <si>
    <t>无</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</si>
</sst>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53" fillId="6" borderId="11" xfId="0" applyFont="1" applyFill="1" applyBorder="1" applyAlignment="1" applyProtection="1">
      <alignment vertical="center"/>
      <protection locked="0"/>
    </xf>
    <xf numFmtId="49" fontId="58"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4" fillId="8" borderId="11" xfId="0" applyFont="1" applyFill="1" applyBorder="1" applyAlignment="1" applyProtection="1">
      <alignment vertical="center"/>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2664</v>
      </c>
      <c r="B1" s="2921" t="s">
        <v>2761</v>
      </c>
    </row>
    <row r="2" spans="1:55" s="2925" customFormat="1" ht="15" thickTop="1">
      <c r="A2" s="2923" t="s">
        <v>2668</v>
      </c>
      <c r="B2" s="2924" t="str">
        <f>'预评函-封皮'!B37</f>
        <v>北京市出让国有建设用地使用权抵押价格预评估</v>
      </c>
      <c r="AX2" s="2926"/>
      <c r="AZ2" s="2926"/>
      <c r="BA2" s="2927"/>
      <c r="BC2" s="2927"/>
    </row>
    <row r="3" spans="1:55" s="2928" customFormat="1">
      <c r="A3" s="2907" t="s">
        <v>2669</v>
      </c>
      <c r="B3" s="2910" t="str">
        <f>'预评函-封皮'!B40</f>
        <v>和记黄埔地产（北京朝阳）有限公司</v>
      </c>
    </row>
    <row r="4" spans="1:55" s="2909" customFormat="1">
      <c r="A4" s="2907" t="s">
        <v>2670</v>
      </c>
      <c r="B4" s="2908" t="str">
        <f>'预评函-封皮'!B46</f>
        <v>赵雯、欧红伟、梁津</v>
      </c>
      <c r="N4" s="2909" t="str">
        <f>'预评函-1'!A28</f>
        <v>本次估价的“抵押净值”是指估价对象“抵押价格”减去估价对象在估价期日以“土地销售收入”为基数计算的预计抵押权实现进行处置时需缴纳的各项费用、税金等相关费用后的价格。</v>
      </c>
    </row>
    <row r="5" spans="1:55" s="2922" customFormat="1" ht="15" thickBot="1">
      <c r="A5" s="2929" t="s">
        <v>2671</v>
      </c>
      <c r="B5" s="2930" t="str">
        <f>'预评函-封皮'!B49</f>
        <v>康正预评字号</v>
      </c>
    </row>
    <row r="6" spans="1:55" s="2931" customFormat="1" ht="15" thickTop="1">
      <c r="A6" s="2923" t="s">
        <v>2713</v>
      </c>
      <c r="B6" s="2924" t="str">
        <f>'预评函-1'!A4</f>
        <v>受贵公司委托，我公司对北京市出让国有建设用地使用权抵押价格进行了预评估。</v>
      </c>
      <c r="AM6" s="2932"/>
    </row>
    <row r="7" spans="1:55" s="2906" customFormat="1">
      <c r="A7" s="2907" t="s">
        <v>2665</v>
      </c>
      <c r="B7" s="2908" t="str">
        <f>'预评函-1'!A6</f>
        <v>估价对象为使用的、位于北京市出让国有建设用地使用权。根据《国有土地使用证》[]，估价对象（分摊）出让国有建设用地使用权面积为97801.4平方米。根据《建设工程规划许可证》[]、《出让合同》[]，估价对象规划建筑面积为300788.66平方米。</v>
      </c>
    </row>
    <row r="8" spans="1:55" s="2906" customFormat="1">
      <c r="A8" s="2907" t="s">
        <v>2666</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2716</v>
      </c>
      <c r="B9" s="2908" t="str">
        <f>'预评函-1'!A9</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2667</v>
      </c>
      <c r="B10" s="2908" t="str">
        <f>'预评函-1'!A11</f>
        <v>2017年11月8日（评估专业人员勘察现场之日）</v>
      </c>
    </row>
    <row r="11" spans="1:55" s="2906" customFormat="1">
      <c r="A11" s="2907" t="s">
        <v>2673</v>
      </c>
      <c r="B11" s="2908" t="str">
        <f>'预评函-1'!A14</f>
        <v>根据《国有土地使用证》[]，本次评估估价对象证载（地类）用途为。</v>
      </c>
    </row>
    <row r="12" spans="1:55" s="2906" customFormat="1">
      <c r="A12" s="2907" t="s">
        <v>2674</v>
      </c>
      <c r="B12" s="2908" t="str">
        <f>'预评函-1'!A15</f>
        <v>本次评估设定用途即为证载用途。</v>
      </c>
    </row>
    <row r="13" spans="1:55" s="2906" customFormat="1">
      <c r="A13" s="2907" t="s">
        <v>2675</v>
      </c>
      <c r="B13" s="2908" t="str">
        <f>'预评函-1'!A17</f>
        <v>根据委托估价方介绍及评估专业人员现场勘查，本次评估估价对象实际土地开发程度为红线外市政基础设施达“七通”（即通路、通电、通讯、通上水、通下水、燃气、）、宗地红线内场地平整。</v>
      </c>
    </row>
    <row r="14" spans="1:55" s="2906" customFormat="1">
      <c r="A14" s="2907" t="s">
        <v>2676</v>
      </c>
      <c r="B14" s="2908" t="str">
        <f>'预评函-1'!A18</f>
        <v>本次评估设定土地开发程度为红线外市政基础设施达“七通”、宗地红线内场地平整。</v>
      </c>
    </row>
    <row r="15" spans="1:55" s="2906" customFormat="1">
      <c r="A15" s="2907" t="s">
        <v>2672</v>
      </c>
      <c r="B15" s="2908" t="str">
        <f>'预评函-1'!A20</f>
        <v>根据《国有土地使用证》[]，估价对象（分摊）出让国有建设用地使用权面积为97801.4平方米。根据《建设工程规划许可证》[]、《出让合同》[]，估价对象规划建筑面积为300788.66平方米。</v>
      </c>
    </row>
    <row r="16" spans="1:55" s="2906" customFormat="1">
      <c r="A16" s="2907" t="s">
        <v>2677</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2074年8月30日、商业2044年8月30日、办公2054年8月30日、车库2054年8月30日、仓储2054年8月30日。截至估价期日，出让国有建设用地使用权剩余土地使用年限为。</v>
      </c>
    </row>
    <row r="17" spans="1:48" s="2906" customFormat="1">
      <c r="A17" s="2907" t="s">
        <v>2678</v>
      </c>
      <c r="B17" s="2908" t="str">
        <f>'预评函-1'!A23</f>
        <v>本次评估设定估价对象剩余土地使用年限为。</v>
      </c>
    </row>
    <row r="18" spans="1:48" s="2906" customFormat="1">
      <c r="A18" s="2907" t="s">
        <v>2679</v>
      </c>
      <c r="B18" s="2908"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row>
    <row r="19" spans="1:48" s="2906" customFormat="1">
      <c r="A19" s="2907" t="s">
        <v>2680</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2681</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2682</v>
      </c>
      <c r="B21" s="29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8" t="s">
        <v>2683</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2684</v>
      </c>
      <c r="B23" s="2908" t="str">
        <f>'预评函-2'!K2</f>
        <v>估价期日：2017年11月8日</v>
      </c>
    </row>
    <row r="24" spans="1:48">
      <c r="A24" s="2907" t="s">
        <v>2685</v>
      </c>
      <c r="B24" s="2908" t="str">
        <f>'预评函-2'!R2</f>
        <v>估价期日的国有建设用地使用权性质：出让</v>
      </c>
    </row>
    <row r="25" spans="1:48">
      <c r="A25" s="2907" t="s">
        <v>2741</v>
      </c>
      <c r="B25" s="2908" t="str">
        <f>'预评函-2'!A3</f>
        <v>估价期日土地使用者</v>
      </c>
    </row>
    <row r="26" spans="1:48">
      <c r="A26" s="2907" t="s">
        <v>2717</v>
      </c>
      <c r="B26" s="2908" t="str">
        <f>'预评函-2'!A5</f>
        <v>中信开发</v>
      </c>
    </row>
    <row r="27" spans="1:48">
      <c r="A27" s="2907" t="s">
        <v>2742</v>
      </c>
      <c r="B27" s="2908" t="str">
        <f>'预评函-2'!B3</f>
        <v>宗地编号/不动产单元号</v>
      </c>
    </row>
    <row r="28" spans="1:48">
      <c r="A28" s="2907" t="s">
        <v>2718</v>
      </c>
      <c r="B28" s="2908" t="str">
        <f>'预评函-2'!B5</f>
        <v>11111111111</v>
      </c>
    </row>
    <row r="29" spans="1:48">
      <c r="A29" s="2907" t="s">
        <v>2744</v>
      </c>
      <c r="B29" s="2908">
        <f>'预评函-2'!C5</f>
        <v>22</v>
      </c>
    </row>
    <row r="30" spans="1:48">
      <c r="A30" s="2907" t="s">
        <v>2745</v>
      </c>
      <c r="B30" s="2908" t="str">
        <f>'预评函-2'!D3</f>
        <v>土地使用证编号/不动产权证书编号</v>
      </c>
    </row>
    <row r="31" spans="1:48">
      <c r="A31" s="2907" t="s">
        <v>2719</v>
      </c>
      <c r="B31" s="2908" t="str">
        <f>'预评函-2'!D5</f>
        <v>京国土字第111号</v>
      </c>
    </row>
    <row r="32" spans="1:48">
      <c r="A32" s="2907" t="s">
        <v>2720</v>
      </c>
      <c r="B32" s="2908">
        <f>'预评函-2'!E5</f>
        <v>0</v>
      </c>
      <c r="AV32" s="2912"/>
    </row>
    <row r="33" spans="1:2">
      <c r="A33" s="2907" t="s">
        <v>2721</v>
      </c>
      <c r="B33" s="2908">
        <f>'预评函-2'!F5</f>
        <v>258</v>
      </c>
    </row>
    <row r="34" spans="1:2">
      <c r="A34" s="2907" t="s">
        <v>2722</v>
      </c>
      <c r="B34" s="2908">
        <f>'预评函-2'!G5</f>
        <v>0</v>
      </c>
    </row>
    <row r="35" spans="1:2">
      <c r="A35" s="2907" t="s">
        <v>2723</v>
      </c>
      <c r="B35" s="2908">
        <f>'预评函-2'!H5</f>
        <v>1.5</v>
      </c>
    </row>
    <row r="36" spans="1:2">
      <c r="A36" s="2907" t="s">
        <v>2724</v>
      </c>
      <c r="B36" s="2908">
        <f>'预评函-2'!I5</f>
        <v>1.5</v>
      </c>
    </row>
    <row r="37" spans="1:2">
      <c r="A37" s="2907" t="s">
        <v>2725</v>
      </c>
      <c r="B37" s="2908">
        <f>'预评函-2'!J5</f>
        <v>1.5</v>
      </c>
    </row>
    <row r="38" spans="1:2">
      <c r="A38" s="2907" t="s">
        <v>2726</v>
      </c>
      <c r="B38" s="2908" t="str">
        <f>'预评函-2'!K5</f>
        <v>红线外七通、宗地红线内场地平整</v>
      </c>
    </row>
    <row r="39" spans="1:2">
      <c r="A39" s="2907" t="s">
        <v>2727</v>
      </c>
      <c r="B39" s="2908" t="str">
        <f>'预评函-2'!L5</f>
        <v>红线外七通、宗地红线内场地</v>
      </c>
    </row>
    <row r="40" spans="1:2">
      <c r="A40" s="2907" t="s">
        <v>2746</v>
      </c>
      <c r="B40" s="2908" t="str">
        <f>'预评函-2'!M3</f>
        <v>（剩余）土地使用年限/年</v>
      </c>
    </row>
    <row r="41" spans="1:2">
      <c r="A41" s="2907" t="s">
        <v>2728</v>
      </c>
      <c r="B41" s="2908">
        <f>'预评函-2'!M5</f>
        <v>0</v>
      </c>
    </row>
    <row r="42" spans="1:2">
      <c r="A42" s="2907" t="s">
        <v>2747</v>
      </c>
      <c r="B42" s="2908" t="str">
        <f>'预评函-2'!N3</f>
        <v>（分摊）出让国有建设用地使用权面积/㎡</v>
      </c>
    </row>
    <row r="43" spans="1:2">
      <c r="A43" s="2907" t="s">
        <v>2729</v>
      </c>
      <c r="B43" s="2908">
        <f>'预评函-2'!N5</f>
        <v>97801.4</v>
      </c>
    </row>
    <row r="44" spans="1:2">
      <c r="A44" s="2907" t="s">
        <v>2748</v>
      </c>
      <c r="B44" s="2908" t="str">
        <f>'预评函-2'!O3</f>
        <v>规划建筑面积/㎡</v>
      </c>
    </row>
    <row r="45" spans="1:2">
      <c r="A45" s="2907" t="s">
        <v>2730</v>
      </c>
      <c r="B45" s="2908">
        <f>'预评函-2'!O5</f>
        <v>300788.65999999997</v>
      </c>
    </row>
    <row r="46" spans="1:2">
      <c r="A46" s="2907" t="s">
        <v>2731</v>
      </c>
      <c r="B46" s="2908">
        <f ca="1">'预评函-2'!P5</f>
        <v>100744</v>
      </c>
    </row>
    <row r="47" spans="1:2">
      <c r="A47" s="2907" t="s">
        <v>2732</v>
      </c>
      <c r="B47" s="2908">
        <f ca="1">'预评函-2'!Q5</f>
        <v>32757</v>
      </c>
    </row>
    <row r="48" spans="1:2">
      <c r="A48" s="2907" t="s">
        <v>2733</v>
      </c>
      <c r="B48" s="2908">
        <f ca="1">'预评函-2'!R5</f>
        <v>985289</v>
      </c>
    </row>
    <row r="49" spans="1:2">
      <c r="A49" s="2907" t="s">
        <v>2749</v>
      </c>
      <c r="B49" s="2908" t="str">
        <f>'预评函-2'!A6</f>
        <v>抵押价格</v>
      </c>
    </row>
    <row r="50" spans="1:2">
      <c r="A50" s="2907" t="s">
        <v>2734</v>
      </c>
      <c r="B50" s="2908">
        <f ca="1">'预评函-2'!R6</f>
        <v>985289</v>
      </c>
    </row>
    <row r="51" spans="1:2">
      <c r="A51" s="2907" t="s">
        <v>2750</v>
      </c>
      <c r="B51" s="2908" t="str">
        <f>'预评函-2'!A7</f>
        <v>——</v>
      </c>
    </row>
    <row r="52" spans="1:2">
      <c r="A52" s="2907" t="s">
        <v>2735</v>
      </c>
      <c r="B52" s="2908" t="str">
        <f>'预评函-2'!R7</f>
        <v>——</v>
      </c>
    </row>
    <row r="53" spans="1:2">
      <c r="A53" s="2907" t="s">
        <v>2751</v>
      </c>
      <c r="B53" s="2908">
        <f>'预评函-2'!A8</f>
        <v>0</v>
      </c>
    </row>
    <row r="54" spans="1:2" s="2922" customFormat="1" ht="15" thickBot="1">
      <c r="A54" s="2929" t="s">
        <v>2736</v>
      </c>
      <c r="B54" s="2930" t="str">
        <f>'预评函-2'!R8</f>
        <v>——</v>
      </c>
    </row>
    <row r="55" spans="1:2" ht="15" thickTop="1">
      <c r="A55" s="2918" t="s">
        <v>2686</v>
      </c>
      <c r="B55" s="2919" t="str">
        <f>'预评函-3'!A2</f>
        <v>1.权利限制：根据估价对象《不动产权证书》原件、《国有土地使用权》复印件，截至估价期日，估价对象抵押权未见登记。未设定租赁等其他他项权利。</v>
      </c>
    </row>
    <row r="56" spans="1:2">
      <c r="A56" s="2907" t="s">
        <v>2687</v>
      </c>
      <c r="B56" s="2908" t="str">
        <f>'预评函-3'!A3</f>
        <v>2.基础设施条件：估价对象实际开发程度为红线外七通、宗地红线内场地平整；本次评估设定开发程度为红线外七通、宗地红线内场地。</v>
      </c>
    </row>
    <row r="57" spans="1:2">
      <c r="A57" s="2907" t="s">
        <v>2688</v>
      </c>
      <c r="B57" s="2908" t="str">
        <f>'预评函-3'!A4</f>
        <v>3.估价规划限制条件：详见《建设工程规划许可证》[]、《出让合同》[]。</v>
      </c>
    </row>
    <row r="58" spans="1:2" s="2922" customFormat="1" ht="15" thickBot="1">
      <c r="A58" s="2929" t="s">
        <v>2737</v>
      </c>
      <c r="B58" s="2930" t="str">
        <f>'预评函-3'!A5</f>
        <v>4.影响价格的其他限定条件：无。</v>
      </c>
    </row>
    <row r="59" spans="1:2" ht="15" thickTop="1">
      <c r="A59" s="2918" t="s">
        <v>2689</v>
      </c>
      <c r="B59" s="2919" t="str">
        <f>'预评函-3'!A8</f>
        <v>2.本《评估意见函》仅供金融机构进行内部审核使用，不做其他目的之用。</v>
      </c>
    </row>
    <row r="60" spans="1:2">
      <c r="A60" s="2907" t="s">
        <v>2690</v>
      </c>
      <c r="B60" s="2908" t="str">
        <f>'预评函-3'!A9</f>
        <v>3.抵押双方在办理抵押登记手续时，应使用本公司出具的正式《土地估价报告》，特提请报告使用者注意。</v>
      </c>
    </row>
    <row r="61" spans="1:2">
      <c r="A61" s="2907" t="s">
        <v>2692</v>
      </c>
      <c r="B61" s="2908" t="str">
        <f>'预评函-3'!A10</f>
        <v>4.估价师所知悉的法定优先受偿款情况为：</v>
      </c>
    </row>
    <row r="62" spans="1:2">
      <c r="A62" s="2907" t="s">
        <v>2691</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2693</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2694</v>
      </c>
      <c r="B64" s="2913" t="str">
        <f>'预评函-3'!A13</f>
        <v>（3）。</v>
      </c>
    </row>
    <row r="65" spans="1:2">
      <c r="A65" s="2907" t="s">
        <v>2695</v>
      </c>
      <c r="B65" s="2914" t="str">
        <f>'预评函-3'!A14</f>
        <v>综上，本次评估不存在估价师知悉的法定优先受偿款</v>
      </c>
    </row>
    <row r="66" spans="1:2">
      <c r="A66" s="2907" t="s">
        <v>2696</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2697</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2700</v>
      </c>
      <c r="B68" s="2933">
        <f>'预评函-3'!D30</f>
        <v>42558</v>
      </c>
    </row>
    <row r="69" spans="1:2" ht="15" thickTop="1">
      <c r="A69" s="2918" t="s">
        <v>2698</v>
      </c>
      <c r="B69" s="2919" t="str">
        <f>'预评函-3'!A20</f>
        <v>赵雯</v>
      </c>
    </row>
    <row r="70" spans="1:2">
      <c r="A70" s="2907" t="s">
        <v>2698</v>
      </c>
      <c r="B70" s="2914">
        <f ca="1">'预评函-3'!B20</f>
        <v>2011110090</v>
      </c>
    </row>
    <row r="71" spans="1:2">
      <c r="A71" s="2907" t="s">
        <v>2699</v>
      </c>
      <c r="B71" s="2908" t="str">
        <f>'预评函-3'!A21</f>
        <v>欧红伟</v>
      </c>
    </row>
    <row r="72" spans="1:2" s="2922" customFormat="1" ht="15" thickBot="1">
      <c r="A72" s="2929" t="s">
        <v>2699</v>
      </c>
      <c r="B72" s="2935">
        <f ca="1">'预评函-3'!B21</f>
        <v>2000110082</v>
      </c>
    </row>
    <row r="73" spans="1:2" ht="15" thickTop="1">
      <c r="A73" s="2918" t="s">
        <v>2758</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2759</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2760</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2794</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F64" sqref="F6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1940</v>
      </c>
      <c r="B1" s="3229" t="str">
        <f>IF(B10="北京市","北京市",C10)&amp;F10&amp;B16&amp;"国有建设用地使用权"&amp;B9&amp;"预评估"</f>
        <v>北京市出让国有建设用地使用权抵押价格预评估</v>
      </c>
      <c r="C1" s="3230"/>
      <c r="D1" s="3230"/>
      <c r="E1" s="3230"/>
      <c r="F1" s="3230"/>
      <c r="G1" s="3230"/>
      <c r="H1" s="3230"/>
      <c r="I1" s="3231"/>
      <c r="J1" s="1696"/>
      <c r="K1" s="2482" t="str">
        <f>IF(B10="北京市","北京市",C10)&amp;F10&amp;B16&amp;"国有建设用地使用权"&amp;B9</f>
        <v>北京市出让国有建设用地使用权抵押价格</v>
      </c>
      <c r="L1" s="1725"/>
      <c r="M1" s="1725"/>
      <c r="N1" s="1696"/>
      <c r="O1" s="1697"/>
      <c r="P1" s="1696"/>
      <c r="Q1" s="1696"/>
      <c r="R1" s="1696"/>
      <c r="S1" s="1696"/>
      <c r="T1" s="1696"/>
      <c r="U1" s="1696"/>
    </row>
    <row r="2" spans="1:21">
      <c r="A2" s="1662" t="s">
        <v>1941</v>
      </c>
      <c r="B2" s="1844"/>
      <c r="D2" s="1696"/>
      <c r="E2" s="1696"/>
      <c r="F2" s="1696"/>
      <c r="G2" s="1696"/>
      <c r="H2" s="1662"/>
      <c r="I2" s="1697"/>
      <c r="J2" s="1696"/>
      <c r="K2" s="2482" t="str">
        <f>IF(B10="北京市","北京市",C10)&amp;F10&amp;B16&amp;"国有建设用地使用权"</f>
        <v>北京市出让国有建设用地使用权</v>
      </c>
      <c r="L2" s="1725"/>
      <c r="M2" s="1725"/>
      <c r="N2" s="1696"/>
      <c r="O2" s="1697"/>
      <c r="P2" s="1696"/>
      <c r="Q2" s="1696"/>
      <c r="R2" s="1696"/>
      <c r="S2" s="1696"/>
      <c r="T2" s="1696"/>
      <c r="U2" s="1696"/>
    </row>
    <row r="3" spans="1:21">
      <c r="A3" s="1663" t="s">
        <v>1942</v>
      </c>
      <c r="B3" s="1664">
        <v>43047</v>
      </c>
      <c r="C3" s="1665" t="s">
        <v>1998</v>
      </c>
      <c r="D3" s="1664">
        <f>B3</f>
        <v>43047</v>
      </c>
      <c r="E3" s="1696"/>
      <c r="F3" s="1696"/>
      <c r="G3" s="1696"/>
      <c r="H3" s="1662"/>
      <c r="I3" s="1697"/>
      <c r="J3" s="1696"/>
      <c r="K3" s="1776"/>
      <c r="L3" s="1725"/>
      <c r="M3" s="1725"/>
      <c r="N3" s="1696"/>
      <c r="O3" s="1697"/>
      <c r="P3" s="1696"/>
      <c r="Q3" s="1696"/>
      <c r="R3" s="1696"/>
      <c r="S3" s="1696"/>
      <c r="T3" s="1696"/>
      <c r="U3" s="1696"/>
    </row>
    <row r="4" spans="1:21" ht="15" thickBot="1">
      <c r="A4" s="1666" t="s">
        <v>1943</v>
      </c>
      <c r="B4" s="1845" t="s">
        <v>2975</v>
      </c>
      <c r="C4" s="1848">
        <f ca="1">SUMIF(土地估价师,B4,估价师及机构信息!E3:E24)</f>
        <v>2011110090</v>
      </c>
      <c r="D4" s="1845" t="s">
        <v>2976</v>
      </c>
      <c r="E4" s="1848">
        <f ca="1">SUMIF(土地估价师,D4,估价师及机构信息!E3:E24)</f>
        <v>2000110082</v>
      </c>
      <c r="F4" s="1845" t="s">
        <v>2977</v>
      </c>
      <c r="G4" s="1848">
        <f ca="1">SUMIF(土地估价师,F4,估价师及机构信息!E3:E24)</f>
        <v>96010014</v>
      </c>
      <c r="H4" s="1845" t="s">
        <v>952</v>
      </c>
      <c r="I4" s="1848">
        <f>SUMIF(土地估价师,H4,估价师及机构信息!E3:E24)</f>
        <v>0</v>
      </c>
      <c r="J4" s="1696"/>
      <c r="K4" s="2482" t="str">
        <f>IF(AND(F4="——",H4="——"),B4&amp;"、"&amp;D4,IF(AND(F4&lt;&gt;"——",H4="——"),B4&amp;"、"&amp;D4&amp;"、"&amp;F4,B4&amp;"、"&amp;D4&amp;"、"&amp;F4&amp;"、"&amp;H4))</f>
        <v>赵雯、欧红伟、梁津</v>
      </c>
      <c r="L4" s="1725"/>
      <c r="M4" s="1725"/>
      <c r="N4" s="1696"/>
      <c r="O4" s="1697"/>
      <c r="P4" s="1696"/>
      <c r="Q4" s="1696"/>
      <c r="R4" s="1696"/>
      <c r="S4" s="1696"/>
      <c r="T4" s="1696"/>
      <c r="U4" s="1696"/>
    </row>
    <row r="5" spans="1:21" ht="15" thickTop="1">
      <c r="A5" s="1667" t="s">
        <v>1944</v>
      </c>
      <c r="B5" s="1791" t="s">
        <v>2978</v>
      </c>
      <c r="C5" s="1668"/>
      <c r="D5" s="1669"/>
      <c r="E5" s="1696"/>
      <c r="F5" s="1696"/>
      <c r="G5" s="1696"/>
      <c r="H5" s="1662"/>
      <c r="I5" s="1697"/>
      <c r="J5" s="1696"/>
      <c r="K5" s="1776"/>
      <c r="L5" s="1725"/>
      <c r="M5" s="1725"/>
      <c r="N5" s="1696"/>
      <c r="O5" s="1697"/>
      <c r="P5" s="1696"/>
      <c r="Q5" s="1696"/>
      <c r="R5" s="1696"/>
      <c r="S5" s="1696"/>
      <c r="T5" s="1696"/>
      <c r="U5" s="1696"/>
    </row>
    <row r="6" spans="1:21" ht="26.25">
      <c r="A6" s="1665" t="s">
        <v>2714</v>
      </c>
      <c r="B6" s="1791" t="s">
        <v>2979</v>
      </c>
      <c r="C6" s="1763"/>
      <c r="D6" s="1670"/>
      <c r="E6" s="1696"/>
      <c r="F6" s="1696"/>
      <c r="G6" s="1696"/>
      <c r="H6" s="1662"/>
      <c r="I6" s="1697"/>
      <c r="J6" s="1696"/>
      <c r="K6" s="3083" t="str">
        <f>IF(COUNTIF(B6,"*上海银行*"),"上海银行","")</f>
        <v/>
      </c>
      <c r="L6" s="1725"/>
      <c r="M6" s="1725"/>
      <c r="N6" s="1696"/>
      <c r="O6" s="1697"/>
      <c r="P6" s="1696"/>
      <c r="Q6" s="1696"/>
      <c r="R6" s="1696"/>
      <c r="S6" s="1696"/>
      <c r="T6" s="1696"/>
      <c r="U6" s="1696"/>
    </row>
    <row r="7" spans="1:21">
      <c r="A7" s="1671" t="s">
        <v>2715</v>
      </c>
      <c r="B7" s="1791" t="str">
        <f>B5</f>
        <v>和记黄埔地产（北京朝阳）有限公司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1945</v>
      </c>
      <c r="B8" s="1672" t="s">
        <v>2980</v>
      </c>
      <c r="C8" s="1673"/>
      <c r="D8" s="3235" t="s">
        <v>1947</v>
      </c>
      <c r="E8" s="1846" t="s">
        <v>2981</v>
      </c>
      <c r="F8" s="1674"/>
      <c r="G8" s="1662"/>
      <c r="H8" s="1662"/>
      <c r="I8" s="1709"/>
      <c r="J8" s="1696"/>
      <c r="K8" s="1776"/>
      <c r="L8" s="1725"/>
      <c r="M8" s="1725"/>
      <c r="N8" s="1696"/>
      <c r="O8" s="1697"/>
      <c r="P8" s="1696"/>
      <c r="Q8" s="1696"/>
      <c r="R8" s="1696"/>
      <c r="S8" s="1696"/>
      <c r="T8" s="1696"/>
      <c r="U8" s="1696"/>
    </row>
    <row r="9" spans="1:21" ht="15" thickBot="1">
      <c r="A9" s="1675" t="s">
        <v>1946</v>
      </c>
      <c r="B9" s="1676" t="s">
        <v>2981</v>
      </c>
      <c r="C9" s="1677"/>
      <c r="D9" s="3236"/>
      <c r="E9" s="1676"/>
      <c r="F9" s="1749"/>
      <c r="G9" s="1744"/>
      <c r="H9" s="1744"/>
      <c r="I9" s="1745"/>
      <c r="J9" s="1696"/>
      <c r="K9" s="1776"/>
      <c r="L9" s="1725"/>
      <c r="M9" s="1725"/>
      <c r="N9" s="1696"/>
      <c r="O9" s="1697"/>
      <c r="P9" s="1696"/>
      <c r="Q9" s="1696"/>
      <c r="R9" s="1696"/>
      <c r="S9" s="1696"/>
      <c r="T9" s="1696"/>
      <c r="U9" s="1696"/>
    </row>
    <row r="10" spans="1:21" ht="15" thickTop="1">
      <c r="A10" s="1746" t="s">
        <v>2002</v>
      </c>
      <c r="B10" s="1721" t="s">
        <v>1948</v>
      </c>
      <c r="C10" s="1678"/>
      <c r="D10" s="1669"/>
      <c r="E10" s="1679" t="s">
        <v>1949</v>
      </c>
      <c r="F10" s="1680"/>
      <c r="G10" s="1747"/>
      <c r="H10" s="1748"/>
      <c r="I10" s="1669"/>
      <c r="J10" s="1696"/>
      <c r="K10" s="1776"/>
      <c r="L10" s="1725"/>
      <c r="M10" s="1725"/>
      <c r="N10" s="1696"/>
      <c r="O10" s="1697"/>
      <c r="P10" s="1696"/>
      <c r="Q10" s="1696"/>
      <c r="R10" s="1696"/>
      <c r="S10" s="1696"/>
      <c r="T10" s="1696"/>
      <c r="U10" s="1696"/>
    </row>
    <row r="11" spans="1:21">
      <c r="A11" s="1699" t="s">
        <v>2003</v>
      </c>
      <c r="B11" s="1700" t="s">
        <v>2982</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2061</v>
      </c>
      <c r="B12" s="3232"/>
      <c r="C12" s="3233"/>
      <c r="D12" s="3234"/>
      <c r="E12" s="1701" t="s">
        <v>2064</v>
      </c>
      <c r="F12" s="3250" t="s">
        <v>2896</v>
      </c>
      <c r="G12" s="3251"/>
      <c r="H12" s="3251"/>
      <c r="I12" s="3252"/>
      <c r="J12" s="1696"/>
      <c r="K12" s="1776"/>
      <c r="L12" s="1725"/>
      <c r="M12" s="1725"/>
      <c r="N12" s="1696"/>
      <c r="O12" s="1697"/>
      <c r="P12" s="1696"/>
      <c r="Q12" s="1696"/>
      <c r="R12" s="1696"/>
      <c r="S12" s="1696"/>
      <c r="T12" s="1696"/>
      <c r="U12" s="1696"/>
    </row>
    <row r="13" spans="1:21">
      <c r="A13" s="1689" t="s">
        <v>2062</v>
      </c>
      <c r="B13" s="3232"/>
      <c r="C13" s="3233"/>
      <c r="D13" s="3234"/>
      <c r="E13" s="1701" t="s">
        <v>2064</v>
      </c>
      <c r="F13" s="3250" t="s">
        <v>2897</v>
      </c>
      <c r="G13" s="3251"/>
      <c r="H13" s="3251"/>
      <c r="I13" s="3252"/>
      <c r="J13" s="1696"/>
      <c r="K13" s="1776"/>
      <c r="L13" s="1725"/>
      <c r="M13" s="1725"/>
      <c r="N13" s="1696"/>
      <c r="O13" s="1697"/>
      <c r="P13" s="1696"/>
      <c r="Q13" s="1696"/>
      <c r="R13" s="1696"/>
      <c r="S13" s="1696"/>
      <c r="T13" s="1696"/>
      <c r="U13" s="1696"/>
    </row>
    <row r="14" spans="1:21">
      <c r="A14" s="1663" t="s">
        <v>2065</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1952</v>
      </c>
      <c r="E15" s="1768" t="s">
        <v>1953</v>
      </c>
      <c r="F15" s="1768" t="s">
        <v>1954</v>
      </c>
      <c r="G15" s="1688" t="s">
        <v>1955</v>
      </c>
      <c r="H15" s="1688" t="s">
        <v>1956</v>
      </c>
      <c r="I15" s="1688" t="s">
        <v>1957</v>
      </c>
      <c r="J15" s="1696"/>
      <c r="K15" s="1776"/>
      <c r="L15" s="1725"/>
      <c r="M15" s="1725"/>
      <c r="N15" s="1696"/>
      <c r="O15" s="1697"/>
      <c r="P15" s="1696"/>
      <c r="Q15" s="1696"/>
      <c r="R15" s="1696"/>
      <c r="S15" s="1696"/>
      <c r="T15" s="1696"/>
      <c r="U15" s="1696"/>
    </row>
    <row r="16" spans="1:21" ht="28.5">
      <c r="A16" s="1682" t="s">
        <v>1950</v>
      </c>
      <c r="B16" s="1683" t="s">
        <v>2983</v>
      </c>
      <c r="C16" s="1701" t="s">
        <v>1951</v>
      </c>
      <c r="D16" s="2674" t="s">
        <v>1952</v>
      </c>
      <c r="E16" s="1724" t="s">
        <v>2984</v>
      </c>
      <c r="F16" s="1724" t="s">
        <v>1678</v>
      </c>
      <c r="G16" s="1724" t="s">
        <v>2985</v>
      </c>
      <c r="H16" s="1724" t="s">
        <v>3006</v>
      </c>
      <c r="I16" s="1688" t="s">
        <v>1957</v>
      </c>
      <c r="J16" s="1696"/>
      <c r="K16" s="2483" t="str">
        <f>IF(D17="","",D16&amp;TEXT(D17,"yyyy年m月d日;;"))</f>
        <v>住宅2074年8月30日</v>
      </c>
      <c r="L16" s="1701" t="str">
        <f>IF(OR(K16="",M16=""),"","、")</f>
        <v>、</v>
      </c>
      <c r="M16" s="2483" t="str">
        <f>IF(E17="","",E16&amp;TEXT(E17,"yyyy年m月d日;;"))</f>
        <v>商业2044年8月30日</v>
      </c>
      <c r="N16" s="1701" t="str">
        <f>IF(OR(M16="",O16=""),"","、")</f>
        <v>、</v>
      </c>
      <c r="O16" s="2483" t="str">
        <f>IF(F17="","",F16&amp;TEXT(F17,"yyyy年m月d日;;"))</f>
        <v>办公2054年8月30日</v>
      </c>
      <c r="P16" s="1701" t="str">
        <f>IF(OR(O16="",Q16=""),"","、")</f>
        <v>、</v>
      </c>
      <c r="Q16" s="2483" t="str">
        <f>IF(G17="","",G16&amp;TEXT(G17,"yyyy年m月d日;;"))</f>
        <v>车库2054年8月30日</v>
      </c>
      <c r="R16" s="1701" t="str">
        <f>IF(OR(Q16="",S16=""),"","、")</f>
        <v>、</v>
      </c>
      <c r="S16" s="2483" t="str">
        <f>IF(H17="","",H16&amp;TEXT(H17,"yyyy年m月d日;;"))</f>
        <v>仓储2054年8月30日</v>
      </c>
      <c r="T16" s="1701" t="str">
        <f>IF(OR(S16="",U16=""),"","、")</f>
        <v/>
      </c>
      <c r="U16" s="2483" t="str">
        <f>IF(I17="","",I16&amp;TEXT(I17,"yyyy年m月d日;;"))</f>
        <v/>
      </c>
    </row>
    <row r="17" spans="1:21">
      <c r="A17" s="1765"/>
      <c r="B17" s="1684"/>
      <c r="C17" s="1685" t="s">
        <v>1958</v>
      </c>
      <c r="D17" s="1702">
        <v>63796</v>
      </c>
      <c r="E17" s="1702">
        <v>52839</v>
      </c>
      <c r="F17" s="1702">
        <v>56491</v>
      </c>
      <c r="G17" s="1702">
        <f>F17</f>
        <v>56491</v>
      </c>
      <c r="H17" s="1702">
        <f>G17</f>
        <v>56491</v>
      </c>
      <c r="I17" s="1702"/>
      <c r="J17" s="1696"/>
      <c r="K17" s="2482" t="str">
        <f>CONCATENATE(K16,L16,M16,N16,O16,P16,Q16,R16,S16,T16,,U16)</f>
        <v>住宅2074年8月30日、商业2044年8月30日、办公2054年8月30日、车库2054年8月30日、仓储2054年8月30日</v>
      </c>
      <c r="L17" s="1725"/>
      <c r="M17" s="1725"/>
      <c r="N17" s="1696"/>
      <c r="O17" s="1697"/>
      <c r="P17" s="1696"/>
      <c r="Q17" s="1696"/>
      <c r="R17" s="1696"/>
      <c r="S17" s="1696"/>
      <c r="T17" s="1696"/>
      <c r="U17" s="1696"/>
    </row>
    <row r="18" spans="1:21">
      <c r="A18" s="1765"/>
      <c r="B18" s="1684"/>
      <c r="C18" s="1685" t="s">
        <v>1959</v>
      </c>
      <c r="D18" s="1686">
        <v>70</v>
      </c>
      <c r="E18" s="1686">
        <v>40</v>
      </c>
      <c r="F18" s="1686">
        <v>50</v>
      </c>
      <c r="G18" s="1686">
        <v>50</v>
      </c>
      <c r="H18" s="1686">
        <v>50</v>
      </c>
      <c r="I18" s="1686"/>
      <c r="J18" s="1696"/>
      <c r="K18" s="1776"/>
      <c r="L18" s="1725"/>
      <c r="M18" s="1725"/>
      <c r="N18" s="1696"/>
      <c r="O18" s="1697"/>
      <c r="P18" s="1696"/>
      <c r="Q18" s="1696"/>
      <c r="R18" s="1696"/>
      <c r="S18" s="1696"/>
      <c r="T18" s="1696"/>
      <c r="U18" s="1696"/>
    </row>
    <row r="19" spans="1:21">
      <c r="A19" s="1765"/>
      <c r="B19" s="1684"/>
      <c r="C19" s="1662" t="s">
        <v>1960</v>
      </c>
      <c r="D19" s="1760">
        <f>IF(B16="出让",IF(D17="","",ROUNDDOWN(MIN((D17-$D$3)/365,D18),2)),D18)</f>
        <v>56.84</v>
      </c>
      <c r="E19" s="1687">
        <f>IF(B16="出让",IF(E17="","",ROUNDDOWN(MIN((E17-$D$3)/365,E18),2)),E18)</f>
        <v>26.82</v>
      </c>
      <c r="F19" s="1687">
        <f>IF(B16="出让",IF(F17="","",ROUNDDOWN(MIN((F17-$D$3)/365,F18),2)),F18)</f>
        <v>36.83</v>
      </c>
      <c r="G19" s="1687">
        <f>IF(B16="出让",IF(G17="","",ROUNDDOWN(MIN((G17-$D$3)/365,G18),2)),G18)</f>
        <v>36.83</v>
      </c>
      <c r="H19" s="1687">
        <f>IF(B16="出让",IF(H17="","",ROUNDDOWN(MIN((H17-$D$3)/365,H18),2)),H18)</f>
        <v>36.83</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2063</v>
      </c>
      <c r="D20" s="3247"/>
      <c r="E20" s="3248"/>
      <c r="F20" s="3248"/>
      <c r="G20" s="3248"/>
      <c r="H20" s="3248"/>
      <c r="I20" s="3249"/>
      <c r="J20" s="1696"/>
      <c r="K20" s="1776"/>
      <c r="L20" s="1725"/>
      <c r="M20" s="1725"/>
      <c r="N20" s="1696"/>
      <c r="O20" s="1697"/>
      <c r="P20" s="1696"/>
      <c r="Q20" s="1696"/>
      <c r="R20" s="1696"/>
      <c r="S20" s="1696"/>
      <c r="T20" s="1696"/>
      <c r="U20" s="1696"/>
    </row>
    <row r="21" spans="1:21">
      <c r="A21" s="1765" t="s">
        <v>1961</v>
      </c>
      <c r="B21" s="1766" t="s">
        <v>1962</v>
      </c>
      <c r="C21" s="1761">
        <f>'数据-汇总表'!E3</f>
        <v>300788.65999999997</v>
      </c>
      <c r="D21" s="1762" t="s">
        <v>1963</v>
      </c>
      <c r="E21" s="3237" t="s">
        <v>2001</v>
      </c>
      <c r="F21" s="3238"/>
      <c r="G21" s="3238"/>
      <c r="H21" s="3238"/>
      <c r="I21" s="3239"/>
      <c r="J21" s="1696"/>
      <c r="K21" s="1776"/>
      <c r="L21" s="1725"/>
      <c r="M21" s="1725"/>
      <c r="N21" s="1696"/>
      <c r="O21" s="1697"/>
      <c r="P21" s="1696"/>
      <c r="Q21" s="1696"/>
      <c r="R21" s="1696"/>
      <c r="S21" s="1696"/>
      <c r="T21" s="1696"/>
      <c r="U21" s="1696"/>
    </row>
    <row r="22" spans="1:21">
      <c r="A22" s="2665" t="s">
        <v>952</v>
      </c>
      <c r="B22" s="1663" t="s">
        <v>1964</v>
      </c>
      <c r="C22" s="1688">
        <f>'数据-汇总表'!D3</f>
        <v>97801.4</v>
      </c>
      <c r="D22" s="1689" t="s">
        <v>1963</v>
      </c>
      <c r="E22" s="3237" t="s">
        <v>2898</v>
      </c>
      <c r="F22" s="3238"/>
      <c r="G22" s="3238"/>
      <c r="H22" s="3238"/>
      <c r="I22" s="3239"/>
      <c r="J22" s="1696"/>
      <c r="K22" s="1776"/>
      <c r="L22" s="1725"/>
      <c r="M22" s="1725"/>
      <c r="N22" s="1696"/>
      <c r="O22" s="1697"/>
      <c r="P22" s="1696"/>
      <c r="Q22" s="1696"/>
      <c r="R22" s="1696"/>
      <c r="S22" s="1696"/>
      <c r="T22" s="1696"/>
      <c r="U22" s="1696"/>
    </row>
    <row r="23" spans="1:21" ht="43.5" thickBot="1">
      <c r="A23" s="1767" t="s">
        <v>1965</v>
      </c>
      <c r="B23" s="1703" t="s">
        <v>1966</v>
      </c>
      <c r="C23" s="1704"/>
      <c r="D23" s="1705" t="s">
        <v>1967</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1968</v>
      </c>
      <c r="B24" s="3240" t="s">
        <v>1969</v>
      </c>
      <c r="C24" s="3241"/>
      <c r="D24" s="3242" t="s">
        <v>1970</v>
      </c>
      <c r="E24" s="3243"/>
      <c r="F24" s="1710" t="s">
        <v>1971</v>
      </c>
      <c r="G24" s="1696"/>
      <c r="H24" s="1696"/>
      <c r="I24" s="1709"/>
      <c r="J24" s="1696"/>
      <c r="K24" s="3228" t="s">
        <v>1972</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2328</v>
      </c>
      <c r="C25" s="1711" t="s">
        <v>1973</v>
      </c>
      <c r="D25" s="1712"/>
      <c r="E25" s="1713" t="s">
        <v>952</v>
      </c>
      <c r="F25" s="1714"/>
      <c r="G25" s="1696"/>
      <c r="H25" s="1696"/>
      <c r="I25" s="1709"/>
      <c r="J25" s="1696"/>
      <c r="K25" s="3228"/>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1974</v>
      </c>
      <c r="C26" s="1711" t="s">
        <v>2329</v>
      </c>
      <c r="D26" s="1662"/>
      <c r="E26" s="1662"/>
      <c r="F26" s="1690"/>
      <c r="G26" s="1696"/>
      <c r="H26" s="1696"/>
      <c r="I26" s="1709"/>
      <c r="J26" s="1696"/>
      <c r="K26" s="3228"/>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1975</v>
      </c>
      <c r="B27" s="1755" t="s">
        <v>1976</v>
      </c>
      <c r="C27" s="1715"/>
      <c r="D27" s="2679" t="s">
        <v>1976</v>
      </c>
      <c r="E27" s="1716"/>
      <c r="F27" s="1690"/>
      <c r="G27" s="1696"/>
      <c r="H27" s="1696"/>
      <c r="I27" s="1709"/>
      <c r="J27" s="1696"/>
      <c r="K27" s="1776"/>
      <c r="L27" s="1725"/>
      <c r="M27" s="1725"/>
      <c r="N27" s="1696"/>
      <c r="O27" s="1697"/>
      <c r="P27" s="1696"/>
      <c r="Q27" s="1696"/>
      <c r="R27" s="1696"/>
      <c r="S27" s="1696"/>
      <c r="T27" s="1696"/>
      <c r="U27" s="1696"/>
    </row>
    <row r="28" spans="1:21">
      <c r="A28" s="1758"/>
      <c r="B28" s="1755" t="s">
        <v>1977</v>
      </c>
      <c r="C28" s="1717"/>
      <c r="D28" s="2680" t="s">
        <v>1977</v>
      </c>
      <c r="E28" s="1718"/>
      <c r="F28" s="1690"/>
      <c r="G28" s="1696"/>
      <c r="H28" s="1696"/>
      <c r="I28" s="1709"/>
      <c r="J28" s="1696"/>
      <c r="K28" s="1776"/>
      <c r="L28" s="1725"/>
      <c r="M28" s="1725"/>
      <c r="N28" s="1696"/>
      <c r="O28" s="1697"/>
      <c r="P28" s="1696"/>
      <c r="Q28" s="1696"/>
      <c r="R28" s="1696"/>
      <c r="S28" s="1696"/>
      <c r="T28" s="1696"/>
      <c r="U28" s="1696"/>
    </row>
    <row r="29" spans="1:21">
      <c r="A29" s="1758"/>
      <c r="B29" s="1755" t="s">
        <v>1978</v>
      </c>
      <c r="C29" s="1717"/>
      <c r="D29" s="2680" t="s">
        <v>1978</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1979</v>
      </c>
      <c r="C30" s="1719"/>
      <c r="D30" s="2681" t="s">
        <v>1979</v>
      </c>
      <c r="E30" s="1720"/>
      <c r="F30" s="1691"/>
      <c r="G30" s="1744"/>
      <c r="H30" s="1744"/>
      <c r="I30" s="1745"/>
      <c r="J30" s="1696"/>
      <c r="K30" s="1776"/>
      <c r="L30" s="1725"/>
      <c r="M30" s="1725"/>
      <c r="N30" s="1696"/>
      <c r="O30" s="1697"/>
      <c r="P30" s="1696"/>
      <c r="Q30" s="1696"/>
      <c r="R30" s="1696"/>
      <c r="S30" s="1696"/>
      <c r="T30" s="1696"/>
      <c r="U30" s="1696"/>
    </row>
    <row r="31" spans="1:21" ht="15" thickTop="1">
      <c r="A31" s="3255" t="s">
        <v>2004</v>
      </c>
      <c r="B31" s="1766" t="s">
        <v>2005</v>
      </c>
      <c r="C31" s="3253" t="s">
        <v>3047</v>
      </c>
      <c r="D31" s="3254"/>
      <c r="E31" s="1696"/>
      <c r="F31" s="1696"/>
      <c r="G31" s="1696"/>
      <c r="H31" s="1696"/>
      <c r="I31" s="1709"/>
      <c r="J31" s="1696"/>
      <c r="K31" s="2485"/>
      <c r="L31" s="1696"/>
      <c r="M31" s="1696"/>
      <c r="N31" s="1696"/>
      <c r="O31" s="1696"/>
      <c r="P31" s="1696"/>
      <c r="Q31" s="1696"/>
      <c r="R31" s="1696"/>
      <c r="S31" s="1696"/>
      <c r="T31" s="1696"/>
      <c r="U31" s="1696"/>
    </row>
    <row r="32" spans="1:21">
      <c r="A32" s="3255"/>
      <c r="B32" s="1663" t="s">
        <v>2006</v>
      </c>
      <c r="C32" s="1721" t="s">
        <v>3048</v>
      </c>
      <c r="D32" s="1722"/>
      <c r="E32" s="1696"/>
      <c r="F32" s="1696"/>
      <c r="G32" s="1696"/>
      <c r="H32" s="1696"/>
      <c r="I32" s="1709"/>
      <c r="J32" s="1696"/>
      <c r="K32" s="2485"/>
      <c r="L32" s="1696"/>
      <c r="M32" s="1696"/>
      <c r="N32" s="1696"/>
      <c r="O32" s="1696"/>
      <c r="P32" s="1696"/>
      <c r="Q32" s="1696"/>
      <c r="R32" s="1696"/>
      <c r="S32" s="1696"/>
      <c r="T32" s="1696"/>
      <c r="U32" s="1696"/>
    </row>
    <row r="33" spans="1:21">
      <c r="A33" s="3255"/>
      <c r="B33" s="1663" t="s">
        <v>2007</v>
      </c>
      <c r="C33" s="1723" t="s">
        <v>3038</v>
      </c>
      <c r="D33" s="1840"/>
      <c r="E33" s="1696"/>
      <c r="F33" s="1696"/>
      <c r="G33" s="1696"/>
      <c r="H33" s="1696"/>
      <c r="I33" s="1709"/>
      <c r="J33" s="1696"/>
      <c r="K33" s="2485"/>
      <c r="L33" s="1696"/>
      <c r="M33" s="1696"/>
      <c r="N33" s="1696"/>
      <c r="O33" s="1696"/>
      <c r="P33" s="1696"/>
      <c r="Q33" s="1696"/>
      <c r="R33" s="1696"/>
      <c r="S33" s="1696"/>
      <c r="T33" s="1696"/>
      <c r="U33" s="1696"/>
    </row>
    <row r="34" spans="1:21">
      <c r="A34" s="3256"/>
      <c r="B34" s="1663" t="s">
        <v>2008</v>
      </c>
      <c r="C34" s="3257"/>
      <c r="D34" s="3258"/>
      <c r="E34" s="1696"/>
      <c r="F34" s="1696"/>
      <c r="G34" s="1696"/>
      <c r="H34" s="1696"/>
      <c r="I34" s="1709"/>
      <c r="J34" s="1696"/>
      <c r="K34" s="2485"/>
      <c r="L34" s="1696"/>
      <c r="M34" s="1696"/>
      <c r="N34" s="1696"/>
      <c r="O34" s="1696"/>
      <c r="P34" s="1696"/>
      <c r="Q34" s="1696"/>
      <c r="R34" s="1696"/>
      <c r="S34" s="1696"/>
      <c r="T34" s="1696"/>
      <c r="U34" s="1696"/>
    </row>
    <row r="35" spans="1:21">
      <c r="A35" s="3259" t="s">
        <v>847</v>
      </c>
      <c r="B35" s="1724" t="s">
        <v>3046</v>
      </c>
      <c r="C35" s="1778" t="str">
        <f>IF(B35="场地平整","——","具体情况：")</f>
        <v>——</v>
      </c>
      <c r="D35" s="3261"/>
      <c r="E35" s="3262"/>
      <c r="F35" s="3262"/>
      <c r="G35" s="3262"/>
      <c r="H35" s="3262"/>
      <c r="I35" s="3263"/>
      <c r="J35" s="1696"/>
      <c r="K35" s="1777"/>
      <c r="L35" s="1725"/>
      <c r="M35" s="1725"/>
      <c r="N35" s="1696"/>
      <c r="O35" s="1697"/>
      <c r="P35" s="1696"/>
      <c r="Q35" s="1696"/>
      <c r="R35" s="1696"/>
      <c r="S35" s="1696"/>
      <c r="T35" s="1696"/>
      <c r="U35" s="1696"/>
    </row>
    <row r="36" spans="1:21">
      <c r="A36" s="3255"/>
      <c r="B36" s="3264" t="s">
        <v>2057</v>
      </c>
      <c r="C36" s="3265"/>
      <c r="D36" s="1794"/>
      <c r="E36" s="3266"/>
      <c r="F36" s="3266"/>
      <c r="G36" s="1689" t="str">
        <f>IF(B35="场地未平整","估价结果处理","")</f>
        <v/>
      </c>
      <c r="H36" s="3267"/>
      <c r="I36" s="3267"/>
      <c r="J36" s="1696"/>
      <c r="K36" s="1777"/>
      <c r="L36" s="1725"/>
      <c r="M36" s="1725"/>
      <c r="N36" s="1696"/>
      <c r="O36" s="1697"/>
      <c r="P36" s="1696"/>
      <c r="Q36" s="1696"/>
      <c r="R36" s="1696"/>
      <c r="S36" s="1696"/>
      <c r="T36" s="1696"/>
      <c r="U36" s="1696"/>
    </row>
    <row r="37" spans="1:21" ht="28.5">
      <c r="A37" s="3255"/>
      <c r="B37" s="3244"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55"/>
      <c r="B38" s="3245"/>
      <c r="C38" s="1671" t="s">
        <v>850</v>
      </c>
      <c r="D38" s="1793">
        <f>ROUNDDOWN(MIN(('数据-取费表'!$B$2-D37)/365,D34),1)</f>
        <v>117.9</v>
      </c>
      <c r="E38" s="1729" t="s">
        <v>851</v>
      </c>
      <c r="F38" s="1696"/>
      <c r="G38" s="1696"/>
      <c r="H38" s="1696"/>
      <c r="I38" s="1709"/>
      <c r="J38" s="1696"/>
      <c r="K38" s="1777"/>
      <c r="L38" s="1696"/>
      <c r="M38" s="1696"/>
      <c r="N38" s="1696"/>
      <c r="O38" s="1696"/>
      <c r="P38" s="1696"/>
      <c r="Q38" s="1696"/>
      <c r="R38" s="1696"/>
      <c r="S38" s="1696"/>
      <c r="T38" s="1696"/>
      <c r="U38" s="1696"/>
    </row>
    <row r="39" spans="1:21">
      <c r="A39" s="3256"/>
      <c r="B39" s="3246"/>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1980</v>
      </c>
      <c r="B40" s="1692" t="s">
        <v>2986</v>
      </c>
      <c r="C40" s="1692" t="s">
        <v>2987</v>
      </c>
      <c r="D40" s="1692" t="s">
        <v>2988</v>
      </c>
      <c r="E40" s="1692" t="s">
        <v>2989</v>
      </c>
      <c r="F40" s="1692" t="s">
        <v>2990</v>
      </c>
      <c r="G40" s="1692" t="s">
        <v>2991</v>
      </c>
      <c r="H40" s="1692"/>
      <c r="I40" s="1709"/>
      <c r="J40" s="1696"/>
      <c r="K40" s="1732">
        <f>COUNTIF(B40:H40,"——")</f>
        <v>0</v>
      </c>
      <c r="L40" s="1701" t="s">
        <v>1981</v>
      </c>
      <c r="M40" s="1698" t="s">
        <v>1982</v>
      </c>
      <c r="N40" s="1698" t="s">
        <v>1983</v>
      </c>
      <c r="O40" s="1698" t="s">
        <v>1984</v>
      </c>
      <c r="P40" s="1698" t="s">
        <v>1985</v>
      </c>
      <c r="Q40" s="1698" t="s">
        <v>1986</v>
      </c>
      <c r="R40" s="1698" t="s">
        <v>1987</v>
      </c>
      <c r="S40" s="3227" t="s">
        <v>1988</v>
      </c>
      <c r="T40" s="1733" t="str">
        <f>NUMBERSTRING(7-K40,1)&amp;"通"</f>
        <v>七通</v>
      </c>
      <c r="U40" s="1696"/>
    </row>
    <row r="41" spans="1:21">
      <c r="A41" s="1665"/>
      <c r="B41" s="3260" t="s">
        <v>1722</v>
      </c>
      <c r="C41" s="3260"/>
      <c r="D41" s="3260"/>
      <c r="E41" s="3260"/>
      <c r="F41" s="1734">
        <f>C10</f>
        <v>0</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27"/>
      <c r="T41" s="1735" t="str">
        <f>IF(T40="一通",L41,IF(T40="二通",M41,IF(T40="三通",N41,IF(T40="四通",O41,IF(T40="五通",P41,IF(T40="六通",Q41,R41))))))</f>
        <v>通路、通电、通讯、通上水、通下水、燃气、</v>
      </c>
      <c r="U41" s="1696"/>
    </row>
    <row r="42" spans="1:21">
      <c r="A42" s="1737"/>
      <c r="B42" s="1768" t="s">
        <v>1898</v>
      </c>
      <c r="C42" s="1768" t="s">
        <v>1899</v>
      </c>
      <c r="D42" s="1768" t="s">
        <v>1900</v>
      </c>
      <c r="E42" s="1701" t="s">
        <v>1901</v>
      </c>
      <c r="F42" s="1738"/>
      <c r="G42" s="1696"/>
      <c r="H42" s="1696"/>
      <c r="I42" s="1709"/>
      <c r="J42" s="1696"/>
      <c r="K42" s="1776"/>
      <c r="L42" s="1725"/>
      <c r="M42" s="1725"/>
      <c r="N42" s="1696"/>
      <c r="O42" s="1697"/>
      <c r="P42" s="1696"/>
      <c r="Q42" s="1696"/>
      <c r="R42" s="1696"/>
      <c r="S42" s="1696"/>
      <c r="T42" s="1696"/>
      <c r="U42" s="1696"/>
    </row>
    <row r="43" spans="1:21">
      <c r="A43" s="1739" t="s">
        <v>1707</v>
      </c>
      <c r="B43" s="1740"/>
      <c r="C43" s="1740" t="s">
        <v>1408</v>
      </c>
      <c r="D43" s="1740" t="s">
        <v>1408</v>
      </c>
      <c r="E43" s="1740"/>
      <c r="F43" s="1741"/>
      <c r="G43" s="1696"/>
      <c r="H43" s="1696"/>
      <c r="I43" s="1709"/>
      <c r="J43" s="1696"/>
      <c r="K43" s="1776"/>
      <c r="L43" s="1725"/>
      <c r="M43" s="1725"/>
      <c r="N43" s="1696"/>
      <c r="O43" s="1697"/>
      <c r="P43" s="1696"/>
      <c r="Q43" s="1696"/>
      <c r="R43" s="1696"/>
      <c r="S43" s="1696"/>
      <c r="T43" s="1696"/>
      <c r="U43" s="1696"/>
    </row>
    <row r="44" spans="1:21">
      <c r="A44" s="1739" t="s">
        <v>1708</v>
      </c>
      <c r="B44" s="1740"/>
      <c r="C44" s="1740" t="s">
        <v>1279</v>
      </c>
      <c r="D44" s="1740" t="s">
        <v>1279</v>
      </c>
      <c r="E44" s="1794"/>
      <c r="F44" s="1741"/>
      <c r="G44" s="1696"/>
      <c r="H44" s="1696"/>
      <c r="I44" s="1709"/>
      <c r="J44" s="1696"/>
      <c r="K44" s="1776"/>
      <c r="L44" s="1725"/>
      <c r="M44" s="1725"/>
      <c r="N44" s="1696"/>
      <c r="O44" s="1697"/>
      <c r="P44" s="1696"/>
      <c r="Q44" s="1696"/>
      <c r="R44" s="1696"/>
      <c r="S44" s="1696"/>
      <c r="T44" s="1696"/>
      <c r="U44" s="1696"/>
    </row>
    <row r="45" spans="1:21" s="3100" customFormat="1" ht="21" thickBot="1">
      <c r="A45" s="3101" t="s">
        <v>2899</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2009</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2010</v>
      </c>
      <c r="B48" s="1688" t="s">
        <v>2011</v>
      </c>
      <c r="C48" s="1688" t="s">
        <v>2012</v>
      </c>
      <c r="D48" s="1688" t="s">
        <v>2013</v>
      </c>
      <c r="E48" s="1688" t="s">
        <v>2014</v>
      </c>
      <c r="F48" s="1688" t="s">
        <v>2015</v>
      </c>
      <c r="G48" s="1688" t="s">
        <v>2016</v>
      </c>
      <c r="H48" s="1688" t="s">
        <v>2017</v>
      </c>
      <c r="I48" s="1688" t="s">
        <v>2018</v>
      </c>
      <c r="J48" s="1774" t="s">
        <v>2019</v>
      </c>
      <c r="K48" s="1768" t="s">
        <v>2020</v>
      </c>
      <c r="L48" s="1768" t="s">
        <v>2021</v>
      </c>
      <c r="M48" s="1768" t="s">
        <v>2022</v>
      </c>
      <c r="N48" s="1688" t="s">
        <v>2023</v>
      </c>
      <c r="O48" s="1688" t="s">
        <v>2024</v>
      </c>
      <c r="P48" s="1688" t="s">
        <v>2025</v>
      </c>
      <c r="Q48" s="1701" t="s">
        <v>2026</v>
      </c>
      <c r="R48" s="1701" t="s">
        <v>2027</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D47" sqref="D4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2336</v>
      </c>
      <c r="BA2" s="2364" t="s">
        <v>2335</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97801.4</v>
      </c>
      <c r="B3" s="22">
        <f>IF(C3="否",G5-AT5,G5)</f>
        <v>300788.65999999997</v>
      </c>
      <c r="C3" s="23" t="s">
        <v>3038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332899.81999999995</v>
      </c>
      <c r="H5" s="27">
        <f t="shared" ref="H5:AT5" si="0">SUM(H13:H641)</f>
        <v>286290.72000000003</v>
      </c>
      <c r="I5" s="27">
        <f t="shared" si="0"/>
        <v>165815.06</v>
      </c>
      <c r="J5" s="27">
        <f t="shared" si="0"/>
        <v>0</v>
      </c>
      <c r="K5" s="27">
        <f t="shared" si="0"/>
        <v>56703.840000000004</v>
      </c>
      <c r="L5" s="27">
        <f t="shared" si="0"/>
        <v>0</v>
      </c>
      <c r="M5" s="27">
        <f t="shared" si="0"/>
        <v>12000</v>
      </c>
      <c r="N5" s="27">
        <f t="shared" si="0"/>
        <v>0</v>
      </c>
      <c r="O5" s="27">
        <f t="shared" si="0"/>
        <v>31012.010000000002</v>
      </c>
      <c r="P5" s="27">
        <f t="shared" si="0"/>
        <v>0</v>
      </c>
      <c r="Q5" s="27">
        <f t="shared" si="0"/>
        <v>20759.810000000005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14497.94</v>
      </c>
      <c r="AD5" s="27">
        <f t="shared" si="0"/>
        <v>2047.9</v>
      </c>
      <c r="AE5" s="27">
        <f t="shared" si="0"/>
        <v>0</v>
      </c>
      <c r="AF5" s="27">
        <f t="shared" si="0"/>
        <v>4736.88</v>
      </c>
      <c r="AG5" s="27">
        <f t="shared" si="0"/>
        <v>0</v>
      </c>
      <c r="AH5" s="27">
        <f t="shared" si="0"/>
        <v>100</v>
      </c>
      <c r="AI5" s="27">
        <f t="shared" si="0"/>
        <v>0</v>
      </c>
      <c r="AJ5" s="27">
        <f t="shared" si="0"/>
        <v>452.28</v>
      </c>
      <c r="AK5" s="27">
        <f t="shared" si="0"/>
        <v>0</v>
      </c>
      <c r="AL5" s="27">
        <f t="shared" si="0"/>
        <v>27</v>
      </c>
      <c r="AM5" s="27">
        <f t="shared" si="0"/>
        <v>0</v>
      </c>
      <c r="AN5" s="27">
        <f t="shared" si="0"/>
        <v>7133.880000000001</v>
      </c>
      <c r="AO5" s="27">
        <f t="shared" si="0"/>
        <v>0</v>
      </c>
      <c r="AP5" s="27">
        <f t="shared" si="0"/>
        <v>0</v>
      </c>
      <c r="AQ5" s="27">
        <f t="shared" si="0"/>
        <v>0</v>
      </c>
      <c r="AR5" s="27">
        <f t="shared" si="0"/>
        <v>0</v>
      </c>
      <c r="AS5" s="27">
        <f t="shared" si="0"/>
        <v>0</v>
      </c>
      <c r="AT5" s="27">
        <f t="shared" si="0"/>
        <v>32111.16</v>
      </c>
      <c r="AU5" s="991"/>
      <c r="AV5" s="26" t="s">
        <v>168</v>
      </c>
      <c r="AW5" s="992"/>
      <c r="AX5" s="992"/>
      <c r="AY5" s="28" t="s">
        <v>3</v>
      </c>
      <c r="AZ5" s="29">
        <f t="shared" ref="AZ5:BT5" si="1">SUM(AZ13:AZ641)</f>
        <v>300788.65999999997</v>
      </c>
      <c r="BA5" s="29">
        <f t="shared" si="1"/>
        <v>286290.72000000003</v>
      </c>
      <c r="BB5" s="29">
        <f t="shared" si="1"/>
        <v>165815.06</v>
      </c>
      <c r="BC5" s="29">
        <f t="shared" si="1"/>
        <v>56703.840000000004</v>
      </c>
      <c r="BD5" s="29">
        <f t="shared" si="1"/>
        <v>12000</v>
      </c>
      <c r="BE5" s="29">
        <f t="shared" si="1"/>
        <v>31012.010000000002</v>
      </c>
      <c r="BF5" s="29">
        <f t="shared" si="1"/>
        <v>20759.810000000005</v>
      </c>
      <c r="BG5" s="29">
        <f t="shared" si="1"/>
        <v>0</v>
      </c>
      <c r="BH5" s="29">
        <f t="shared" si="1"/>
        <v>0</v>
      </c>
      <c r="BI5" s="29">
        <f t="shared" si="1"/>
        <v>0</v>
      </c>
      <c r="BJ5" s="29">
        <f t="shared" si="1"/>
        <v>0</v>
      </c>
      <c r="BK5" s="29">
        <f t="shared" si="1"/>
        <v>0</v>
      </c>
      <c r="BL5" s="29">
        <f t="shared" si="1"/>
        <v>14497.94</v>
      </c>
      <c r="BM5" s="29">
        <f t="shared" si="1"/>
        <v>2047.9</v>
      </c>
      <c r="BN5" s="29">
        <f t="shared" si="1"/>
        <v>4736.88</v>
      </c>
      <c r="BO5" s="29">
        <f t="shared" si="1"/>
        <v>100</v>
      </c>
      <c r="BP5" s="29">
        <f t="shared" si="1"/>
        <v>452.28</v>
      </c>
      <c r="BQ5" s="29">
        <f t="shared" si="1"/>
        <v>27</v>
      </c>
      <c r="BR5" s="29">
        <f t="shared" si="1"/>
        <v>7133.880000000001</v>
      </c>
      <c r="BS5" s="29">
        <f t="shared" si="1"/>
        <v>0</v>
      </c>
      <c r="BT5" s="30">
        <f t="shared" si="1"/>
        <v>0</v>
      </c>
    </row>
    <row r="6" spans="1:72" s="37" customFormat="1" ht="12.75">
      <c r="A6" s="26" t="s">
        <v>169</v>
      </c>
      <c r="B6" s="31"/>
      <c r="C6" s="31"/>
      <c r="D6" s="32"/>
      <c r="E6" s="27">
        <f>H6+AC6+AT6</f>
        <v>97801.400000000009</v>
      </c>
      <c r="F6" s="27" t="s">
        <v>1</v>
      </c>
      <c r="G6" s="27" t="s">
        <v>2</v>
      </c>
      <c r="H6" s="33">
        <f>SUMIF(I$12:AB$12,"总值",I6:AB6)</f>
        <v>93087.400000000009</v>
      </c>
      <c r="I6" s="27">
        <f t="shared" ref="I6:AB6" si="2">ROUND($A$3*I5/$B$3,2)</f>
        <v>53914.75</v>
      </c>
      <c r="J6" s="27">
        <f t="shared" si="2"/>
        <v>0</v>
      </c>
      <c r="K6" s="27">
        <f t="shared" si="2"/>
        <v>18437.25</v>
      </c>
      <c r="L6" s="27">
        <f t="shared" si="2"/>
        <v>0</v>
      </c>
      <c r="M6" s="27">
        <f t="shared" si="2"/>
        <v>3901.8</v>
      </c>
      <c r="N6" s="27">
        <f t="shared" si="2"/>
        <v>0</v>
      </c>
      <c r="O6" s="27">
        <f t="shared" si="2"/>
        <v>10083.549999999999</v>
      </c>
      <c r="P6" s="27">
        <f t="shared" si="2"/>
        <v>0</v>
      </c>
      <c r="Q6" s="27">
        <f t="shared" si="2"/>
        <v>6750.05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4714</v>
      </c>
      <c r="AD6" s="27">
        <f t="shared" ref="AD6:AS6" si="3">ROUND($A$3*AD5/$B$3,2)</f>
        <v>665.87</v>
      </c>
      <c r="AE6" s="27">
        <f t="shared" si="3"/>
        <v>0</v>
      </c>
      <c r="AF6" s="27">
        <f t="shared" si="3"/>
        <v>1540.2</v>
      </c>
      <c r="AG6" s="27">
        <f t="shared" si="3"/>
        <v>0</v>
      </c>
      <c r="AH6" s="27">
        <f t="shared" si="3"/>
        <v>32.51</v>
      </c>
      <c r="AI6" s="27">
        <f t="shared" si="3"/>
        <v>0</v>
      </c>
      <c r="AJ6" s="27">
        <f t="shared" si="3"/>
        <v>147.06</v>
      </c>
      <c r="AK6" s="27">
        <f t="shared" si="3"/>
        <v>0</v>
      </c>
      <c r="AL6" s="27">
        <f t="shared" si="3"/>
        <v>8.7799999999999994</v>
      </c>
      <c r="AM6" s="27">
        <f t="shared" si="3"/>
        <v>0</v>
      </c>
      <c r="AN6" s="27">
        <f t="shared" si="3"/>
        <v>2319.58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97801.4</v>
      </c>
      <c r="AZ6" s="27" t="s">
        <v>3</v>
      </c>
      <c r="BA6" s="27">
        <f>ROUND($AY$6*BA5/$AZ$5,2)</f>
        <v>93087.4</v>
      </c>
      <c r="BB6" s="27">
        <f>ROUND($AY$6*BB5/$AZ$5,2)</f>
        <v>53914.75</v>
      </c>
      <c r="BC6" s="27">
        <f t="shared" ref="BC6:BH6" si="4">ROUND($AY$6*BC5/$AZ$5,2)</f>
        <v>18437.25</v>
      </c>
      <c r="BD6" s="27">
        <f t="shared" si="4"/>
        <v>3901.8</v>
      </c>
      <c r="BE6" s="27">
        <f t="shared" si="4"/>
        <v>10083.549999999999</v>
      </c>
      <c r="BF6" s="27">
        <f t="shared" si="4"/>
        <v>6750.05</v>
      </c>
      <c r="BG6" s="27">
        <f t="shared" si="4"/>
        <v>0</v>
      </c>
      <c r="BH6" s="27">
        <f t="shared" si="4"/>
        <v>0</v>
      </c>
      <c r="BI6" s="27">
        <f t="shared" ref="BI6:BT6" si="5">ROUND($AY$6*BI5/$AZ$5,2)</f>
        <v>0</v>
      </c>
      <c r="BJ6" s="27">
        <f t="shared" si="5"/>
        <v>0</v>
      </c>
      <c r="BK6" s="27">
        <f t="shared" si="5"/>
        <v>0</v>
      </c>
      <c r="BL6" s="27">
        <f t="shared" si="5"/>
        <v>4714</v>
      </c>
      <c r="BM6" s="27">
        <f t="shared" si="5"/>
        <v>665.87</v>
      </c>
      <c r="BN6" s="27">
        <f t="shared" si="5"/>
        <v>1540.2</v>
      </c>
      <c r="BO6" s="27">
        <f t="shared" si="5"/>
        <v>32.51</v>
      </c>
      <c r="BP6" s="27">
        <f t="shared" si="5"/>
        <v>147.06</v>
      </c>
      <c r="BQ6" s="27">
        <f t="shared" si="5"/>
        <v>8.7799999999999994</v>
      </c>
      <c r="BR6" s="27">
        <f t="shared" si="5"/>
        <v>2319.58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6" t="s">
        <v>2994</v>
      </c>
      <c r="J9" s="51"/>
      <c r="K9" s="3046" t="s">
        <v>2994</v>
      </c>
      <c r="L9" s="51"/>
      <c r="M9" s="3046" t="s">
        <v>2994</v>
      </c>
      <c r="N9" s="51"/>
      <c r="O9" s="59" t="s">
        <v>2996</v>
      </c>
      <c r="P9" s="51"/>
      <c r="Q9" s="59" t="s">
        <v>2996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6" t="s">
        <v>923</v>
      </c>
      <c r="J10" s="51"/>
      <c r="K10" s="3048" t="s">
        <v>923</v>
      </c>
      <c r="L10" s="51"/>
      <c r="M10" s="3048" t="s">
        <v>1678</v>
      </c>
      <c r="N10" s="51"/>
      <c r="O10" s="66" t="s">
        <v>2985</v>
      </c>
      <c r="P10" s="51"/>
      <c r="Q10" s="66" t="s">
        <v>3006</v>
      </c>
      <c r="R10" s="51"/>
      <c r="S10" s="66"/>
      <c r="T10" s="51"/>
      <c r="U10" s="66"/>
      <c r="V10" s="51"/>
      <c r="W10" s="66"/>
      <c r="X10" s="51"/>
      <c r="Y10" s="66"/>
      <c r="Z10" s="51"/>
      <c r="AA10" s="66"/>
      <c r="AB10" s="51"/>
      <c r="AC10" s="55"/>
      <c r="AD10" s="2317" t="s">
        <v>2320</v>
      </c>
      <c r="AE10" s="2339"/>
      <c r="AF10" s="2317" t="s">
        <v>2320</v>
      </c>
      <c r="AG10" s="2339"/>
      <c r="AH10" s="2317" t="s">
        <v>2321</v>
      </c>
      <c r="AI10" s="2339"/>
      <c r="AJ10" s="26" t="s">
        <v>2334</v>
      </c>
      <c r="AK10" s="2336"/>
      <c r="AL10" s="2317" t="s">
        <v>2322</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7" t="s">
        <v>2995</v>
      </c>
      <c r="J11" s="71"/>
      <c r="K11" s="3047" t="s">
        <v>3005</v>
      </c>
      <c r="L11" s="71"/>
      <c r="M11" s="70" t="s">
        <v>3027</v>
      </c>
      <c r="N11" s="71"/>
      <c r="O11" s="70" t="s">
        <v>2985</v>
      </c>
      <c r="P11" s="71"/>
      <c r="Q11" s="70" t="s">
        <v>3007</v>
      </c>
      <c r="R11" s="71"/>
      <c r="S11" s="70"/>
      <c r="T11" s="71"/>
      <c r="U11" s="70"/>
      <c r="V11" s="71"/>
      <c r="W11" s="70"/>
      <c r="X11" s="71"/>
      <c r="Y11" s="70"/>
      <c r="Z11" s="71"/>
      <c r="AA11" s="70"/>
      <c r="AB11" s="71"/>
      <c r="AC11" s="55"/>
      <c r="AD11" s="2337" t="s">
        <v>2333</v>
      </c>
      <c r="AE11" s="1005"/>
      <c r="AF11" s="2337" t="s">
        <v>2333</v>
      </c>
      <c r="AG11" s="1005"/>
      <c r="AH11" s="2337" t="s">
        <v>2332</v>
      </c>
      <c r="AI11" s="2338"/>
      <c r="AJ11" s="2337" t="s">
        <v>2332</v>
      </c>
      <c r="AK11" s="2336"/>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办公</v>
      </c>
      <c r="BE11" s="50" t="str">
        <f>O10</f>
        <v>车库</v>
      </c>
      <c r="BF11" s="50" t="str">
        <f>Q10</f>
        <v>仓储</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联排</v>
      </c>
      <c r="BD12" s="79" t="str">
        <f>M11</f>
        <v>养老院</v>
      </c>
      <c r="BE12" s="50" t="str">
        <f>O11</f>
        <v>车库</v>
      </c>
      <c r="BF12" s="50" t="str">
        <f>Q11</f>
        <v>戊类库房</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38.25">
      <c r="A13" s="3042"/>
      <c r="B13" s="3042" t="s">
        <v>2992</v>
      </c>
      <c r="C13" s="3044" t="s">
        <v>2993</v>
      </c>
      <c r="D13" s="3043" t="s">
        <v>1679</v>
      </c>
      <c r="E13" s="27">
        <f t="shared" ref="E13:E20" si="6">IF($C$3="是",ROUND($A$3*G13/$B$3,2),ROUND($A$3*(G13-AT13)/$B$3,2))</f>
        <v>6583.1</v>
      </c>
      <c r="F13" s="81"/>
      <c r="G13" s="82">
        <f t="shared" ref="G13:G20" si="7">H13+AC13+AT13</f>
        <v>20834.190000000002</v>
      </c>
      <c r="H13" s="33">
        <f t="shared" ref="H13:H20" si="8">SUMIF(I$12:AB$12,"总值",I13:AB13)</f>
        <v>19804.830000000002</v>
      </c>
      <c r="I13" s="3045">
        <v>19303.88</v>
      </c>
      <c r="J13" s="3045"/>
      <c r="K13" s="3045"/>
      <c r="L13" s="3045"/>
      <c r="M13" s="3045"/>
      <c r="N13" s="83"/>
      <c r="O13" s="83">
        <v>500.95</v>
      </c>
      <c r="P13" s="83"/>
      <c r="Q13" s="83"/>
      <c r="R13" s="83"/>
      <c r="S13" s="83"/>
      <c r="T13" s="83"/>
      <c r="U13" s="83"/>
      <c r="V13" s="83"/>
      <c r="W13" s="83"/>
      <c r="X13" s="83"/>
      <c r="Y13" s="83"/>
      <c r="Z13" s="83"/>
      <c r="AA13" s="83"/>
      <c r="AB13" s="83"/>
      <c r="AC13" s="27">
        <f t="shared" ref="AC13:AC20" si="9">SUMIF(AD$12:AS$12,"总值",AD13:AS13)</f>
        <v>441.54</v>
      </c>
      <c r="AD13" s="3049"/>
      <c r="AE13" s="3049"/>
      <c r="AF13" s="3049"/>
      <c r="AG13" s="3049"/>
      <c r="AH13" s="3049"/>
      <c r="AI13" s="3049"/>
      <c r="AJ13" s="3049"/>
      <c r="AK13" s="3049"/>
      <c r="AL13" s="3049"/>
      <c r="AM13" s="3049"/>
      <c r="AN13" s="3049">
        <v>441.54</v>
      </c>
      <c r="AO13" s="3049"/>
      <c r="AP13" s="3049"/>
      <c r="AQ13" s="3049"/>
      <c r="AR13" s="3049"/>
      <c r="AS13" s="3049"/>
      <c r="AT13" s="3050">
        <f>30.75+557.07</f>
        <v>587.82000000000005</v>
      </c>
      <c r="AU13" s="3051"/>
      <c r="AV13" s="17">
        <f t="shared" ref="AV13:AX20" si="10">A13</f>
        <v>0</v>
      </c>
      <c r="AW13" s="17" t="str">
        <f t="shared" si="10"/>
        <v>2017规（朝）建字0101号</v>
      </c>
      <c r="AX13" s="17" t="str">
        <f t="shared" si="10"/>
        <v>1#住宅楼</v>
      </c>
      <c r="AY13" s="999">
        <f t="shared" ref="AY13:AY20" si="11">ROUND($AY$6*AZ13/$AZ$5,2)</f>
        <v>6583.1</v>
      </c>
      <c r="AZ13" s="27">
        <f t="shared" ref="AZ13:AZ20" si="12">BA13+BL13</f>
        <v>20246.370000000003</v>
      </c>
      <c r="BA13" s="27">
        <f t="shared" ref="BA13:BA20" si="13">SUM(BB13:BK13)</f>
        <v>19804.830000000002</v>
      </c>
      <c r="BB13" s="27">
        <f t="shared" ref="BB13:BB20" si="14">IF($D13="是",I13-J13,0)</f>
        <v>19303.88</v>
      </c>
      <c r="BC13" s="27">
        <f t="shared" ref="BC13:BC20" si="15">IF($D13="是",K13-L13,0)</f>
        <v>0</v>
      </c>
      <c r="BD13" s="27">
        <f t="shared" ref="BD13:BD20" si="16">IF($D13="是",M13-N13,0)</f>
        <v>0</v>
      </c>
      <c r="BE13" s="27">
        <f t="shared" ref="BE13:BE20" si="17">IF($D13="是",O13-P13,0)</f>
        <v>500.95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441.54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441.54</v>
      </c>
      <c r="BS13" s="27">
        <f t="shared" ref="BS13:BS20" si="31">IF($D13="是",AP13-AQ13,0)</f>
        <v>0</v>
      </c>
      <c r="BT13" s="36">
        <f t="shared" ref="BT13:BT20" si="32">IF($D13="是",AR13-AS13,0)</f>
        <v>0</v>
      </c>
    </row>
    <row r="14" spans="1:72" s="18" customFormat="1" ht="12.75">
      <c r="A14" s="3042"/>
      <c r="B14" s="3042"/>
      <c r="C14" s="3044" t="s">
        <v>2997</v>
      </c>
      <c r="D14" s="3043" t="s">
        <v>1679</v>
      </c>
      <c r="E14" s="27">
        <f t="shared" si="6"/>
        <v>9033.06</v>
      </c>
      <c r="F14" s="81"/>
      <c r="G14" s="82">
        <f t="shared" si="7"/>
        <v>28332.71</v>
      </c>
      <c r="H14" s="33">
        <f t="shared" si="8"/>
        <v>26106.899999999998</v>
      </c>
      <c r="I14" s="3045">
        <v>25753.03</v>
      </c>
      <c r="J14" s="3045"/>
      <c r="K14" s="3045"/>
      <c r="L14" s="3045"/>
      <c r="M14" s="3045"/>
      <c r="N14" s="83"/>
      <c r="O14" s="83">
        <v>353.87</v>
      </c>
      <c r="P14" s="83"/>
      <c r="Q14" s="83"/>
      <c r="R14" s="83"/>
      <c r="S14" s="83"/>
      <c r="T14" s="83"/>
      <c r="U14" s="83"/>
      <c r="V14" s="83"/>
      <c r="W14" s="83"/>
      <c r="X14" s="83"/>
      <c r="Y14" s="83"/>
      <c r="Z14" s="83"/>
      <c r="AA14" s="83"/>
      <c r="AB14" s="83"/>
      <c r="AC14" s="27">
        <f t="shared" si="9"/>
        <v>1674.3200000000002</v>
      </c>
      <c r="AD14" s="3049"/>
      <c r="AE14" s="3049"/>
      <c r="AF14" s="3049">
        <v>1058.48</v>
      </c>
      <c r="AG14" s="3049"/>
      <c r="AH14" s="3049"/>
      <c r="AI14" s="3049"/>
      <c r="AJ14" s="3049"/>
      <c r="AK14" s="3049"/>
      <c r="AL14" s="3049"/>
      <c r="AM14" s="3049"/>
      <c r="AN14" s="3049">
        <v>615.84</v>
      </c>
      <c r="AO14" s="3049"/>
      <c r="AP14" s="3049"/>
      <c r="AQ14" s="3049"/>
      <c r="AR14" s="3049"/>
      <c r="AS14" s="3049"/>
      <c r="AT14" s="3050">
        <f>44.87+506.62</f>
        <v>551.49</v>
      </c>
      <c r="AU14" s="3051"/>
      <c r="AV14" s="17">
        <f t="shared" si="10"/>
        <v>0</v>
      </c>
      <c r="AW14" s="17">
        <f t="shared" si="10"/>
        <v>0</v>
      </c>
      <c r="AX14" s="17" t="str">
        <f t="shared" si="10"/>
        <v>2#住宅楼</v>
      </c>
      <c r="AY14" s="999">
        <f t="shared" si="11"/>
        <v>9033.06</v>
      </c>
      <c r="AZ14" s="27">
        <f t="shared" si="12"/>
        <v>27781.219999999998</v>
      </c>
      <c r="BA14" s="27">
        <f t="shared" si="13"/>
        <v>26106.899999999998</v>
      </c>
      <c r="BB14" s="27">
        <f t="shared" si="14"/>
        <v>25753.03</v>
      </c>
      <c r="BC14" s="27">
        <f t="shared" si="15"/>
        <v>0</v>
      </c>
      <c r="BD14" s="27">
        <f t="shared" si="16"/>
        <v>0</v>
      </c>
      <c r="BE14" s="27">
        <f t="shared" si="17"/>
        <v>353.87</v>
      </c>
      <c r="BF14" s="27">
        <f t="shared" si="18"/>
        <v>0</v>
      </c>
      <c r="BG14" s="27">
        <f t="shared" si="19"/>
        <v>0</v>
      </c>
      <c r="BH14" s="27">
        <f t="shared" si="20"/>
        <v>0</v>
      </c>
      <c r="BI14" s="27">
        <f t="shared" si="21"/>
        <v>0</v>
      </c>
      <c r="BJ14" s="27">
        <f t="shared" si="22"/>
        <v>0</v>
      </c>
      <c r="BK14" s="27">
        <f t="shared" si="23"/>
        <v>0</v>
      </c>
      <c r="BL14" s="27">
        <f t="shared" si="24"/>
        <v>1674.3200000000002</v>
      </c>
      <c r="BM14" s="27">
        <f t="shared" si="25"/>
        <v>0</v>
      </c>
      <c r="BN14" s="27">
        <f t="shared" si="26"/>
        <v>1058.48</v>
      </c>
      <c r="BO14" s="27">
        <f t="shared" si="27"/>
        <v>0</v>
      </c>
      <c r="BP14" s="27">
        <f t="shared" si="28"/>
        <v>0</v>
      </c>
      <c r="BQ14" s="27">
        <f t="shared" si="29"/>
        <v>0</v>
      </c>
      <c r="BR14" s="27">
        <f t="shared" si="30"/>
        <v>615.84</v>
      </c>
      <c r="BS14" s="27">
        <f t="shared" si="31"/>
        <v>0</v>
      </c>
      <c r="BT14" s="36">
        <f t="shared" si="32"/>
        <v>0</v>
      </c>
    </row>
    <row r="15" spans="1:72" s="18" customFormat="1" ht="12.75">
      <c r="A15" s="3042"/>
      <c r="B15" s="3042"/>
      <c r="C15" s="3044" t="s">
        <v>2998</v>
      </c>
      <c r="D15" s="3043" t="s">
        <v>1679</v>
      </c>
      <c r="E15" s="27">
        <f t="shared" si="6"/>
        <v>9103.11</v>
      </c>
      <c r="F15" s="81"/>
      <c r="G15" s="82">
        <f t="shared" si="7"/>
        <v>28373.89</v>
      </c>
      <c r="H15" s="33">
        <f t="shared" si="8"/>
        <v>26174.26</v>
      </c>
      <c r="I15" s="3045">
        <v>25809.16</v>
      </c>
      <c r="J15" s="3045"/>
      <c r="K15" s="3045"/>
      <c r="L15" s="3045"/>
      <c r="M15" s="3045"/>
      <c r="N15" s="83"/>
      <c r="O15" s="83">
        <v>365.1</v>
      </c>
      <c r="P15" s="83"/>
      <c r="Q15" s="83"/>
      <c r="R15" s="83"/>
      <c r="S15" s="83"/>
      <c r="T15" s="83"/>
      <c r="U15" s="83"/>
      <c r="V15" s="83"/>
      <c r="W15" s="83"/>
      <c r="X15" s="83"/>
      <c r="Y15" s="83"/>
      <c r="Z15" s="83"/>
      <c r="AA15" s="83"/>
      <c r="AB15" s="83"/>
      <c r="AC15" s="27">
        <f t="shared" si="9"/>
        <v>1822.3899999999999</v>
      </c>
      <c r="AD15" s="3049"/>
      <c r="AE15" s="3049"/>
      <c r="AF15" s="3049">
        <v>1171.8399999999999</v>
      </c>
      <c r="AG15" s="3049"/>
      <c r="AH15" s="3049"/>
      <c r="AI15" s="3049"/>
      <c r="AJ15" s="3049"/>
      <c r="AK15" s="3049"/>
      <c r="AL15" s="3049"/>
      <c r="AM15" s="3049"/>
      <c r="AN15" s="3049">
        <v>650.54999999999995</v>
      </c>
      <c r="AO15" s="3049"/>
      <c r="AP15" s="3049"/>
      <c r="AQ15" s="3049"/>
      <c r="AR15" s="3049"/>
      <c r="AS15" s="3049"/>
      <c r="AT15" s="3050">
        <f>9.03+368.21</f>
        <v>377.23999999999995</v>
      </c>
      <c r="AU15" s="3051"/>
      <c r="AV15" s="17">
        <f t="shared" si="10"/>
        <v>0</v>
      </c>
      <c r="AW15" s="17">
        <f t="shared" si="10"/>
        <v>0</v>
      </c>
      <c r="AX15" s="17" t="str">
        <f t="shared" si="10"/>
        <v>3#住宅楼</v>
      </c>
      <c r="AY15" s="999">
        <f t="shared" si="11"/>
        <v>9103.11</v>
      </c>
      <c r="AZ15" s="27">
        <f t="shared" si="12"/>
        <v>27996.649999999998</v>
      </c>
      <c r="BA15" s="27">
        <f t="shared" si="13"/>
        <v>26174.26</v>
      </c>
      <c r="BB15" s="27">
        <f t="shared" si="14"/>
        <v>25809.16</v>
      </c>
      <c r="BC15" s="27">
        <f t="shared" si="15"/>
        <v>0</v>
      </c>
      <c r="BD15" s="27">
        <f t="shared" si="16"/>
        <v>0</v>
      </c>
      <c r="BE15" s="27">
        <f t="shared" si="17"/>
        <v>365.1</v>
      </c>
      <c r="BF15" s="27">
        <f t="shared" si="18"/>
        <v>0</v>
      </c>
      <c r="BG15" s="27">
        <f t="shared" si="19"/>
        <v>0</v>
      </c>
      <c r="BH15" s="27">
        <f t="shared" si="20"/>
        <v>0</v>
      </c>
      <c r="BI15" s="27">
        <f t="shared" si="21"/>
        <v>0</v>
      </c>
      <c r="BJ15" s="27">
        <f t="shared" si="22"/>
        <v>0</v>
      </c>
      <c r="BK15" s="27">
        <f t="shared" si="23"/>
        <v>0</v>
      </c>
      <c r="BL15" s="27">
        <f t="shared" si="24"/>
        <v>1822.3899999999999</v>
      </c>
      <c r="BM15" s="27">
        <f t="shared" si="25"/>
        <v>0</v>
      </c>
      <c r="BN15" s="27">
        <f t="shared" si="26"/>
        <v>1171.8399999999999</v>
      </c>
      <c r="BO15" s="27">
        <f t="shared" si="27"/>
        <v>0</v>
      </c>
      <c r="BP15" s="27">
        <f t="shared" si="28"/>
        <v>0</v>
      </c>
      <c r="BQ15" s="27">
        <f t="shared" si="29"/>
        <v>0</v>
      </c>
      <c r="BR15" s="27">
        <f t="shared" si="30"/>
        <v>650.54999999999995</v>
      </c>
      <c r="BS15" s="27">
        <f t="shared" si="31"/>
        <v>0</v>
      </c>
      <c r="BT15" s="36">
        <f t="shared" si="32"/>
        <v>0</v>
      </c>
    </row>
    <row r="16" spans="1:72" s="18" customFormat="1" ht="12.75">
      <c r="A16" s="3042"/>
      <c r="B16" s="3042"/>
      <c r="C16" s="3044" t="s">
        <v>2999</v>
      </c>
      <c r="D16" s="3043" t="s">
        <v>1679</v>
      </c>
      <c r="E16" s="27">
        <f t="shared" si="6"/>
        <v>6778.77</v>
      </c>
      <c r="F16" s="81"/>
      <c r="G16" s="82">
        <f t="shared" si="7"/>
        <v>21263.410000000003</v>
      </c>
      <c r="H16" s="33">
        <f t="shared" si="8"/>
        <v>19815.410000000003</v>
      </c>
      <c r="I16" s="3045">
        <v>19216.080000000002</v>
      </c>
      <c r="J16" s="3045"/>
      <c r="K16" s="3045"/>
      <c r="L16" s="3045"/>
      <c r="M16" s="3045"/>
      <c r="N16" s="83"/>
      <c r="O16" s="83">
        <v>599.33000000000004</v>
      </c>
      <c r="P16" s="83"/>
      <c r="Q16" s="83"/>
      <c r="R16" s="83"/>
      <c r="S16" s="83"/>
      <c r="T16" s="83"/>
      <c r="U16" s="83"/>
      <c r="V16" s="83"/>
      <c r="W16" s="83"/>
      <c r="X16" s="83"/>
      <c r="Y16" s="83"/>
      <c r="Z16" s="83"/>
      <c r="AA16" s="83"/>
      <c r="AB16" s="83"/>
      <c r="AC16" s="27">
        <f t="shared" si="9"/>
        <v>1032.74</v>
      </c>
      <c r="AD16" s="3049"/>
      <c r="AE16" s="3049"/>
      <c r="AF16" s="3049"/>
      <c r="AG16" s="3049"/>
      <c r="AH16" s="3049"/>
      <c r="AI16" s="3049"/>
      <c r="AJ16" s="3049">
        <v>452.28</v>
      </c>
      <c r="AK16" s="3049"/>
      <c r="AL16" s="3049"/>
      <c r="AM16" s="3049"/>
      <c r="AN16" s="3049">
        <v>580.46</v>
      </c>
      <c r="AO16" s="3049"/>
      <c r="AP16" s="3049"/>
      <c r="AQ16" s="3049"/>
      <c r="AR16" s="3049"/>
      <c r="AS16" s="3049"/>
      <c r="AT16" s="3050">
        <f>7.35+407.91</f>
        <v>415.26000000000005</v>
      </c>
      <c r="AU16" s="3051"/>
      <c r="AV16" s="17">
        <f t="shared" si="10"/>
        <v>0</v>
      </c>
      <c r="AW16" s="17">
        <f t="shared" si="10"/>
        <v>0</v>
      </c>
      <c r="AX16" s="17" t="str">
        <f t="shared" si="10"/>
        <v>4#住宅楼</v>
      </c>
      <c r="AY16" s="999">
        <f t="shared" si="11"/>
        <v>6778.77</v>
      </c>
      <c r="AZ16" s="27">
        <f t="shared" si="12"/>
        <v>20848.150000000005</v>
      </c>
      <c r="BA16" s="27">
        <f t="shared" si="13"/>
        <v>19815.410000000003</v>
      </c>
      <c r="BB16" s="27">
        <f t="shared" si="14"/>
        <v>19216.080000000002</v>
      </c>
      <c r="BC16" s="27">
        <f t="shared" si="15"/>
        <v>0</v>
      </c>
      <c r="BD16" s="27">
        <f t="shared" si="16"/>
        <v>0</v>
      </c>
      <c r="BE16" s="27">
        <f t="shared" si="17"/>
        <v>599.33000000000004</v>
      </c>
      <c r="BF16" s="27">
        <f t="shared" si="18"/>
        <v>0</v>
      </c>
      <c r="BG16" s="27">
        <f t="shared" si="19"/>
        <v>0</v>
      </c>
      <c r="BH16" s="27">
        <f t="shared" si="20"/>
        <v>0</v>
      </c>
      <c r="BI16" s="27">
        <f t="shared" si="21"/>
        <v>0</v>
      </c>
      <c r="BJ16" s="27">
        <f t="shared" si="22"/>
        <v>0</v>
      </c>
      <c r="BK16" s="27">
        <f t="shared" si="23"/>
        <v>0</v>
      </c>
      <c r="BL16" s="27">
        <f t="shared" si="24"/>
        <v>1032.74</v>
      </c>
      <c r="BM16" s="27">
        <f t="shared" si="25"/>
        <v>0</v>
      </c>
      <c r="BN16" s="27">
        <f t="shared" si="26"/>
        <v>0</v>
      </c>
      <c r="BO16" s="27">
        <f t="shared" si="27"/>
        <v>0</v>
      </c>
      <c r="BP16" s="27">
        <f t="shared" si="28"/>
        <v>452.28</v>
      </c>
      <c r="BQ16" s="27">
        <f t="shared" si="29"/>
        <v>0</v>
      </c>
      <c r="BR16" s="27">
        <f t="shared" si="30"/>
        <v>580.46</v>
      </c>
      <c r="BS16" s="27">
        <f t="shared" si="31"/>
        <v>0</v>
      </c>
      <c r="BT16" s="36">
        <f t="shared" si="32"/>
        <v>0</v>
      </c>
    </row>
    <row r="17" spans="1:72" s="18" customFormat="1" ht="12.75">
      <c r="A17" s="3042"/>
      <c r="B17" s="3042"/>
      <c r="C17" s="3044" t="s">
        <v>3000</v>
      </c>
      <c r="D17" s="3043" t="s">
        <v>1679</v>
      </c>
      <c r="E17" s="27">
        <f t="shared" si="6"/>
        <v>6605.04</v>
      </c>
      <c r="F17" s="81"/>
      <c r="G17" s="82">
        <f t="shared" si="7"/>
        <v>20729.079999999998</v>
      </c>
      <c r="H17" s="33">
        <f t="shared" si="8"/>
        <v>19765.239999999998</v>
      </c>
      <c r="I17" s="3045">
        <v>19301.099999999999</v>
      </c>
      <c r="J17" s="3045"/>
      <c r="K17" s="3045"/>
      <c r="L17" s="3045"/>
      <c r="M17" s="3045"/>
      <c r="N17" s="83"/>
      <c r="O17" s="83">
        <v>464.14</v>
      </c>
      <c r="P17" s="83"/>
      <c r="Q17" s="83"/>
      <c r="R17" s="83"/>
      <c r="S17" s="83"/>
      <c r="T17" s="83"/>
      <c r="U17" s="83"/>
      <c r="V17" s="83"/>
      <c r="W17" s="83"/>
      <c r="X17" s="83"/>
      <c r="Y17" s="83"/>
      <c r="Z17" s="83"/>
      <c r="AA17" s="83"/>
      <c r="AB17" s="83"/>
      <c r="AC17" s="27">
        <f t="shared" si="9"/>
        <v>548.6</v>
      </c>
      <c r="AD17" s="3049"/>
      <c r="AE17" s="3049"/>
      <c r="AF17" s="3049"/>
      <c r="AG17" s="3049"/>
      <c r="AH17" s="3049"/>
      <c r="AI17" s="3049"/>
      <c r="AJ17" s="3049"/>
      <c r="AK17" s="3049"/>
      <c r="AL17" s="3049"/>
      <c r="AM17" s="3049"/>
      <c r="AN17" s="3049">
        <v>548.6</v>
      </c>
      <c r="AO17" s="3049"/>
      <c r="AP17" s="3049"/>
      <c r="AQ17" s="3049"/>
      <c r="AR17" s="3049"/>
      <c r="AS17" s="3049"/>
      <c r="AT17" s="3050">
        <f>22.99+392.25</f>
        <v>415.24</v>
      </c>
      <c r="AU17" s="3051"/>
      <c r="AV17" s="17">
        <f t="shared" si="10"/>
        <v>0</v>
      </c>
      <c r="AW17" s="17">
        <f t="shared" si="10"/>
        <v>0</v>
      </c>
      <c r="AX17" s="17" t="str">
        <f t="shared" si="10"/>
        <v>5#住宅楼</v>
      </c>
      <c r="AY17" s="999">
        <f t="shared" si="11"/>
        <v>6605.04</v>
      </c>
      <c r="AZ17" s="27">
        <f t="shared" si="12"/>
        <v>20313.839999999997</v>
      </c>
      <c r="BA17" s="27">
        <f t="shared" si="13"/>
        <v>19765.239999999998</v>
      </c>
      <c r="BB17" s="27">
        <f t="shared" si="14"/>
        <v>19301.099999999999</v>
      </c>
      <c r="BC17" s="27">
        <f t="shared" si="15"/>
        <v>0</v>
      </c>
      <c r="BD17" s="27">
        <f t="shared" si="16"/>
        <v>0</v>
      </c>
      <c r="BE17" s="27">
        <f t="shared" si="17"/>
        <v>464.14</v>
      </c>
      <c r="BF17" s="27">
        <f t="shared" si="18"/>
        <v>0</v>
      </c>
      <c r="BG17" s="27">
        <f t="shared" si="19"/>
        <v>0</v>
      </c>
      <c r="BH17" s="27">
        <f t="shared" si="20"/>
        <v>0</v>
      </c>
      <c r="BI17" s="27">
        <f t="shared" si="21"/>
        <v>0</v>
      </c>
      <c r="BJ17" s="27">
        <f t="shared" si="22"/>
        <v>0</v>
      </c>
      <c r="BK17" s="27">
        <f t="shared" si="23"/>
        <v>0</v>
      </c>
      <c r="BL17" s="27">
        <f t="shared" si="24"/>
        <v>548.6</v>
      </c>
      <c r="BM17" s="27">
        <f t="shared" si="25"/>
        <v>0</v>
      </c>
      <c r="BN17" s="27">
        <f t="shared" si="26"/>
        <v>0</v>
      </c>
      <c r="BO17" s="27">
        <f t="shared" si="27"/>
        <v>0</v>
      </c>
      <c r="BP17" s="27">
        <f t="shared" si="28"/>
        <v>0</v>
      </c>
      <c r="BQ17" s="27">
        <f t="shared" si="29"/>
        <v>0</v>
      </c>
      <c r="BR17" s="27">
        <f t="shared" si="30"/>
        <v>548.6</v>
      </c>
      <c r="BS17" s="27">
        <f t="shared" si="31"/>
        <v>0</v>
      </c>
      <c r="BT17" s="36">
        <f t="shared" si="32"/>
        <v>0</v>
      </c>
    </row>
    <row r="18" spans="1:72">
      <c r="A18" s="84"/>
      <c r="B18" s="85"/>
      <c r="C18" s="3044" t="s">
        <v>3001</v>
      </c>
      <c r="D18" s="3043" t="s">
        <v>1679</v>
      </c>
      <c r="E18" s="87">
        <f t="shared" si="6"/>
        <v>8616.09</v>
      </c>
      <c r="F18" s="88"/>
      <c r="G18" s="89">
        <f t="shared" si="7"/>
        <v>27070.170000000002</v>
      </c>
      <c r="H18" s="90">
        <f t="shared" si="8"/>
        <v>25801.73</v>
      </c>
      <c r="I18" s="1397">
        <v>25056.34</v>
      </c>
      <c r="J18" s="91"/>
      <c r="K18" s="1397"/>
      <c r="L18" s="91"/>
      <c r="M18" s="91"/>
      <c r="N18" s="91"/>
      <c r="O18" s="91">
        <v>745.39</v>
      </c>
      <c r="P18" s="91"/>
      <c r="Q18" s="91"/>
      <c r="R18" s="91"/>
      <c r="S18" s="91"/>
      <c r="T18" s="91"/>
      <c r="U18" s="91"/>
      <c r="V18" s="91"/>
      <c r="W18" s="91"/>
      <c r="X18" s="91"/>
      <c r="Y18" s="91"/>
      <c r="Z18" s="91"/>
      <c r="AA18" s="91"/>
      <c r="AB18" s="91"/>
      <c r="AC18" s="87">
        <f t="shared" si="9"/>
        <v>697.11</v>
      </c>
      <c r="AD18" s="92"/>
      <c r="AE18" s="92"/>
      <c r="AF18" s="1397"/>
      <c r="AG18" s="92"/>
      <c r="AH18" s="92"/>
      <c r="AI18" s="92"/>
      <c r="AJ18" s="92"/>
      <c r="AK18" s="92"/>
      <c r="AL18" s="1367"/>
      <c r="AM18" s="92"/>
      <c r="AN18" s="1397">
        <v>697.11</v>
      </c>
      <c r="AO18" s="92"/>
      <c r="AP18" s="92"/>
      <c r="AQ18" s="92"/>
      <c r="AR18" s="92"/>
      <c r="AS18" s="92"/>
      <c r="AT18" s="93">
        <f>19.75+551.58</f>
        <v>571.33000000000004</v>
      </c>
      <c r="AU18" s="94"/>
      <c r="AV18" s="995">
        <f t="shared" si="10"/>
        <v>0</v>
      </c>
      <c r="AW18" s="995">
        <f t="shared" si="10"/>
        <v>0</v>
      </c>
      <c r="AX18" s="995" t="str">
        <f t="shared" si="10"/>
        <v>6#住宅楼</v>
      </c>
      <c r="AY18" s="95">
        <f t="shared" si="11"/>
        <v>8616.09</v>
      </c>
      <c r="AZ18" s="87">
        <f t="shared" si="12"/>
        <v>26498.84</v>
      </c>
      <c r="BA18" s="87">
        <f t="shared" si="13"/>
        <v>25801.73</v>
      </c>
      <c r="BB18" s="87">
        <f t="shared" si="14"/>
        <v>25056.34</v>
      </c>
      <c r="BC18" s="87">
        <f t="shared" si="15"/>
        <v>0</v>
      </c>
      <c r="BD18" s="87">
        <f t="shared" si="16"/>
        <v>0</v>
      </c>
      <c r="BE18" s="87">
        <f t="shared" si="17"/>
        <v>745.39</v>
      </c>
      <c r="BF18" s="87">
        <f t="shared" si="18"/>
        <v>0</v>
      </c>
      <c r="BG18" s="87">
        <f t="shared" si="19"/>
        <v>0</v>
      </c>
      <c r="BH18" s="87">
        <f t="shared" si="20"/>
        <v>0</v>
      </c>
      <c r="BI18" s="87">
        <f t="shared" si="21"/>
        <v>0</v>
      </c>
      <c r="BJ18" s="87">
        <f t="shared" si="22"/>
        <v>0</v>
      </c>
      <c r="BK18" s="87">
        <f t="shared" si="23"/>
        <v>0</v>
      </c>
      <c r="BL18" s="87">
        <f t="shared" si="24"/>
        <v>697.11</v>
      </c>
      <c r="BM18" s="87">
        <f t="shared" si="25"/>
        <v>0</v>
      </c>
      <c r="BN18" s="87">
        <f t="shared" si="26"/>
        <v>0</v>
      </c>
      <c r="BO18" s="87">
        <f t="shared" si="27"/>
        <v>0</v>
      </c>
      <c r="BP18" s="87">
        <f t="shared" si="28"/>
        <v>0</v>
      </c>
      <c r="BQ18" s="87">
        <f t="shared" si="29"/>
        <v>0</v>
      </c>
      <c r="BR18" s="87">
        <f t="shared" si="30"/>
        <v>697.11</v>
      </c>
      <c r="BS18" s="87">
        <f t="shared" si="31"/>
        <v>0</v>
      </c>
      <c r="BT18" s="96">
        <f t="shared" si="32"/>
        <v>0</v>
      </c>
    </row>
    <row r="19" spans="1:72">
      <c r="A19" s="84"/>
      <c r="B19" s="1401"/>
      <c r="C19" s="3044" t="s">
        <v>3002</v>
      </c>
      <c r="D19" s="3043" t="s">
        <v>1679</v>
      </c>
      <c r="E19" s="87">
        <f t="shared" si="6"/>
        <v>5022.7700000000004</v>
      </c>
      <c r="F19" s="88"/>
      <c r="G19" s="89">
        <f t="shared" si="7"/>
        <v>15641.990000000002</v>
      </c>
      <c r="H19" s="90">
        <f t="shared" si="8"/>
        <v>14456.980000000001</v>
      </c>
      <c r="I19" s="1397">
        <v>14339.78</v>
      </c>
      <c r="J19" s="91"/>
      <c r="K19" s="1397"/>
      <c r="L19" s="91"/>
      <c r="M19" s="91"/>
      <c r="N19" s="91"/>
      <c r="O19" s="91">
        <v>117.2</v>
      </c>
      <c r="P19" s="91"/>
      <c r="Q19" s="91"/>
      <c r="R19" s="91"/>
      <c r="S19" s="91"/>
      <c r="T19" s="91"/>
      <c r="U19" s="91"/>
      <c r="V19" s="91"/>
      <c r="W19" s="91"/>
      <c r="X19" s="91"/>
      <c r="Y19" s="91"/>
      <c r="Z19" s="91"/>
      <c r="AA19" s="91"/>
      <c r="AB19" s="91"/>
      <c r="AC19" s="87">
        <f t="shared" si="9"/>
        <v>990.56</v>
      </c>
      <c r="AD19" s="92"/>
      <c r="AE19" s="92"/>
      <c r="AF19" s="1397">
        <v>650.15</v>
      </c>
      <c r="AG19" s="92"/>
      <c r="AH19" s="92"/>
      <c r="AI19" s="92"/>
      <c r="AJ19" s="92"/>
      <c r="AK19" s="92"/>
      <c r="AL19" s="92"/>
      <c r="AM19" s="92"/>
      <c r="AN19" s="1397">
        <v>340.41</v>
      </c>
      <c r="AO19" s="92"/>
      <c r="AP19" s="92"/>
      <c r="AQ19" s="92"/>
      <c r="AR19" s="92"/>
      <c r="AS19" s="92"/>
      <c r="AT19" s="93">
        <f>2.85+191.6</f>
        <v>194.45</v>
      </c>
      <c r="AU19" s="94"/>
      <c r="AV19" s="995">
        <f t="shared" si="10"/>
        <v>0</v>
      </c>
      <c r="AW19" s="995">
        <f t="shared" si="10"/>
        <v>0</v>
      </c>
      <c r="AX19" s="995" t="str">
        <f t="shared" si="10"/>
        <v>7#住宅楼</v>
      </c>
      <c r="AY19" s="95">
        <f t="shared" si="11"/>
        <v>5022.7700000000004</v>
      </c>
      <c r="AZ19" s="87">
        <f t="shared" si="12"/>
        <v>15447.54</v>
      </c>
      <c r="BA19" s="87">
        <f t="shared" si="13"/>
        <v>14456.980000000001</v>
      </c>
      <c r="BB19" s="87">
        <f t="shared" si="14"/>
        <v>14339.78</v>
      </c>
      <c r="BC19" s="87">
        <f t="shared" si="15"/>
        <v>0</v>
      </c>
      <c r="BD19" s="87">
        <f t="shared" si="16"/>
        <v>0</v>
      </c>
      <c r="BE19" s="87">
        <f t="shared" si="17"/>
        <v>117.2</v>
      </c>
      <c r="BF19" s="87">
        <f t="shared" si="18"/>
        <v>0</v>
      </c>
      <c r="BG19" s="87">
        <f t="shared" si="19"/>
        <v>0</v>
      </c>
      <c r="BH19" s="87">
        <f t="shared" si="20"/>
        <v>0</v>
      </c>
      <c r="BI19" s="87">
        <f t="shared" si="21"/>
        <v>0</v>
      </c>
      <c r="BJ19" s="87">
        <f t="shared" si="22"/>
        <v>0</v>
      </c>
      <c r="BK19" s="87">
        <f t="shared" si="23"/>
        <v>0</v>
      </c>
      <c r="BL19" s="87">
        <f t="shared" si="24"/>
        <v>990.56</v>
      </c>
      <c r="BM19" s="87">
        <f t="shared" si="25"/>
        <v>0</v>
      </c>
      <c r="BN19" s="87">
        <f t="shared" si="26"/>
        <v>650.15</v>
      </c>
      <c r="BO19" s="87">
        <f t="shared" si="27"/>
        <v>0</v>
      </c>
      <c r="BP19" s="87">
        <f t="shared" si="28"/>
        <v>0</v>
      </c>
      <c r="BQ19" s="87">
        <f t="shared" si="29"/>
        <v>0</v>
      </c>
      <c r="BR19" s="87">
        <f t="shared" si="30"/>
        <v>340.41</v>
      </c>
      <c r="BS19" s="87">
        <f t="shared" si="31"/>
        <v>0</v>
      </c>
      <c r="BT19" s="96">
        <f t="shared" si="32"/>
        <v>0</v>
      </c>
    </row>
    <row r="20" spans="1:72">
      <c r="A20" s="84"/>
      <c r="B20" s="1401"/>
      <c r="C20" s="3044" t="s">
        <v>3003</v>
      </c>
      <c r="D20" s="3043" t="s">
        <v>1679</v>
      </c>
      <c r="E20" s="87">
        <f t="shared" si="6"/>
        <v>6033.11</v>
      </c>
      <c r="F20" s="88"/>
      <c r="G20" s="89">
        <f t="shared" si="7"/>
        <v>18678.169999999998</v>
      </c>
      <c r="H20" s="90">
        <f t="shared" si="8"/>
        <v>17190.91</v>
      </c>
      <c r="I20" s="1397">
        <v>17035.689999999999</v>
      </c>
      <c r="J20" s="91"/>
      <c r="K20" s="1397"/>
      <c r="L20" s="91"/>
      <c r="M20" s="91"/>
      <c r="N20" s="91"/>
      <c r="O20" s="91">
        <v>155.22</v>
      </c>
      <c r="P20" s="91"/>
      <c r="Q20" s="91"/>
      <c r="R20" s="91"/>
      <c r="S20" s="91"/>
      <c r="T20" s="91"/>
      <c r="U20" s="91"/>
      <c r="V20" s="91"/>
      <c r="W20" s="91"/>
      <c r="X20" s="91"/>
      <c r="Y20" s="91"/>
      <c r="Z20" s="91"/>
      <c r="AA20" s="91"/>
      <c r="AB20" s="91"/>
      <c r="AC20" s="87">
        <f t="shared" si="9"/>
        <v>1363.96</v>
      </c>
      <c r="AD20" s="92"/>
      <c r="AE20" s="92"/>
      <c r="AF20" s="1397">
        <v>875.53</v>
      </c>
      <c r="AG20" s="92"/>
      <c r="AH20" s="92"/>
      <c r="AI20" s="92"/>
      <c r="AJ20" s="92"/>
      <c r="AK20" s="92"/>
      <c r="AL20" s="92"/>
      <c r="AM20" s="92"/>
      <c r="AN20" s="1397">
        <v>488.43</v>
      </c>
      <c r="AO20" s="92"/>
      <c r="AP20" s="92"/>
      <c r="AQ20" s="92"/>
      <c r="AR20" s="92"/>
      <c r="AS20" s="92"/>
      <c r="AT20" s="93">
        <f>2.85+120.45</f>
        <v>123.3</v>
      </c>
      <c r="AU20" s="94"/>
      <c r="AV20" s="995">
        <f t="shared" si="10"/>
        <v>0</v>
      </c>
      <c r="AW20" s="995">
        <f t="shared" si="10"/>
        <v>0</v>
      </c>
      <c r="AX20" s="995" t="str">
        <f t="shared" si="10"/>
        <v>8#住宅楼</v>
      </c>
      <c r="AY20" s="95">
        <f t="shared" si="11"/>
        <v>6033.11</v>
      </c>
      <c r="AZ20" s="87">
        <f t="shared" si="12"/>
        <v>18554.87</v>
      </c>
      <c r="BA20" s="87">
        <f t="shared" si="13"/>
        <v>17190.91</v>
      </c>
      <c r="BB20" s="87">
        <f t="shared" si="14"/>
        <v>17035.689999999999</v>
      </c>
      <c r="BC20" s="87">
        <f t="shared" si="15"/>
        <v>0</v>
      </c>
      <c r="BD20" s="87">
        <f t="shared" si="16"/>
        <v>0</v>
      </c>
      <c r="BE20" s="87">
        <f t="shared" si="17"/>
        <v>155.22</v>
      </c>
      <c r="BF20" s="87">
        <f t="shared" si="18"/>
        <v>0</v>
      </c>
      <c r="BG20" s="87">
        <f t="shared" si="19"/>
        <v>0</v>
      </c>
      <c r="BH20" s="87">
        <f t="shared" si="20"/>
        <v>0</v>
      </c>
      <c r="BI20" s="87">
        <f t="shared" si="21"/>
        <v>0</v>
      </c>
      <c r="BJ20" s="87">
        <f t="shared" si="22"/>
        <v>0</v>
      </c>
      <c r="BK20" s="87">
        <f t="shared" si="23"/>
        <v>0</v>
      </c>
      <c r="BL20" s="87">
        <f t="shared" si="24"/>
        <v>1363.96</v>
      </c>
      <c r="BM20" s="87">
        <f t="shared" si="25"/>
        <v>0</v>
      </c>
      <c r="BN20" s="87">
        <f t="shared" si="26"/>
        <v>875.53</v>
      </c>
      <c r="BO20" s="87">
        <f t="shared" si="27"/>
        <v>0</v>
      </c>
      <c r="BP20" s="87">
        <f t="shared" si="28"/>
        <v>0</v>
      </c>
      <c r="BQ20" s="87">
        <f t="shared" si="29"/>
        <v>0</v>
      </c>
      <c r="BR20" s="87">
        <f t="shared" si="30"/>
        <v>488.43</v>
      </c>
      <c r="BS20" s="87">
        <f t="shared" si="31"/>
        <v>0</v>
      </c>
      <c r="BT20" s="96">
        <f t="shared" si="32"/>
        <v>0</v>
      </c>
    </row>
    <row r="21" spans="1:72">
      <c r="A21" s="84"/>
      <c r="B21" s="1396"/>
      <c r="C21" s="3044" t="s">
        <v>3004</v>
      </c>
      <c r="D21" s="3043" t="s">
        <v>1679</v>
      </c>
      <c r="E21" s="87">
        <f t="shared" ref="E21:E112" si="33">IF($C$3="是",ROUND($A$3*G21/$B$3,2),ROUND($A$3*(G21-AT21)/$B$3,2))</f>
        <v>1123.29</v>
      </c>
      <c r="F21" s="88"/>
      <c r="G21" s="89">
        <f t="shared" ref="G21:G109" si="34">H21+AC21+AT21</f>
        <v>3454.67</v>
      </c>
      <c r="H21" s="90">
        <f t="shared" ref="H21:H109" si="35">SUMIF(I$12:AB$12,"总值",I21:AB21)</f>
        <v>3454.67</v>
      </c>
      <c r="I21" s="1399"/>
      <c r="J21" s="91"/>
      <c r="K21" s="1399">
        <v>2513.2800000000002</v>
      </c>
      <c r="L21" s="91"/>
      <c r="M21" s="91"/>
      <c r="N21" s="91"/>
      <c r="O21" s="91"/>
      <c r="P21" s="91"/>
      <c r="Q21" s="91">
        <v>941.39</v>
      </c>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t="str">
        <f t="shared" ref="AX21:AX112" si="39">C21</f>
        <v>9#住宅楼</v>
      </c>
      <c r="AY21" s="95">
        <f t="shared" ref="AY21:AY109" si="40">ROUND($AY$6*AZ21/$AZ$5,2)</f>
        <v>1123.29</v>
      </c>
      <c r="AZ21" s="87">
        <f t="shared" ref="AZ21:AZ109" si="41">BA21+BL21</f>
        <v>3454.67</v>
      </c>
      <c r="BA21" s="87">
        <f t="shared" ref="BA21:BA109" si="42">SUM(BB21:BK21)</f>
        <v>3454.67</v>
      </c>
      <c r="BB21" s="87">
        <f t="shared" ref="BB21:BB109" si="43">IF($D21="是",I21-J21,0)</f>
        <v>0</v>
      </c>
      <c r="BC21" s="87">
        <f t="shared" ref="BC21:BC109" si="44">IF($D21="是",K21-L21,0)</f>
        <v>2513.2800000000002</v>
      </c>
      <c r="BD21" s="87">
        <f t="shared" ref="BD21:BD109" si="45">IF($D21="是",M21-N21,0)</f>
        <v>0</v>
      </c>
      <c r="BE21" s="87">
        <f t="shared" ref="BE21:BE109" si="46">IF($D21="是",O21-P21,0)</f>
        <v>0</v>
      </c>
      <c r="BF21" s="87">
        <f t="shared" ref="BF21:BF109" si="47">IF($D21="是",Q21-R21,0)</f>
        <v>941.39</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3044" t="s">
        <v>3008</v>
      </c>
      <c r="D22" s="3043" t="s">
        <v>1679</v>
      </c>
      <c r="E22" s="87">
        <f t="shared" si="33"/>
        <v>1105.05</v>
      </c>
      <c r="F22" s="88"/>
      <c r="G22" s="89">
        <f t="shared" si="34"/>
        <v>3398.58</v>
      </c>
      <c r="H22" s="90">
        <f t="shared" si="35"/>
        <v>3398.58</v>
      </c>
      <c r="I22" s="1399"/>
      <c r="J22" s="91"/>
      <c r="K22" s="1399">
        <v>2472.48</v>
      </c>
      <c r="L22" s="91"/>
      <c r="M22" s="1367"/>
      <c r="N22" s="91"/>
      <c r="O22" s="91"/>
      <c r="P22" s="91"/>
      <c r="Q22" s="91">
        <v>926.1</v>
      </c>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t="str">
        <f t="shared" si="39"/>
        <v>10#住宅楼</v>
      </c>
      <c r="AY22" s="95">
        <f t="shared" si="40"/>
        <v>1105.05</v>
      </c>
      <c r="AZ22" s="87">
        <f t="shared" si="41"/>
        <v>3398.58</v>
      </c>
      <c r="BA22" s="87">
        <f t="shared" si="42"/>
        <v>3398.58</v>
      </c>
      <c r="BB22" s="87">
        <f t="shared" si="43"/>
        <v>0</v>
      </c>
      <c r="BC22" s="87">
        <f t="shared" si="44"/>
        <v>2472.48</v>
      </c>
      <c r="BD22" s="87">
        <f t="shared" si="45"/>
        <v>0</v>
      </c>
      <c r="BE22" s="87">
        <f t="shared" si="46"/>
        <v>0</v>
      </c>
      <c r="BF22" s="87">
        <f t="shared" si="47"/>
        <v>926.1</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3044" t="s">
        <v>3009</v>
      </c>
      <c r="D23" s="3043" t="s">
        <v>1679</v>
      </c>
      <c r="E23" s="87">
        <f t="shared" si="33"/>
        <v>1433.79</v>
      </c>
      <c r="F23" s="88"/>
      <c r="G23" s="89">
        <f t="shared" si="34"/>
        <v>4409.63</v>
      </c>
      <c r="H23" s="90">
        <f t="shared" si="35"/>
        <v>4409.63</v>
      </c>
      <c r="I23" s="1399"/>
      <c r="J23" s="91"/>
      <c r="K23" s="1399">
        <v>3206.88</v>
      </c>
      <c r="L23" s="91"/>
      <c r="M23" s="1367"/>
      <c r="N23" s="91"/>
      <c r="O23" s="91"/>
      <c r="P23" s="91"/>
      <c r="Q23" s="91">
        <v>1202.75</v>
      </c>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t="str">
        <f t="shared" si="39"/>
        <v>11#住宅楼</v>
      </c>
      <c r="AY23" s="95">
        <f t="shared" si="40"/>
        <v>1433.79</v>
      </c>
      <c r="AZ23" s="87">
        <f t="shared" si="41"/>
        <v>4409.63</v>
      </c>
      <c r="BA23" s="87">
        <f t="shared" si="42"/>
        <v>4409.63</v>
      </c>
      <c r="BB23" s="87">
        <f t="shared" si="43"/>
        <v>0</v>
      </c>
      <c r="BC23" s="87">
        <f t="shared" si="44"/>
        <v>3206.88</v>
      </c>
      <c r="BD23" s="87">
        <f t="shared" si="45"/>
        <v>0</v>
      </c>
      <c r="BE23" s="87">
        <f t="shared" si="46"/>
        <v>0</v>
      </c>
      <c r="BF23" s="87">
        <f t="shared" si="47"/>
        <v>1202.75</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3044" t="s">
        <v>3010</v>
      </c>
      <c r="D24" s="3043" t="s">
        <v>1679</v>
      </c>
      <c r="E24" s="87">
        <f t="shared" si="33"/>
        <v>1233.1199999999999</v>
      </c>
      <c r="F24" s="88"/>
      <c r="G24" s="89">
        <f t="shared" si="34"/>
        <v>3792.48</v>
      </c>
      <c r="H24" s="90">
        <f t="shared" si="35"/>
        <v>3792.48</v>
      </c>
      <c r="I24" s="1399"/>
      <c r="J24" s="91"/>
      <c r="K24" s="1399">
        <v>2758.08</v>
      </c>
      <c r="L24" s="91"/>
      <c r="M24" s="91"/>
      <c r="N24" s="91"/>
      <c r="O24" s="1367"/>
      <c r="P24" s="91"/>
      <c r="Q24" s="91">
        <v>1034.4000000000001</v>
      </c>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t="str">
        <f t="shared" si="39"/>
        <v>12#住宅楼</v>
      </c>
      <c r="AY24" s="95">
        <f t="shared" si="40"/>
        <v>1233.1199999999999</v>
      </c>
      <c r="AZ24" s="87">
        <f t="shared" si="41"/>
        <v>3792.48</v>
      </c>
      <c r="BA24" s="87">
        <f t="shared" si="42"/>
        <v>3792.48</v>
      </c>
      <c r="BB24" s="87">
        <f t="shared" si="43"/>
        <v>0</v>
      </c>
      <c r="BC24" s="87">
        <f t="shared" si="44"/>
        <v>2758.08</v>
      </c>
      <c r="BD24" s="87">
        <f t="shared" si="45"/>
        <v>0</v>
      </c>
      <c r="BE24" s="87">
        <f t="shared" si="46"/>
        <v>0</v>
      </c>
      <c r="BF24" s="87">
        <f t="shared" si="47"/>
        <v>1034.4000000000001</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3044" t="s">
        <v>3011</v>
      </c>
      <c r="D25" s="3043" t="s">
        <v>1679</v>
      </c>
      <c r="E25" s="87">
        <f t="shared" si="33"/>
        <v>1324.13</v>
      </c>
      <c r="F25" s="88"/>
      <c r="G25" s="89">
        <f t="shared" si="34"/>
        <v>4072.38</v>
      </c>
      <c r="H25" s="90">
        <f t="shared" si="35"/>
        <v>4072.38</v>
      </c>
      <c r="I25" s="1399"/>
      <c r="J25" s="91"/>
      <c r="K25" s="1399">
        <v>2962.08</v>
      </c>
      <c r="L25" s="91"/>
      <c r="M25" s="91"/>
      <c r="N25" s="91"/>
      <c r="O25" s="91"/>
      <c r="P25" s="91"/>
      <c r="Q25" s="91">
        <v>1110.3</v>
      </c>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t="str">
        <f t="shared" si="39"/>
        <v>13#住宅楼</v>
      </c>
      <c r="AY25" s="95">
        <f t="shared" si="40"/>
        <v>1324.13</v>
      </c>
      <c r="AZ25" s="87">
        <f t="shared" si="41"/>
        <v>4072.38</v>
      </c>
      <c r="BA25" s="87">
        <f t="shared" si="42"/>
        <v>4072.38</v>
      </c>
      <c r="BB25" s="87">
        <f t="shared" si="43"/>
        <v>0</v>
      </c>
      <c r="BC25" s="87">
        <f t="shared" si="44"/>
        <v>2962.08</v>
      </c>
      <c r="BD25" s="87">
        <f t="shared" si="45"/>
        <v>0</v>
      </c>
      <c r="BE25" s="87">
        <f t="shared" si="46"/>
        <v>0</v>
      </c>
      <c r="BF25" s="87">
        <f t="shared" si="47"/>
        <v>1110.3</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3044" t="s">
        <v>3012</v>
      </c>
      <c r="D26" s="3043" t="s">
        <v>1679</v>
      </c>
      <c r="E26" s="87">
        <f t="shared" si="33"/>
        <v>1561.2</v>
      </c>
      <c r="F26" s="88"/>
      <c r="G26" s="89">
        <f t="shared" si="34"/>
        <v>4818.2700000000004</v>
      </c>
      <c r="H26" s="90">
        <f t="shared" si="35"/>
        <v>4801.47</v>
      </c>
      <c r="I26" s="1399"/>
      <c r="J26" s="91"/>
      <c r="K26" s="1399">
        <v>3492.48</v>
      </c>
      <c r="L26" s="91"/>
      <c r="M26" s="91"/>
      <c r="N26" s="91"/>
      <c r="O26" s="91"/>
      <c r="P26" s="91"/>
      <c r="Q26" s="91">
        <v>1308.99</v>
      </c>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v>16.8</v>
      </c>
      <c r="AU26" s="94"/>
      <c r="AV26" s="1982">
        <f t="shared" si="37"/>
        <v>0</v>
      </c>
      <c r="AW26" s="1982">
        <f t="shared" si="38"/>
        <v>0</v>
      </c>
      <c r="AX26" s="1982" t="str">
        <f t="shared" si="39"/>
        <v>14#住宅楼</v>
      </c>
      <c r="AY26" s="95">
        <f t="shared" si="40"/>
        <v>1561.2</v>
      </c>
      <c r="AZ26" s="87">
        <f t="shared" si="41"/>
        <v>4801.47</v>
      </c>
      <c r="BA26" s="87">
        <f t="shared" si="42"/>
        <v>4801.47</v>
      </c>
      <c r="BB26" s="87">
        <f t="shared" si="43"/>
        <v>0</v>
      </c>
      <c r="BC26" s="87">
        <f t="shared" si="44"/>
        <v>3492.48</v>
      </c>
      <c r="BD26" s="87">
        <f t="shared" si="45"/>
        <v>0</v>
      </c>
      <c r="BE26" s="87">
        <f t="shared" si="46"/>
        <v>0</v>
      </c>
      <c r="BF26" s="87">
        <f t="shared" si="47"/>
        <v>1308.99</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3044" t="s">
        <v>3013</v>
      </c>
      <c r="D27" s="3043" t="s">
        <v>1679</v>
      </c>
      <c r="E27" s="87">
        <f t="shared" si="33"/>
        <v>1561.55</v>
      </c>
      <c r="F27" s="88"/>
      <c r="G27" s="89">
        <f t="shared" si="34"/>
        <v>4802.55</v>
      </c>
      <c r="H27" s="90">
        <f t="shared" si="35"/>
        <v>4802.55</v>
      </c>
      <c r="I27" s="1399"/>
      <c r="J27" s="91"/>
      <c r="K27" s="1399">
        <v>3492.48</v>
      </c>
      <c r="L27" s="91"/>
      <c r="M27" s="91"/>
      <c r="N27" s="91"/>
      <c r="O27" s="91"/>
      <c r="P27" s="91"/>
      <c r="Q27" s="91">
        <v>1310.07</v>
      </c>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t="str">
        <f t="shared" si="39"/>
        <v>15#住宅楼</v>
      </c>
      <c r="AY27" s="95">
        <f t="shared" si="40"/>
        <v>1561.55</v>
      </c>
      <c r="AZ27" s="87">
        <f t="shared" si="41"/>
        <v>4802.55</v>
      </c>
      <c r="BA27" s="87">
        <f t="shared" si="42"/>
        <v>4802.55</v>
      </c>
      <c r="BB27" s="87">
        <f t="shared" si="43"/>
        <v>0</v>
      </c>
      <c r="BC27" s="87">
        <f t="shared" si="44"/>
        <v>3492.48</v>
      </c>
      <c r="BD27" s="87">
        <f t="shared" si="45"/>
        <v>0</v>
      </c>
      <c r="BE27" s="87">
        <f t="shared" si="46"/>
        <v>0</v>
      </c>
      <c r="BF27" s="87">
        <f t="shared" si="47"/>
        <v>1310.07</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3044" t="s">
        <v>3014</v>
      </c>
      <c r="D28" s="3043" t="s">
        <v>1679</v>
      </c>
      <c r="E28" s="87">
        <f t="shared" si="33"/>
        <v>1324.13</v>
      </c>
      <c r="F28" s="88"/>
      <c r="G28" s="89">
        <f t="shared" si="34"/>
        <v>4072.38</v>
      </c>
      <c r="H28" s="90">
        <f t="shared" si="35"/>
        <v>4072.38</v>
      </c>
      <c r="I28" s="1399"/>
      <c r="J28" s="91"/>
      <c r="K28" s="1399">
        <v>2962.08</v>
      </c>
      <c r="L28" s="91"/>
      <c r="M28" s="91"/>
      <c r="N28" s="91"/>
      <c r="O28" s="91"/>
      <c r="P28" s="91"/>
      <c r="Q28" s="91">
        <v>1110.3</v>
      </c>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t="str">
        <f t="shared" si="39"/>
        <v>16#住宅楼</v>
      </c>
      <c r="AY28" s="95">
        <f t="shared" si="40"/>
        <v>1324.13</v>
      </c>
      <c r="AZ28" s="87">
        <f t="shared" si="41"/>
        <v>4072.38</v>
      </c>
      <c r="BA28" s="87">
        <f t="shared" si="42"/>
        <v>4072.38</v>
      </c>
      <c r="BB28" s="87">
        <f t="shared" si="43"/>
        <v>0</v>
      </c>
      <c r="BC28" s="87">
        <f t="shared" si="44"/>
        <v>2962.08</v>
      </c>
      <c r="BD28" s="87">
        <f t="shared" si="45"/>
        <v>0</v>
      </c>
      <c r="BE28" s="87">
        <f t="shared" si="46"/>
        <v>0</v>
      </c>
      <c r="BF28" s="87">
        <f t="shared" si="47"/>
        <v>1110.3</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3044" t="s">
        <v>3015</v>
      </c>
      <c r="D29" s="3043" t="s">
        <v>1679</v>
      </c>
      <c r="E29" s="87">
        <f t="shared" si="33"/>
        <v>1233.1199999999999</v>
      </c>
      <c r="F29" s="88"/>
      <c r="G29" s="89">
        <f t="shared" si="34"/>
        <v>3792.48</v>
      </c>
      <c r="H29" s="90">
        <f t="shared" si="35"/>
        <v>3792.48</v>
      </c>
      <c r="I29" s="1399"/>
      <c r="J29" s="91"/>
      <c r="K29" s="1399">
        <v>2758.08</v>
      </c>
      <c r="L29" s="91"/>
      <c r="M29" s="91"/>
      <c r="N29" s="91"/>
      <c r="O29" s="91"/>
      <c r="P29" s="91"/>
      <c r="Q29" s="91">
        <v>1034.4000000000001</v>
      </c>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t="str">
        <f t="shared" si="39"/>
        <v>17#住宅楼</v>
      </c>
      <c r="AY29" s="95">
        <f t="shared" si="40"/>
        <v>1233.1199999999999</v>
      </c>
      <c r="AZ29" s="87">
        <f t="shared" si="41"/>
        <v>3792.48</v>
      </c>
      <c r="BA29" s="87">
        <f t="shared" si="42"/>
        <v>3792.48</v>
      </c>
      <c r="BB29" s="87">
        <f t="shared" si="43"/>
        <v>0</v>
      </c>
      <c r="BC29" s="87">
        <f t="shared" si="44"/>
        <v>2758.08</v>
      </c>
      <c r="BD29" s="87">
        <f t="shared" si="45"/>
        <v>0</v>
      </c>
      <c r="BE29" s="87">
        <f t="shared" si="46"/>
        <v>0</v>
      </c>
      <c r="BF29" s="87">
        <f t="shared" si="47"/>
        <v>1034.4000000000001</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3044" t="s">
        <v>3016</v>
      </c>
      <c r="D30" s="3043" t="s">
        <v>1679</v>
      </c>
      <c r="E30" s="87">
        <f t="shared" si="33"/>
        <v>1451.97</v>
      </c>
      <c r="F30" s="88"/>
      <c r="G30" s="89">
        <f t="shared" si="34"/>
        <v>4465.54</v>
      </c>
      <c r="H30" s="90">
        <f t="shared" si="35"/>
        <v>4465.54</v>
      </c>
      <c r="I30" s="1399"/>
      <c r="J30" s="91"/>
      <c r="K30" s="1399">
        <v>3247.68</v>
      </c>
      <c r="L30" s="91"/>
      <c r="M30" s="91"/>
      <c r="N30" s="91"/>
      <c r="O30" s="91"/>
      <c r="P30" s="91"/>
      <c r="Q30" s="91">
        <v>1217.8599999999999</v>
      </c>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t="str">
        <f t="shared" si="39"/>
        <v>18#住宅楼</v>
      </c>
      <c r="AY30" s="95">
        <f t="shared" si="40"/>
        <v>1451.97</v>
      </c>
      <c r="AZ30" s="87">
        <f t="shared" si="41"/>
        <v>4465.54</v>
      </c>
      <c r="BA30" s="87">
        <f t="shared" si="42"/>
        <v>4465.54</v>
      </c>
      <c r="BB30" s="87">
        <f t="shared" si="43"/>
        <v>0</v>
      </c>
      <c r="BC30" s="87">
        <f t="shared" si="44"/>
        <v>3247.68</v>
      </c>
      <c r="BD30" s="87">
        <f t="shared" si="45"/>
        <v>0</v>
      </c>
      <c r="BE30" s="87">
        <f t="shared" si="46"/>
        <v>0</v>
      </c>
      <c r="BF30" s="87">
        <f t="shared" si="47"/>
        <v>1217.8599999999999</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3044" t="s">
        <v>3017</v>
      </c>
      <c r="D31" s="3043" t="s">
        <v>1679</v>
      </c>
      <c r="E31" s="87">
        <f t="shared" si="33"/>
        <v>1543.29</v>
      </c>
      <c r="F31" s="88"/>
      <c r="G31" s="89">
        <f t="shared" si="34"/>
        <v>4746.41</v>
      </c>
      <c r="H31" s="90">
        <f t="shared" si="35"/>
        <v>4746.41</v>
      </c>
      <c r="I31" s="1399"/>
      <c r="J31" s="91"/>
      <c r="K31" s="1399">
        <v>3451.68</v>
      </c>
      <c r="L31" s="91"/>
      <c r="M31" s="91"/>
      <c r="N31" s="91"/>
      <c r="O31" s="91"/>
      <c r="P31" s="91"/>
      <c r="Q31" s="91">
        <v>1294.73</v>
      </c>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t="str">
        <f t="shared" si="39"/>
        <v>19#住宅楼</v>
      </c>
      <c r="AY31" s="95">
        <f t="shared" si="40"/>
        <v>1543.29</v>
      </c>
      <c r="AZ31" s="87">
        <f t="shared" si="41"/>
        <v>4746.41</v>
      </c>
      <c r="BA31" s="87">
        <f t="shared" si="42"/>
        <v>4746.41</v>
      </c>
      <c r="BB31" s="87">
        <f t="shared" si="43"/>
        <v>0</v>
      </c>
      <c r="BC31" s="87">
        <f t="shared" si="44"/>
        <v>3451.68</v>
      </c>
      <c r="BD31" s="87">
        <f t="shared" si="45"/>
        <v>0</v>
      </c>
      <c r="BE31" s="87">
        <f t="shared" si="46"/>
        <v>0</v>
      </c>
      <c r="BF31" s="87">
        <f t="shared" si="47"/>
        <v>1294.73</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3044" t="s">
        <v>3018</v>
      </c>
      <c r="D32" s="3043" t="s">
        <v>1679</v>
      </c>
      <c r="E32" s="87">
        <f t="shared" si="33"/>
        <v>1451.97</v>
      </c>
      <c r="F32" s="88"/>
      <c r="G32" s="89">
        <f t="shared" si="34"/>
        <v>4465.5499999999993</v>
      </c>
      <c r="H32" s="90">
        <f t="shared" si="35"/>
        <v>4465.5499999999993</v>
      </c>
      <c r="I32" s="1399"/>
      <c r="J32" s="91"/>
      <c r="K32" s="1399">
        <v>3247.68</v>
      </c>
      <c r="L32" s="91"/>
      <c r="M32" s="91"/>
      <c r="N32" s="91"/>
      <c r="O32" s="91"/>
      <c r="P32" s="91"/>
      <c r="Q32" s="91">
        <v>1217.8699999999999</v>
      </c>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t="str">
        <f t="shared" si="39"/>
        <v>20#住宅楼</v>
      </c>
      <c r="AY32" s="95">
        <f t="shared" si="40"/>
        <v>1451.97</v>
      </c>
      <c r="AZ32" s="87">
        <f t="shared" si="41"/>
        <v>4465.5499999999993</v>
      </c>
      <c r="BA32" s="87">
        <f t="shared" si="42"/>
        <v>4465.5499999999993</v>
      </c>
      <c r="BB32" s="87">
        <f t="shared" si="43"/>
        <v>0</v>
      </c>
      <c r="BC32" s="87">
        <f t="shared" si="44"/>
        <v>3247.68</v>
      </c>
      <c r="BD32" s="87">
        <f t="shared" si="45"/>
        <v>0</v>
      </c>
      <c r="BE32" s="87">
        <f t="shared" si="46"/>
        <v>0</v>
      </c>
      <c r="BF32" s="87">
        <f t="shared" si="47"/>
        <v>1217.8699999999999</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3044" t="s">
        <v>3019</v>
      </c>
      <c r="D33" s="3043" t="s">
        <v>1679</v>
      </c>
      <c r="E33" s="87">
        <f t="shared" si="33"/>
        <v>1529.89</v>
      </c>
      <c r="F33" s="88"/>
      <c r="G33" s="89">
        <f t="shared" si="34"/>
        <v>4731.8</v>
      </c>
      <c r="H33" s="90">
        <f t="shared" si="35"/>
        <v>4705.18</v>
      </c>
      <c r="I33" s="1399"/>
      <c r="J33" s="91"/>
      <c r="K33" s="1399">
        <v>3492.48</v>
      </c>
      <c r="L33" s="91"/>
      <c r="M33" s="91"/>
      <c r="N33" s="91"/>
      <c r="O33" s="91"/>
      <c r="P33" s="91"/>
      <c r="Q33" s="91">
        <v>1212.7</v>
      </c>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v>26.62</v>
      </c>
      <c r="AU33" s="94"/>
      <c r="AV33" s="1982">
        <f t="shared" si="37"/>
        <v>0</v>
      </c>
      <c r="AW33" s="1982">
        <f t="shared" si="38"/>
        <v>0</v>
      </c>
      <c r="AX33" s="1982" t="str">
        <f t="shared" si="39"/>
        <v>21#住宅楼</v>
      </c>
      <c r="AY33" s="95">
        <f t="shared" si="40"/>
        <v>1529.89</v>
      </c>
      <c r="AZ33" s="87">
        <f t="shared" si="41"/>
        <v>4705.18</v>
      </c>
      <c r="BA33" s="87">
        <f t="shared" si="42"/>
        <v>4705.18</v>
      </c>
      <c r="BB33" s="87">
        <f t="shared" si="43"/>
        <v>0</v>
      </c>
      <c r="BC33" s="87">
        <f t="shared" si="44"/>
        <v>3492.48</v>
      </c>
      <c r="BD33" s="87">
        <f t="shared" si="45"/>
        <v>0</v>
      </c>
      <c r="BE33" s="87">
        <f t="shared" si="46"/>
        <v>0</v>
      </c>
      <c r="BF33" s="87">
        <f t="shared" si="47"/>
        <v>1212.7</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3044" t="s">
        <v>3020</v>
      </c>
      <c r="D34" s="3043" t="s">
        <v>1679</v>
      </c>
      <c r="E34" s="87">
        <f t="shared" si="33"/>
        <v>1512.9</v>
      </c>
      <c r="F34" s="88"/>
      <c r="G34" s="89">
        <f t="shared" si="34"/>
        <v>4652.9399999999996</v>
      </c>
      <c r="H34" s="90">
        <f t="shared" si="35"/>
        <v>4652.9399999999996</v>
      </c>
      <c r="I34" s="1399"/>
      <c r="J34" s="91"/>
      <c r="K34" s="1399">
        <v>3451.68</v>
      </c>
      <c r="L34" s="91"/>
      <c r="M34" s="91"/>
      <c r="N34" s="91"/>
      <c r="O34" s="91"/>
      <c r="P34" s="91"/>
      <c r="Q34" s="91">
        <v>1201.26</v>
      </c>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t="str">
        <f t="shared" si="39"/>
        <v>22#住宅楼</v>
      </c>
      <c r="AY34" s="95">
        <f t="shared" si="40"/>
        <v>1512.9</v>
      </c>
      <c r="AZ34" s="87">
        <f t="shared" si="41"/>
        <v>4652.9399999999996</v>
      </c>
      <c r="BA34" s="87">
        <f t="shared" si="42"/>
        <v>4652.9399999999996</v>
      </c>
      <c r="BB34" s="87">
        <f t="shared" si="43"/>
        <v>0</v>
      </c>
      <c r="BC34" s="87">
        <f t="shared" si="44"/>
        <v>3451.68</v>
      </c>
      <c r="BD34" s="87">
        <f t="shared" si="45"/>
        <v>0</v>
      </c>
      <c r="BE34" s="87">
        <f t="shared" si="46"/>
        <v>0</v>
      </c>
      <c r="BF34" s="87">
        <f t="shared" si="47"/>
        <v>1201.26</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3044" t="s">
        <v>3021</v>
      </c>
      <c r="D35" s="3043" t="s">
        <v>1679</v>
      </c>
      <c r="E35" s="87">
        <f t="shared" si="33"/>
        <v>1423.85</v>
      </c>
      <c r="F35" s="88"/>
      <c r="G35" s="89">
        <f t="shared" si="34"/>
        <v>4379.07</v>
      </c>
      <c r="H35" s="90">
        <f t="shared" si="35"/>
        <v>4379.07</v>
      </c>
      <c r="I35" s="1399"/>
      <c r="J35" s="91"/>
      <c r="K35" s="1399">
        <v>3247.68</v>
      </c>
      <c r="L35" s="91"/>
      <c r="M35" s="91"/>
      <c r="N35" s="91"/>
      <c r="O35" s="91"/>
      <c r="P35" s="91"/>
      <c r="Q35" s="91">
        <v>1131.3900000000001</v>
      </c>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t="str">
        <f t="shared" si="39"/>
        <v>23#住宅楼</v>
      </c>
      <c r="AY35" s="95">
        <f t="shared" si="40"/>
        <v>1423.85</v>
      </c>
      <c r="AZ35" s="87">
        <f t="shared" si="41"/>
        <v>4379.07</v>
      </c>
      <c r="BA35" s="87">
        <f t="shared" si="42"/>
        <v>4379.07</v>
      </c>
      <c r="BB35" s="87">
        <f t="shared" si="43"/>
        <v>0</v>
      </c>
      <c r="BC35" s="87">
        <f t="shared" si="44"/>
        <v>3247.68</v>
      </c>
      <c r="BD35" s="87">
        <f t="shared" si="45"/>
        <v>0</v>
      </c>
      <c r="BE35" s="87">
        <f t="shared" si="46"/>
        <v>0</v>
      </c>
      <c r="BF35" s="87">
        <f t="shared" si="47"/>
        <v>1131.3900000000001</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3044" t="s">
        <v>3022</v>
      </c>
      <c r="D36" s="3043" t="s">
        <v>1679</v>
      </c>
      <c r="E36" s="87">
        <f t="shared" si="33"/>
        <v>1323.89</v>
      </c>
      <c r="F36" s="88"/>
      <c r="G36" s="89">
        <f t="shared" si="34"/>
        <v>4071.62</v>
      </c>
      <c r="H36" s="90">
        <f t="shared" si="35"/>
        <v>4071.62</v>
      </c>
      <c r="I36" s="1399"/>
      <c r="J36" s="91"/>
      <c r="K36" s="1399">
        <v>3002.88</v>
      </c>
      <c r="L36" s="91"/>
      <c r="M36" s="91"/>
      <c r="N36" s="91"/>
      <c r="O36" s="91"/>
      <c r="P36" s="91"/>
      <c r="Q36" s="91">
        <v>1068.74</v>
      </c>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t="str">
        <f t="shared" si="39"/>
        <v>24#住宅楼</v>
      </c>
      <c r="AY36" s="95">
        <f t="shared" si="40"/>
        <v>1323.89</v>
      </c>
      <c r="AZ36" s="87">
        <f t="shared" si="41"/>
        <v>4071.62</v>
      </c>
      <c r="BA36" s="87">
        <f t="shared" si="42"/>
        <v>4071.62</v>
      </c>
      <c r="BB36" s="87">
        <f t="shared" si="43"/>
        <v>0</v>
      </c>
      <c r="BC36" s="87">
        <f t="shared" si="44"/>
        <v>3002.88</v>
      </c>
      <c r="BD36" s="87">
        <f t="shared" si="45"/>
        <v>0</v>
      </c>
      <c r="BE36" s="87">
        <f t="shared" si="46"/>
        <v>0</v>
      </c>
      <c r="BF36" s="87">
        <f t="shared" si="47"/>
        <v>1068.74</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3044" t="s">
        <v>3023</v>
      </c>
      <c r="D37" s="3043" t="s">
        <v>1679</v>
      </c>
      <c r="E37" s="87">
        <f t="shared" si="33"/>
        <v>1516.55</v>
      </c>
      <c r="F37" s="88"/>
      <c r="G37" s="89">
        <f t="shared" si="34"/>
        <v>4664.1499999999996</v>
      </c>
      <c r="H37" s="90">
        <f t="shared" si="35"/>
        <v>4664.1499999999996</v>
      </c>
      <c r="I37" s="1399"/>
      <c r="J37" s="91"/>
      <c r="K37" s="1399">
        <v>3451.68</v>
      </c>
      <c r="L37" s="91"/>
      <c r="M37" s="91"/>
      <c r="N37" s="91"/>
      <c r="O37" s="91"/>
      <c r="P37" s="91"/>
      <c r="Q37" s="91">
        <v>1212.47</v>
      </c>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t="str">
        <f t="shared" si="39"/>
        <v>25#住宅楼</v>
      </c>
      <c r="AY37" s="95">
        <f t="shared" si="40"/>
        <v>1516.55</v>
      </c>
      <c r="AZ37" s="87">
        <f t="shared" si="41"/>
        <v>4664.1499999999996</v>
      </c>
      <c r="BA37" s="87">
        <f t="shared" si="42"/>
        <v>4664.1499999999996</v>
      </c>
      <c r="BB37" s="87">
        <f t="shared" si="43"/>
        <v>0</v>
      </c>
      <c r="BC37" s="87">
        <f t="shared" si="44"/>
        <v>3451.68</v>
      </c>
      <c r="BD37" s="87">
        <f t="shared" si="45"/>
        <v>0</v>
      </c>
      <c r="BE37" s="87">
        <f t="shared" si="46"/>
        <v>0</v>
      </c>
      <c r="BF37" s="87">
        <f t="shared" si="47"/>
        <v>1212.47</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3044" t="s">
        <v>3024</v>
      </c>
      <c r="D38" s="3043" t="s">
        <v>1679</v>
      </c>
      <c r="E38" s="87">
        <f t="shared" si="33"/>
        <v>1533.59</v>
      </c>
      <c r="F38" s="88"/>
      <c r="G38" s="89">
        <f t="shared" si="34"/>
        <v>4751.04</v>
      </c>
      <c r="H38" s="90">
        <f t="shared" si="35"/>
        <v>4716.57</v>
      </c>
      <c r="I38" s="1399"/>
      <c r="J38" s="91"/>
      <c r="K38" s="1399">
        <v>3492.48</v>
      </c>
      <c r="L38" s="91"/>
      <c r="M38" s="91"/>
      <c r="N38" s="91"/>
      <c r="O38" s="91"/>
      <c r="P38" s="91"/>
      <c r="Q38" s="91">
        <v>1224.0899999999999</v>
      </c>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v>34.47</v>
      </c>
      <c r="AU38" s="94"/>
      <c r="AV38" s="1982">
        <f t="shared" si="37"/>
        <v>0</v>
      </c>
      <c r="AW38" s="1982">
        <f t="shared" si="38"/>
        <v>0</v>
      </c>
      <c r="AX38" s="1982" t="str">
        <f t="shared" si="39"/>
        <v>26#住宅楼</v>
      </c>
      <c r="AY38" s="95">
        <f t="shared" si="40"/>
        <v>1533.59</v>
      </c>
      <c r="AZ38" s="87">
        <f t="shared" si="41"/>
        <v>4716.57</v>
      </c>
      <c r="BA38" s="87">
        <f t="shared" si="42"/>
        <v>4716.57</v>
      </c>
      <c r="BB38" s="87">
        <f t="shared" si="43"/>
        <v>0</v>
      </c>
      <c r="BC38" s="87">
        <f t="shared" si="44"/>
        <v>3492.48</v>
      </c>
      <c r="BD38" s="87">
        <f t="shared" si="45"/>
        <v>0</v>
      </c>
      <c r="BE38" s="87">
        <f t="shared" si="46"/>
        <v>0</v>
      </c>
      <c r="BF38" s="87">
        <f t="shared" si="47"/>
        <v>1224.0899999999999</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28.5">
      <c r="A39" s="84"/>
      <c r="B39" s="1396"/>
      <c r="C39" s="1397" t="s">
        <v>3025</v>
      </c>
      <c r="D39" s="3043" t="s">
        <v>1679</v>
      </c>
      <c r="E39" s="87">
        <f t="shared" si="33"/>
        <v>652.09</v>
      </c>
      <c r="F39" s="88"/>
      <c r="G39" s="89">
        <f t="shared" si="34"/>
        <v>2005.5099999999998</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2005.5099999999998</v>
      </c>
      <c r="AD39" s="92">
        <f>648+141+328+40+80+250.09</f>
        <v>1487.09</v>
      </c>
      <c r="AE39" s="92"/>
      <c r="AF39" s="1399">
        <f>153.42+265</f>
        <v>418.41999999999996</v>
      </c>
      <c r="AG39" s="92"/>
      <c r="AH39" s="92">
        <v>100</v>
      </c>
      <c r="AI39" s="92"/>
      <c r="AJ39" s="92"/>
      <c r="AK39" s="92"/>
      <c r="AL39" s="92"/>
      <c r="AM39" s="92"/>
      <c r="AN39" s="92"/>
      <c r="AO39" s="92"/>
      <c r="AP39" s="92"/>
      <c r="AQ39" s="92"/>
      <c r="AR39" s="92"/>
      <c r="AS39" s="92"/>
      <c r="AT39" s="93"/>
      <c r="AU39" s="94"/>
      <c r="AV39" s="1982">
        <f t="shared" si="37"/>
        <v>0</v>
      </c>
      <c r="AW39" s="1982">
        <f t="shared" si="38"/>
        <v>0</v>
      </c>
      <c r="AX39" s="1982" t="str">
        <f t="shared" si="39"/>
        <v>27#配套公建楼</v>
      </c>
      <c r="AY39" s="95">
        <f t="shared" si="40"/>
        <v>652.09</v>
      </c>
      <c r="AZ39" s="87">
        <f t="shared" si="41"/>
        <v>2005.5099999999998</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2005.5099999999998</v>
      </c>
      <c r="BM39" s="87">
        <f t="shared" si="54"/>
        <v>1487.09</v>
      </c>
      <c r="BN39" s="87">
        <f t="shared" si="55"/>
        <v>418.41999999999996</v>
      </c>
      <c r="BO39" s="87">
        <f t="shared" si="56"/>
        <v>100</v>
      </c>
      <c r="BP39" s="87">
        <f t="shared" si="57"/>
        <v>0</v>
      </c>
      <c r="BQ39" s="87">
        <f t="shared" si="58"/>
        <v>0</v>
      </c>
      <c r="BR39" s="87">
        <f t="shared" si="59"/>
        <v>0</v>
      </c>
      <c r="BS39" s="87">
        <f t="shared" si="60"/>
        <v>0</v>
      </c>
      <c r="BT39" s="96">
        <f t="shared" si="61"/>
        <v>0</v>
      </c>
    </row>
    <row r="40" spans="1:72">
      <c r="A40" s="84"/>
      <c r="B40" s="1396"/>
      <c r="C40" s="1397" t="s">
        <v>3026</v>
      </c>
      <c r="D40" s="3043" t="s">
        <v>1679</v>
      </c>
      <c r="E40" s="87">
        <f t="shared" si="33"/>
        <v>4889.96</v>
      </c>
      <c r="F40" s="88"/>
      <c r="G40" s="89">
        <f t="shared" si="34"/>
        <v>15039.09</v>
      </c>
      <c r="H40" s="90">
        <f t="shared" si="35"/>
        <v>13838.95</v>
      </c>
      <c r="I40" s="1399"/>
      <c r="J40" s="91"/>
      <c r="K40" s="1399"/>
      <c r="L40" s="91"/>
      <c r="M40" s="91">
        <v>12000</v>
      </c>
      <c r="N40" s="91"/>
      <c r="O40" s="91">
        <v>1838.95</v>
      </c>
      <c r="P40" s="91"/>
      <c r="Q40" s="91"/>
      <c r="R40" s="91"/>
      <c r="S40" s="91"/>
      <c r="T40" s="91"/>
      <c r="U40" s="91"/>
      <c r="V40" s="91"/>
      <c r="W40" s="91"/>
      <c r="X40" s="91"/>
      <c r="Y40" s="91"/>
      <c r="Z40" s="91"/>
      <c r="AA40" s="91"/>
      <c r="AB40" s="91"/>
      <c r="AC40" s="87">
        <f t="shared" si="36"/>
        <v>1200.1399999999999</v>
      </c>
      <c r="AD40" s="92"/>
      <c r="AE40" s="92"/>
      <c r="AF40" s="1399">
        <v>270</v>
      </c>
      <c r="AG40" s="92"/>
      <c r="AH40" s="92"/>
      <c r="AI40" s="92"/>
      <c r="AJ40" s="92"/>
      <c r="AK40" s="92"/>
      <c r="AL40" s="92"/>
      <c r="AM40" s="92"/>
      <c r="AN40" s="92">
        <v>930.14</v>
      </c>
      <c r="AO40" s="92"/>
      <c r="AP40" s="92"/>
      <c r="AQ40" s="92"/>
      <c r="AR40" s="92"/>
      <c r="AS40" s="92"/>
      <c r="AT40" s="93"/>
      <c r="AU40" s="94"/>
      <c r="AV40" s="1982">
        <f t="shared" si="37"/>
        <v>0</v>
      </c>
      <c r="AW40" s="1982">
        <f t="shared" si="38"/>
        <v>0</v>
      </c>
      <c r="AX40" s="1982" t="str">
        <f t="shared" si="39"/>
        <v>28#养老院</v>
      </c>
      <c r="AY40" s="95">
        <f t="shared" si="40"/>
        <v>4889.96</v>
      </c>
      <c r="AZ40" s="87">
        <f t="shared" si="41"/>
        <v>15039.09</v>
      </c>
      <c r="BA40" s="87">
        <f t="shared" si="42"/>
        <v>13838.95</v>
      </c>
      <c r="BB40" s="87">
        <f t="shared" si="43"/>
        <v>0</v>
      </c>
      <c r="BC40" s="87">
        <f t="shared" si="44"/>
        <v>0</v>
      </c>
      <c r="BD40" s="87">
        <f t="shared" si="45"/>
        <v>12000</v>
      </c>
      <c r="BE40" s="87">
        <f t="shared" si="46"/>
        <v>1838.95</v>
      </c>
      <c r="BF40" s="87">
        <f t="shared" si="47"/>
        <v>0</v>
      </c>
      <c r="BG40" s="87">
        <f t="shared" si="48"/>
        <v>0</v>
      </c>
      <c r="BH40" s="87">
        <f t="shared" si="49"/>
        <v>0</v>
      </c>
      <c r="BI40" s="87">
        <f t="shared" si="50"/>
        <v>0</v>
      </c>
      <c r="BJ40" s="87">
        <f t="shared" si="51"/>
        <v>0</v>
      </c>
      <c r="BK40" s="87">
        <f t="shared" si="52"/>
        <v>0</v>
      </c>
      <c r="BL40" s="87">
        <f t="shared" si="53"/>
        <v>1200.1399999999999</v>
      </c>
      <c r="BM40" s="87">
        <f t="shared" si="54"/>
        <v>0</v>
      </c>
      <c r="BN40" s="87">
        <f t="shared" si="55"/>
        <v>270</v>
      </c>
      <c r="BO40" s="87">
        <f t="shared" si="56"/>
        <v>0</v>
      </c>
      <c r="BP40" s="87">
        <f t="shared" si="57"/>
        <v>0</v>
      </c>
      <c r="BQ40" s="87">
        <f t="shared" si="58"/>
        <v>0</v>
      </c>
      <c r="BR40" s="87">
        <f t="shared" si="59"/>
        <v>930.14</v>
      </c>
      <c r="BS40" s="87">
        <f t="shared" si="60"/>
        <v>0</v>
      </c>
      <c r="BT40" s="96">
        <f t="shared" si="61"/>
        <v>0</v>
      </c>
    </row>
    <row r="41" spans="1:72">
      <c r="A41" s="84"/>
      <c r="B41" s="1396"/>
      <c r="C41" s="1397" t="s">
        <v>3029</v>
      </c>
      <c r="D41" s="3043" t="s">
        <v>1679</v>
      </c>
      <c r="E41" s="87">
        <f t="shared" si="33"/>
        <v>65.14</v>
      </c>
      <c r="F41" s="88"/>
      <c r="G41" s="89">
        <f t="shared" si="34"/>
        <v>200.35000000000002</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200.35000000000002</v>
      </c>
      <c r="AD41" s="92">
        <v>133.71</v>
      </c>
      <c r="AE41" s="92"/>
      <c r="AF41" s="1399">
        <v>66.64</v>
      </c>
      <c r="AG41" s="92"/>
      <c r="AH41" s="92"/>
      <c r="AI41" s="92"/>
      <c r="AJ41" s="92"/>
      <c r="AK41" s="92"/>
      <c r="AL41" s="92"/>
      <c r="AM41" s="92"/>
      <c r="AN41" s="92"/>
      <c r="AO41" s="92"/>
      <c r="AP41" s="92"/>
      <c r="AQ41" s="92"/>
      <c r="AR41" s="92"/>
      <c r="AS41" s="92"/>
      <c r="AT41" s="93"/>
      <c r="AU41" s="94"/>
      <c r="AV41" s="1982">
        <f t="shared" si="37"/>
        <v>0</v>
      </c>
      <c r="AW41" s="1982">
        <f t="shared" si="38"/>
        <v>0</v>
      </c>
      <c r="AX41" s="1982" t="str">
        <f t="shared" si="39"/>
        <v>1#配电室</v>
      </c>
      <c r="AY41" s="95">
        <f t="shared" si="40"/>
        <v>65.14</v>
      </c>
      <c r="AZ41" s="87">
        <f t="shared" si="41"/>
        <v>200.35000000000002</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200.35000000000002</v>
      </c>
      <c r="BM41" s="87">
        <f t="shared" si="54"/>
        <v>133.71</v>
      </c>
      <c r="BN41" s="87">
        <f t="shared" si="55"/>
        <v>66.64</v>
      </c>
      <c r="BO41" s="87">
        <f t="shared" si="56"/>
        <v>0</v>
      </c>
      <c r="BP41" s="87">
        <f t="shared" si="57"/>
        <v>0</v>
      </c>
      <c r="BQ41" s="87">
        <f t="shared" si="58"/>
        <v>0</v>
      </c>
      <c r="BR41" s="87">
        <f t="shared" si="59"/>
        <v>0</v>
      </c>
      <c r="BS41" s="87">
        <f t="shared" si="60"/>
        <v>0</v>
      </c>
      <c r="BT41" s="96">
        <f t="shared" si="61"/>
        <v>0</v>
      </c>
    </row>
    <row r="42" spans="1:72">
      <c r="A42" s="84"/>
      <c r="B42" s="1396"/>
      <c r="C42" s="1397" t="s">
        <v>3030</v>
      </c>
      <c r="D42" s="3043" t="s">
        <v>1679</v>
      </c>
      <c r="E42" s="87">
        <f t="shared" si="33"/>
        <v>66.94</v>
      </c>
      <c r="F42" s="88"/>
      <c r="G42" s="89">
        <f t="shared" si="34"/>
        <v>223.88</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205.88</v>
      </c>
      <c r="AD42" s="92">
        <v>137.25</v>
      </c>
      <c r="AE42" s="92"/>
      <c r="AF42" s="1399">
        <v>68.63</v>
      </c>
      <c r="AG42" s="92"/>
      <c r="AH42" s="92"/>
      <c r="AI42" s="92"/>
      <c r="AJ42" s="92"/>
      <c r="AK42" s="92"/>
      <c r="AL42" s="92"/>
      <c r="AM42" s="92"/>
      <c r="AN42" s="92"/>
      <c r="AO42" s="92"/>
      <c r="AP42" s="92"/>
      <c r="AQ42" s="92"/>
      <c r="AR42" s="92"/>
      <c r="AS42" s="92"/>
      <c r="AT42" s="93">
        <v>18</v>
      </c>
      <c r="AU42" s="94"/>
      <c r="AV42" s="1982">
        <f t="shared" si="37"/>
        <v>0</v>
      </c>
      <c r="AW42" s="1982">
        <f t="shared" si="38"/>
        <v>0</v>
      </c>
      <c r="AX42" s="1982" t="str">
        <f t="shared" si="39"/>
        <v>2#配电室</v>
      </c>
      <c r="AY42" s="95">
        <f t="shared" si="40"/>
        <v>66.94</v>
      </c>
      <c r="AZ42" s="87">
        <f t="shared" si="41"/>
        <v>205.88</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205.88</v>
      </c>
      <c r="BM42" s="87">
        <f t="shared" si="54"/>
        <v>137.25</v>
      </c>
      <c r="BN42" s="87">
        <f t="shared" si="55"/>
        <v>68.63</v>
      </c>
      <c r="BO42" s="87">
        <f t="shared" si="56"/>
        <v>0</v>
      </c>
      <c r="BP42" s="87">
        <f t="shared" si="57"/>
        <v>0</v>
      </c>
      <c r="BQ42" s="87">
        <f t="shared" si="58"/>
        <v>0</v>
      </c>
      <c r="BR42" s="87">
        <f t="shared" si="59"/>
        <v>0</v>
      </c>
      <c r="BS42" s="87">
        <f t="shared" si="60"/>
        <v>0</v>
      </c>
      <c r="BT42" s="96">
        <f t="shared" si="61"/>
        <v>0</v>
      </c>
    </row>
    <row r="43" spans="1:72" ht="28.5">
      <c r="A43" s="84"/>
      <c r="B43" s="1396"/>
      <c r="C43" s="1397" t="s">
        <v>3031</v>
      </c>
      <c r="D43" s="3043" t="s">
        <v>1679</v>
      </c>
      <c r="E43" s="87">
        <f t="shared" si="33"/>
        <v>145.36000000000001</v>
      </c>
      <c r="F43" s="88"/>
      <c r="G43" s="89">
        <f t="shared" si="34"/>
        <v>447.04</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447.04</v>
      </c>
      <c r="AD43" s="92">
        <v>289.85000000000002</v>
      </c>
      <c r="AE43" s="92"/>
      <c r="AF43" s="1399">
        <v>157.19</v>
      </c>
      <c r="AG43" s="92"/>
      <c r="AH43" s="92"/>
      <c r="AI43" s="92"/>
      <c r="AJ43" s="92"/>
      <c r="AK43" s="92"/>
      <c r="AL43" s="92"/>
      <c r="AM43" s="92"/>
      <c r="AN43" s="92"/>
      <c r="AO43" s="92"/>
      <c r="AP43" s="92"/>
      <c r="AQ43" s="92"/>
      <c r="AR43" s="92"/>
      <c r="AS43" s="92"/>
      <c r="AT43" s="93"/>
      <c r="AU43" s="94"/>
      <c r="AV43" s="1982">
        <f t="shared" si="37"/>
        <v>0</v>
      </c>
      <c r="AW43" s="1982">
        <f t="shared" si="38"/>
        <v>0</v>
      </c>
      <c r="AX43" s="1982" t="str">
        <f t="shared" si="39"/>
        <v>3、4#配电室</v>
      </c>
      <c r="AY43" s="95">
        <f t="shared" si="40"/>
        <v>145.36000000000001</v>
      </c>
      <c r="AZ43" s="87">
        <f t="shared" si="41"/>
        <v>447.04</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447.04</v>
      </c>
      <c r="BM43" s="87">
        <f t="shared" si="54"/>
        <v>289.85000000000002</v>
      </c>
      <c r="BN43" s="87">
        <f t="shared" si="55"/>
        <v>157.19</v>
      </c>
      <c r="BO43" s="87">
        <f t="shared" si="56"/>
        <v>0</v>
      </c>
      <c r="BP43" s="87">
        <f t="shared" si="57"/>
        <v>0</v>
      </c>
      <c r="BQ43" s="87">
        <f t="shared" si="58"/>
        <v>0</v>
      </c>
      <c r="BR43" s="87">
        <f t="shared" si="59"/>
        <v>0</v>
      </c>
      <c r="BS43" s="87">
        <f t="shared" si="60"/>
        <v>0</v>
      </c>
      <c r="BT43" s="96">
        <f t="shared" si="61"/>
        <v>0</v>
      </c>
    </row>
    <row r="44" spans="1:72">
      <c r="A44" s="84"/>
      <c r="B44" s="1396"/>
      <c r="C44" s="1397" t="s">
        <v>3032</v>
      </c>
      <c r="D44" s="3043" t="s">
        <v>1679</v>
      </c>
      <c r="E44" s="87">
        <f t="shared" si="33"/>
        <v>1.3</v>
      </c>
      <c r="F44" s="88"/>
      <c r="G44" s="89">
        <f t="shared" si="34"/>
        <v>4</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4</v>
      </c>
      <c r="AD44" s="92"/>
      <c r="AE44" s="92"/>
      <c r="AF44" s="1399"/>
      <c r="AG44" s="92"/>
      <c r="AH44" s="92"/>
      <c r="AI44" s="92"/>
      <c r="AJ44" s="92"/>
      <c r="AK44" s="92"/>
      <c r="AL44" s="92">
        <v>4</v>
      </c>
      <c r="AM44" s="92"/>
      <c r="AN44" s="92"/>
      <c r="AO44" s="92"/>
      <c r="AP44" s="92"/>
      <c r="AQ44" s="92"/>
      <c r="AR44" s="92"/>
      <c r="AS44" s="92"/>
      <c r="AT44" s="93"/>
      <c r="AU44" s="94"/>
      <c r="AV44" s="1982">
        <f t="shared" si="37"/>
        <v>0</v>
      </c>
      <c r="AW44" s="1982">
        <f t="shared" si="38"/>
        <v>0</v>
      </c>
      <c r="AX44" s="1982" t="str">
        <f t="shared" si="39"/>
        <v>南岗厅</v>
      </c>
      <c r="AY44" s="95">
        <f t="shared" si="40"/>
        <v>1.3</v>
      </c>
      <c r="AZ44" s="87">
        <f t="shared" si="41"/>
        <v>4</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4</v>
      </c>
      <c r="BM44" s="87">
        <f t="shared" si="54"/>
        <v>0</v>
      </c>
      <c r="BN44" s="87">
        <f t="shared" si="55"/>
        <v>0</v>
      </c>
      <c r="BO44" s="87">
        <f t="shared" si="56"/>
        <v>0</v>
      </c>
      <c r="BP44" s="87">
        <f t="shared" si="57"/>
        <v>0</v>
      </c>
      <c r="BQ44" s="87">
        <f t="shared" si="58"/>
        <v>4</v>
      </c>
      <c r="BR44" s="87">
        <f t="shared" si="59"/>
        <v>0</v>
      </c>
      <c r="BS44" s="87">
        <f t="shared" si="60"/>
        <v>0</v>
      </c>
      <c r="BT44" s="96">
        <f t="shared" si="61"/>
        <v>0</v>
      </c>
    </row>
    <row r="45" spans="1:72">
      <c r="A45" s="84"/>
      <c r="B45" s="1396"/>
      <c r="C45" s="1397" t="s">
        <v>3033</v>
      </c>
      <c r="D45" s="3043" t="s">
        <v>1679</v>
      </c>
      <c r="E45" s="87">
        <f t="shared" si="33"/>
        <v>3.58</v>
      </c>
      <c r="F45" s="88"/>
      <c r="G45" s="89">
        <f t="shared" si="34"/>
        <v>11</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11</v>
      </c>
      <c r="AD45" s="92"/>
      <c r="AE45" s="92"/>
      <c r="AF45" s="1399"/>
      <c r="AG45" s="92"/>
      <c r="AH45" s="92"/>
      <c r="AI45" s="92"/>
      <c r="AJ45" s="92"/>
      <c r="AK45" s="92"/>
      <c r="AL45" s="92">
        <v>11</v>
      </c>
      <c r="AM45" s="92"/>
      <c r="AN45" s="92"/>
      <c r="AO45" s="92"/>
      <c r="AP45" s="92"/>
      <c r="AQ45" s="92"/>
      <c r="AR45" s="92"/>
      <c r="AS45" s="92"/>
      <c r="AT45" s="93"/>
      <c r="AU45" s="94"/>
      <c r="AV45" s="1982">
        <f t="shared" si="37"/>
        <v>0</v>
      </c>
      <c r="AW45" s="1982">
        <f t="shared" si="38"/>
        <v>0</v>
      </c>
      <c r="AX45" s="1982" t="str">
        <f t="shared" si="39"/>
        <v>北岗厅</v>
      </c>
      <c r="AY45" s="95">
        <f t="shared" si="40"/>
        <v>3.58</v>
      </c>
      <c r="AZ45" s="87">
        <f t="shared" si="41"/>
        <v>11</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11</v>
      </c>
      <c r="BM45" s="87">
        <f t="shared" si="54"/>
        <v>0</v>
      </c>
      <c r="BN45" s="87">
        <f t="shared" si="55"/>
        <v>0</v>
      </c>
      <c r="BO45" s="87">
        <f t="shared" si="56"/>
        <v>0</v>
      </c>
      <c r="BP45" s="87">
        <f t="shared" si="57"/>
        <v>0</v>
      </c>
      <c r="BQ45" s="87">
        <f t="shared" si="58"/>
        <v>11</v>
      </c>
      <c r="BR45" s="87">
        <f t="shared" si="59"/>
        <v>0</v>
      </c>
      <c r="BS45" s="87">
        <f t="shared" si="60"/>
        <v>0</v>
      </c>
      <c r="BT45" s="96">
        <f t="shared" si="61"/>
        <v>0</v>
      </c>
    </row>
    <row r="46" spans="1:72">
      <c r="A46" s="84"/>
      <c r="B46" s="1396"/>
      <c r="C46" s="1397" t="s">
        <v>3034</v>
      </c>
      <c r="D46" s="3043" t="s">
        <v>1679</v>
      </c>
      <c r="E46" s="87">
        <f t="shared" si="33"/>
        <v>3.9</v>
      </c>
      <c r="F46" s="88"/>
      <c r="G46" s="89">
        <f t="shared" si="34"/>
        <v>12</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12</v>
      </c>
      <c r="AD46" s="92"/>
      <c r="AE46" s="92"/>
      <c r="AF46" s="1399"/>
      <c r="AG46" s="92"/>
      <c r="AH46" s="92"/>
      <c r="AI46" s="92"/>
      <c r="AJ46" s="92"/>
      <c r="AK46" s="92"/>
      <c r="AL46" s="92">
        <v>12</v>
      </c>
      <c r="AM46" s="92"/>
      <c r="AN46" s="92"/>
      <c r="AO46" s="92"/>
      <c r="AP46" s="92"/>
      <c r="AQ46" s="92"/>
      <c r="AR46" s="92"/>
      <c r="AS46" s="92"/>
      <c r="AT46" s="93"/>
      <c r="AU46" s="94"/>
      <c r="AV46" s="1982">
        <f t="shared" si="37"/>
        <v>0</v>
      </c>
      <c r="AW46" s="1982">
        <f t="shared" si="38"/>
        <v>0</v>
      </c>
      <c r="AX46" s="1982" t="str">
        <f t="shared" si="39"/>
        <v>西岗厅</v>
      </c>
      <c r="AY46" s="95">
        <f t="shared" si="40"/>
        <v>3.9</v>
      </c>
      <c r="AZ46" s="87">
        <f t="shared" si="41"/>
        <v>12</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12</v>
      </c>
      <c r="BM46" s="87">
        <f t="shared" si="54"/>
        <v>0</v>
      </c>
      <c r="BN46" s="87">
        <f t="shared" si="55"/>
        <v>0</v>
      </c>
      <c r="BO46" s="87">
        <f t="shared" si="56"/>
        <v>0</v>
      </c>
      <c r="BP46" s="87">
        <f t="shared" si="57"/>
        <v>0</v>
      </c>
      <c r="BQ46" s="87">
        <f t="shared" si="58"/>
        <v>12</v>
      </c>
      <c r="BR46" s="87">
        <f t="shared" si="59"/>
        <v>0</v>
      </c>
      <c r="BS46" s="87">
        <f t="shared" si="60"/>
        <v>0</v>
      </c>
      <c r="BT46" s="96">
        <f t="shared" si="61"/>
        <v>0</v>
      </c>
    </row>
    <row r="47" spans="1:72" ht="42.75">
      <c r="A47" s="84"/>
      <c r="B47" s="1396"/>
      <c r="C47" s="1397" t="s">
        <v>3035</v>
      </c>
      <c r="D47" s="3043" t="s">
        <v>1679</v>
      </c>
      <c r="E47" s="87">
        <f t="shared" si="33"/>
        <v>0</v>
      </c>
      <c r="F47" s="88"/>
      <c r="G47" s="89">
        <f t="shared" si="34"/>
        <v>56.82</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v>56.82</v>
      </c>
      <c r="AU47" s="94"/>
      <c r="AV47" s="1982">
        <f t="shared" si="37"/>
        <v>0</v>
      </c>
      <c r="AW47" s="1982">
        <f t="shared" si="38"/>
        <v>0</v>
      </c>
      <c r="AX47" s="1982" t="str">
        <f t="shared" si="39"/>
        <v>4#13#人防室外主要出入口</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28.5">
      <c r="A48" s="84"/>
      <c r="B48" s="1396"/>
      <c r="C48" s="1397" t="s">
        <v>3036</v>
      </c>
      <c r="D48" s="3043" t="s">
        <v>1679</v>
      </c>
      <c r="E48" s="87">
        <f t="shared" si="33"/>
        <v>0</v>
      </c>
      <c r="F48" s="88"/>
      <c r="G48" s="89">
        <f t="shared" si="34"/>
        <v>13.05</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v>13.05</v>
      </c>
      <c r="AU48" s="94"/>
      <c r="AV48" s="1982">
        <f t="shared" si="37"/>
        <v>0</v>
      </c>
      <c r="AW48" s="1982">
        <f t="shared" si="38"/>
        <v>0</v>
      </c>
      <c r="AX48" s="1982" t="str">
        <f t="shared" si="39"/>
        <v>5#人防次要出入口</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t="s">
        <v>3037</v>
      </c>
      <c r="D49" s="80" t="s">
        <v>1679</v>
      </c>
      <c r="E49" s="87">
        <f t="shared" si="33"/>
        <v>9010.77</v>
      </c>
      <c r="F49" s="88"/>
      <c r="G49" s="89">
        <f t="shared" si="34"/>
        <v>56421.93</v>
      </c>
      <c r="H49" s="90">
        <f t="shared" si="35"/>
        <v>25871.86</v>
      </c>
      <c r="I49" s="1397"/>
      <c r="J49" s="91"/>
      <c r="K49" s="1397"/>
      <c r="L49" s="91"/>
      <c r="M49" s="91"/>
      <c r="N49" s="91"/>
      <c r="O49" s="91">
        <v>25871.86</v>
      </c>
      <c r="P49" s="91"/>
      <c r="Q49" s="91"/>
      <c r="R49" s="91"/>
      <c r="S49" s="91"/>
      <c r="T49" s="91"/>
      <c r="U49" s="91"/>
      <c r="V49" s="91"/>
      <c r="W49" s="91"/>
      <c r="X49" s="91"/>
      <c r="Y49" s="91"/>
      <c r="Z49" s="91"/>
      <c r="AA49" s="91"/>
      <c r="AB49" s="91"/>
      <c r="AC49" s="87">
        <f t="shared" si="36"/>
        <v>1840.8</v>
      </c>
      <c r="AD49" s="92"/>
      <c r="AE49" s="92"/>
      <c r="AF49" s="1397"/>
      <c r="AG49" s="92"/>
      <c r="AH49" s="92"/>
      <c r="AI49" s="92"/>
      <c r="AJ49" s="92"/>
      <c r="AK49" s="92"/>
      <c r="AL49" s="92"/>
      <c r="AM49" s="92"/>
      <c r="AN49" s="92">
        <v>1840.8</v>
      </c>
      <c r="AO49" s="92"/>
      <c r="AP49" s="92"/>
      <c r="AQ49" s="92"/>
      <c r="AR49" s="92"/>
      <c r="AS49" s="92"/>
      <c r="AT49" s="93">
        <v>28709.27</v>
      </c>
      <c r="AU49" s="94"/>
      <c r="AV49" s="1982">
        <f t="shared" si="37"/>
        <v>0</v>
      </c>
      <c r="AW49" s="1982">
        <f t="shared" si="38"/>
        <v>0</v>
      </c>
      <c r="AX49" s="1982" t="str">
        <f t="shared" si="39"/>
        <v>地下车库</v>
      </c>
      <c r="AY49" s="95">
        <f t="shared" si="40"/>
        <v>9010.77</v>
      </c>
      <c r="AZ49" s="87">
        <f t="shared" si="41"/>
        <v>27712.66</v>
      </c>
      <c r="BA49" s="87">
        <f t="shared" si="42"/>
        <v>25871.86</v>
      </c>
      <c r="BB49" s="87">
        <f t="shared" si="43"/>
        <v>0</v>
      </c>
      <c r="BC49" s="87">
        <f t="shared" si="44"/>
        <v>0</v>
      </c>
      <c r="BD49" s="87">
        <f t="shared" si="45"/>
        <v>0</v>
      </c>
      <c r="BE49" s="87">
        <f t="shared" si="46"/>
        <v>25871.86</v>
      </c>
      <c r="BF49" s="87">
        <f t="shared" si="47"/>
        <v>0</v>
      </c>
      <c r="BG49" s="87">
        <f t="shared" si="48"/>
        <v>0</v>
      </c>
      <c r="BH49" s="87">
        <f t="shared" si="49"/>
        <v>0</v>
      </c>
      <c r="BI49" s="87">
        <f t="shared" si="50"/>
        <v>0</v>
      </c>
      <c r="BJ49" s="87">
        <f t="shared" si="51"/>
        <v>0</v>
      </c>
      <c r="BK49" s="87">
        <f t="shared" si="52"/>
        <v>0</v>
      </c>
      <c r="BL49" s="87">
        <f t="shared" si="53"/>
        <v>1840.8</v>
      </c>
      <c r="BM49" s="87">
        <f t="shared" si="54"/>
        <v>0</v>
      </c>
      <c r="BN49" s="87">
        <f t="shared" si="55"/>
        <v>0</v>
      </c>
      <c r="BO49" s="87">
        <f t="shared" si="56"/>
        <v>0</v>
      </c>
      <c r="BP49" s="87">
        <f t="shared" si="57"/>
        <v>0</v>
      </c>
      <c r="BQ49" s="87">
        <f t="shared" si="58"/>
        <v>0</v>
      </c>
      <c r="BR49" s="87">
        <f t="shared" si="59"/>
        <v>1840.8</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39" sqref="C39"/>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9" t="s">
        <v>203</v>
      </c>
      <c r="B2" s="3279"/>
      <c r="C2" s="3279"/>
      <c r="D2" s="1978" t="s">
        <v>204</v>
      </c>
      <c r="E2" s="106" t="s">
        <v>205</v>
      </c>
      <c r="F2" s="1987"/>
      <c r="G2" s="1201"/>
      <c r="H2" s="1202"/>
      <c r="I2" s="1203" t="s">
        <v>857</v>
      </c>
      <c r="J2" s="1987"/>
      <c r="K2" s="1987"/>
      <c r="L2" s="1987"/>
    </row>
    <row r="3" spans="1:16" ht="15.75" thickBot="1">
      <c r="A3" s="3280" t="s">
        <v>206</v>
      </c>
      <c r="B3" s="3280"/>
      <c r="C3" s="3280"/>
      <c r="D3" s="107">
        <f>'数据-基础表'!AY6</f>
        <v>97801.4</v>
      </c>
      <c r="E3" s="107">
        <f>'数据-基础表'!AZ5</f>
        <v>300788.65999999997</v>
      </c>
      <c r="F3" s="1987"/>
      <c r="G3" s="280" t="s">
        <v>858</v>
      </c>
      <c r="H3" s="275" t="s">
        <v>859</v>
      </c>
      <c r="I3" s="1979">
        <f>ROUND('数据-基础表'!B3/'数据-基础表'!A3,2)</f>
        <v>3.08</v>
      </c>
      <c r="J3" s="1987"/>
      <c r="K3" s="1987"/>
      <c r="L3" s="1987"/>
    </row>
    <row r="4" spans="1:16" ht="15">
      <c r="A4" s="3281"/>
      <c r="B4" s="3282"/>
      <c r="C4" s="3283"/>
      <c r="D4" s="108" t="s">
        <v>204</v>
      </c>
      <c r="E4" s="109" t="s">
        <v>205</v>
      </c>
      <c r="F4" s="1987"/>
      <c r="G4" s="1204"/>
      <c r="H4" s="275" t="s">
        <v>860</v>
      </c>
      <c r="I4" s="1979">
        <f>ROUND(SUMIF('数据-基础表'!I9:AS9,"地上",'数据-基础表'!I5:AS5)/'数据-基础表'!A3,2)</f>
        <v>2.42</v>
      </c>
      <c r="J4" s="1987"/>
      <c r="K4" s="1987"/>
      <c r="L4" s="1987"/>
    </row>
    <row r="5" spans="1:16">
      <c r="A5" s="110" t="s">
        <v>207</v>
      </c>
      <c r="B5" s="3284" t="s">
        <v>230</v>
      </c>
      <c r="C5" s="3284"/>
      <c r="D5" s="111">
        <f>ROUND($D$3*E5/$E$3,2)</f>
        <v>72352</v>
      </c>
      <c r="E5" s="112">
        <f>SUMIF('数据-基础表'!$11:$11,"住宅",'数据-基础表'!$5:$5)</f>
        <v>222518.9</v>
      </c>
      <c r="F5" s="1987"/>
      <c r="G5" s="280" t="s">
        <v>861</v>
      </c>
      <c r="H5" s="275" t="s">
        <v>859</v>
      </c>
      <c r="I5" s="1979">
        <f>ROUND(E31/D31,2)</f>
        <v>3.08</v>
      </c>
      <c r="J5" s="1987"/>
      <c r="K5" s="1987"/>
      <c r="L5" s="1987"/>
    </row>
    <row r="6" spans="1:16" ht="15" thickBot="1">
      <c r="A6" s="113"/>
      <c r="B6" s="3284" t="s">
        <v>208</v>
      </c>
      <c r="C6" s="3284"/>
      <c r="D6" s="111">
        <f>ROUND($D$3*E6/$E$3,2)</f>
        <v>25449.4</v>
      </c>
      <c r="E6" s="112">
        <f>E3-E5</f>
        <v>78269.75999999998</v>
      </c>
      <c r="F6" s="1987"/>
      <c r="G6" s="1204"/>
      <c r="H6" s="275" t="s">
        <v>860</v>
      </c>
      <c r="I6" s="1979">
        <f>ROUND(F31/D31,2)</f>
        <v>2.42</v>
      </c>
      <c r="J6" s="1987"/>
      <c r="K6" s="1987"/>
      <c r="L6" s="1987"/>
    </row>
    <row r="7" spans="1:16" ht="15">
      <c r="A7" s="3276"/>
      <c r="B7" s="3277"/>
      <c r="C7" s="3278"/>
      <c r="D7" s="108" t="s">
        <v>204</v>
      </c>
      <c r="E7" s="114" t="s">
        <v>231</v>
      </c>
      <c r="F7" s="1987"/>
      <c r="G7" s="1159" t="s">
        <v>1646</v>
      </c>
      <c r="H7" s="1160"/>
      <c r="I7" s="1849">
        <f>ROUND((222737.23+14262.77)/D3,2)</f>
        <v>2.42</v>
      </c>
      <c r="J7" s="1987"/>
      <c r="K7" s="1987"/>
      <c r="L7" s="1987"/>
    </row>
    <row r="8" spans="1:16">
      <c r="A8" s="110" t="s">
        <v>209</v>
      </c>
      <c r="B8" s="115" t="s">
        <v>210</v>
      </c>
      <c r="C8" s="111" t="s">
        <v>211</v>
      </c>
      <c r="D8" s="111">
        <f t="shared" ref="D8:D15" si="0">ROUND($D$3*E8/$E$3,2)</f>
        <v>76253.789999999994</v>
      </c>
      <c r="E8" s="116">
        <f>SUMIF('数据-基础表'!BB10:BK10,"地上",'数据-基础表'!BB5:BK5)</f>
        <v>234518.9</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2330</v>
      </c>
      <c r="D11" s="111">
        <f t="shared" si="0"/>
        <v>147.06</v>
      </c>
      <c r="E11" s="116">
        <f>SUMPRODUCT(('数据-基础表'!BB10:BK10="地下")*('数据-基础表'!BB11:BK11="办公")*('数据-基础表'!BB5:BK5))+'数据-基础表'!AJ5</f>
        <v>452.28</v>
      </c>
      <c r="F11" s="1987"/>
      <c r="G11" s="1989"/>
      <c r="H11" s="1989"/>
      <c r="I11" s="1987"/>
      <c r="J11" s="1987"/>
      <c r="K11" s="1987"/>
      <c r="L11" s="1987"/>
    </row>
    <row r="12" spans="1:16">
      <c r="A12" s="117"/>
      <c r="B12" s="118"/>
      <c r="C12" s="111" t="s">
        <v>214</v>
      </c>
      <c r="D12" s="111">
        <f t="shared" si="0"/>
        <v>6750.05</v>
      </c>
      <c r="E12" s="116">
        <f>SUMPRODUCT(('数据-基础表'!BB10:BK10="地下")*('数据-基础表'!BB11:BK11="仓储")*('数据-基础表'!BB5:BK5))</f>
        <v>20759.810000000005</v>
      </c>
      <c r="F12" s="1987"/>
      <c r="G12" s="1989"/>
      <c r="H12" s="1989"/>
      <c r="I12" s="1987"/>
      <c r="J12" s="1987"/>
      <c r="K12" s="1987"/>
      <c r="L12" s="1987"/>
    </row>
    <row r="13" spans="1:16">
      <c r="A13" s="117"/>
      <c r="B13" s="118"/>
      <c r="C13" s="2334" t="s">
        <v>2337</v>
      </c>
      <c r="D13" s="111">
        <f t="shared" si="0"/>
        <v>10083.549999999999</v>
      </c>
      <c r="E13" s="116">
        <f>SUMPRODUCT(('数据-基础表'!BB10:BK10="地下")*('数据-基础表'!BB11:BK11="车库")*('数据-基础表'!BB5:BK5))</f>
        <v>31012.010000000002</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93234.45</v>
      </c>
      <c r="E16" s="120">
        <f>SUM(E8:E15)</f>
        <v>286743</v>
      </c>
      <c r="F16" s="1987"/>
      <c r="G16" s="1989"/>
      <c r="H16" s="971" t="s">
        <v>219</v>
      </c>
      <c r="I16" s="972"/>
      <c r="J16" s="1987"/>
      <c r="K16" s="3270" t="s">
        <v>2572</v>
      </c>
      <c r="L16" s="3271"/>
      <c r="M16" s="3271"/>
      <c r="N16" s="3271"/>
      <c r="O16" s="3271"/>
      <c r="P16" s="3272"/>
    </row>
    <row r="17" spans="1:19" ht="15">
      <c r="A17" s="121" t="s">
        <v>216</v>
      </c>
      <c r="B17" s="122" t="s">
        <v>217</v>
      </c>
      <c r="C17" s="2301" t="s">
        <v>2316</v>
      </c>
      <c r="D17" s="108" t="s">
        <v>204</v>
      </c>
      <c r="E17" s="124" t="s">
        <v>205</v>
      </c>
      <c r="F17" s="125"/>
      <c r="G17" s="1368"/>
      <c r="H17" s="973" t="s">
        <v>218</v>
      </c>
      <c r="I17" s="974" t="s">
        <v>2315</v>
      </c>
      <c r="J17" s="1987"/>
      <c r="K17" s="3273" t="s">
        <v>2573</v>
      </c>
      <c r="L17" s="3274"/>
      <c r="M17" s="3275"/>
      <c r="N17" s="3273" t="s">
        <v>2574</v>
      </c>
      <c r="O17" s="3274"/>
      <c r="P17" s="3275"/>
      <c r="R17" s="2302" t="s">
        <v>2314</v>
      </c>
      <c r="S17" s="144"/>
    </row>
    <row r="18" spans="1:19" ht="15">
      <c r="A18" s="117"/>
      <c r="B18" s="128"/>
      <c r="C18" s="129"/>
      <c r="D18" s="2670"/>
      <c r="E18" s="130" t="s">
        <v>220</v>
      </c>
      <c r="F18" s="131" t="s">
        <v>221</v>
      </c>
      <c r="G18" s="1369" t="s">
        <v>222</v>
      </c>
      <c r="H18" s="975" t="s">
        <v>223</v>
      </c>
      <c r="I18" s="976" t="s">
        <v>224</v>
      </c>
      <c r="J18" s="1987"/>
      <c r="K18" s="2632" t="s">
        <v>2575</v>
      </c>
      <c r="L18" s="2633" t="s">
        <v>2576</v>
      </c>
      <c r="M18" s="2634" t="s">
        <v>2577</v>
      </c>
      <c r="N18" s="2632" t="s">
        <v>2575</v>
      </c>
      <c r="O18" s="2633" t="s">
        <v>2576</v>
      </c>
      <c r="P18" s="2634" t="s">
        <v>2577</v>
      </c>
      <c r="R18" s="2303" t="s">
        <v>2312</v>
      </c>
      <c r="S18" s="2303" t="s">
        <v>2313</v>
      </c>
    </row>
    <row r="19" spans="1:19">
      <c r="A19" s="133"/>
      <c r="B19" s="115" t="s">
        <v>225</v>
      </c>
      <c r="C19" s="3052" t="s">
        <v>3045</v>
      </c>
      <c r="D19" s="111">
        <f t="shared" ref="D19:D26" si="1">ROUND($D$3*E19/$E$3,2)</f>
        <v>53914.75</v>
      </c>
      <c r="E19" s="134">
        <f t="shared" ref="E19:E26" si="2">SUM(F19:G19)</f>
        <v>165815.06</v>
      </c>
      <c r="F19" s="135">
        <f>'数据-基础表'!I5</f>
        <v>165815.06</v>
      </c>
      <c r="G19" s="1370"/>
      <c r="H19" s="977">
        <f>ROUND($D$3*I19/$E$3,2)</f>
        <v>3734.19</v>
      </c>
      <c r="I19" s="116">
        <f>IF($I$17="自定义",P19,M19)</f>
        <v>11484.53</v>
      </c>
      <c r="J19" s="1987"/>
      <c r="K19" s="2635">
        <f t="shared" ref="K19:K26" si="3">ROUND(E$28*E19/E$27,2)</f>
        <v>4147.47</v>
      </c>
      <c r="L19" s="275">
        <f t="shared" ref="L19:L26" si="4">ROUND(IF(COUNTIF(C19,"*住宅*")&gt;0,E$29*E19/E$32,0),2)</f>
        <v>7337.06</v>
      </c>
      <c r="M19" s="2636">
        <f>K19+L19</f>
        <v>11484.53</v>
      </c>
      <c r="N19" s="2637"/>
      <c r="O19" s="2638"/>
      <c r="P19" s="2639">
        <f>N19+O19</f>
        <v>0</v>
      </c>
      <c r="R19" s="275">
        <f t="shared" ref="R19:S26" si="5">D19+H19</f>
        <v>57648.94</v>
      </c>
      <c r="S19" s="2304">
        <f t="shared" si="5"/>
        <v>177299.59</v>
      </c>
    </row>
    <row r="20" spans="1:19">
      <c r="A20" s="138"/>
      <c r="B20" s="115" t="s">
        <v>226</v>
      </c>
      <c r="C20" s="3052" t="s">
        <v>3039</v>
      </c>
      <c r="D20" s="111">
        <f t="shared" si="1"/>
        <v>18437.25</v>
      </c>
      <c r="E20" s="134">
        <f t="shared" si="2"/>
        <v>56703.840000000004</v>
      </c>
      <c r="F20" s="135">
        <f>'数据-基础表'!K5</f>
        <v>56703.840000000004</v>
      </c>
      <c r="G20" s="1370"/>
      <c r="H20" s="977">
        <f t="shared" ref="H20:H26" si="6">ROUND($D$3*I20/$E$3,2)</f>
        <v>461.16</v>
      </c>
      <c r="I20" s="116">
        <f t="shared" ref="I20:I26" si="7">IF($I$17="自定义",P20,M20)</f>
        <v>1418.31</v>
      </c>
      <c r="J20" s="1987"/>
      <c r="K20" s="2635">
        <f t="shared" si="3"/>
        <v>1418.31</v>
      </c>
      <c r="L20" s="275">
        <f t="shared" si="4"/>
        <v>0</v>
      </c>
      <c r="M20" s="2636">
        <f t="shared" ref="M20:M26" si="8">K20+L20</f>
        <v>1418.31</v>
      </c>
      <c r="N20" s="2637"/>
      <c r="O20" s="2638"/>
      <c r="P20" s="2639">
        <f t="shared" ref="P20:P26" si="9">N20+O20</f>
        <v>0</v>
      </c>
      <c r="R20" s="275">
        <f t="shared" si="5"/>
        <v>18898.41</v>
      </c>
      <c r="S20" s="2304">
        <f t="shared" si="5"/>
        <v>58122.15</v>
      </c>
    </row>
    <row r="21" spans="1:19">
      <c r="A21" s="138"/>
      <c r="B21" s="115" t="s">
        <v>226</v>
      </c>
      <c r="C21" s="3052" t="s">
        <v>3040</v>
      </c>
      <c r="D21" s="111">
        <f t="shared" si="1"/>
        <v>3901.8</v>
      </c>
      <c r="E21" s="134">
        <f t="shared" si="2"/>
        <v>12000</v>
      </c>
      <c r="F21" s="135">
        <f>'数据-基础表'!M5</f>
        <v>12000</v>
      </c>
      <c r="G21" s="1370"/>
      <c r="H21" s="977">
        <f t="shared" si="6"/>
        <v>97.59</v>
      </c>
      <c r="I21" s="116">
        <f t="shared" si="7"/>
        <v>300.14999999999998</v>
      </c>
      <c r="J21" s="1987"/>
      <c r="K21" s="2635">
        <f t="shared" si="3"/>
        <v>300.14999999999998</v>
      </c>
      <c r="L21" s="275">
        <f t="shared" si="4"/>
        <v>0</v>
      </c>
      <c r="M21" s="2636">
        <f t="shared" si="8"/>
        <v>300.14999999999998</v>
      </c>
      <c r="N21" s="2637"/>
      <c r="O21" s="2638"/>
      <c r="P21" s="2639">
        <f t="shared" si="9"/>
        <v>0</v>
      </c>
      <c r="R21" s="275">
        <f t="shared" si="5"/>
        <v>3999.3900000000003</v>
      </c>
      <c r="S21" s="2304">
        <f t="shared" si="5"/>
        <v>12300.15</v>
      </c>
    </row>
    <row r="22" spans="1:19">
      <c r="A22" s="138"/>
      <c r="B22" s="115" t="s">
        <v>226</v>
      </c>
      <c r="C22" s="3177" t="s">
        <v>3041</v>
      </c>
      <c r="D22" s="111">
        <f t="shared" si="1"/>
        <v>10083.549999999999</v>
      </c>
      <c r="E22" s="134">
        <f t="shared" si="2"/>
        <v>31012.010000000002</v>
      </c>
      <c r="F22" s="140"/>
      <c r="G22" s="1371">
        <f>'数据-基础表'!O5</f>
        <v>31012.010000000002</v>
      </c>
      <c r="H22" s="977">
        <f t="shared" si="6"/>
        <v>252.22</v>
      </c>
      <c r="I22" s="116">
        <f t="shared" si="7"/>
        <v>775.69</v>
      </c>
      <c r="J22" s="1987"/>
      <c r="K22" s="2635">
        <f t="shared" si="3"/>
        <v>775.69</v>
      </c>
      <c r="L22" s="275">
        <f t="shared" si="4"/>
        <v>0</v>
      </c>
      <c r="M22" s="2636">
        <f t="shared" si="8"/>
        <v>775.69</v>
      </c>
      <c r="N22" s="2637"/>
      <c r="O22" s="2638"/>
      <c r="P22" s="2639">
        <f t="shared" si="9"/>
        <v>0</v>
      </c>
      <c r="R22" s="275">
        <f t="shared" si="5"/>
        <v>10335.769999999999</v>
      </c>
      <c r="S22" s="2304">
        <f t="shared" si="5"/>
        <v>31787.7</v>
      </c>
    </row>
    <row r="23" spans="1:19">
      <c r="A23" s="138"/>
      <c r="B23" s="115" t="s">
        <v>226</v>
      </c>
      <c r="C23" s="3177" t="s">
        <v>3043</v>
      </c>
      <c r="D23" s="111">
        <f>ROUND($D$3*E23/$E$3,2)</f>
        <v>6750.05</v>
      </c>
      <c r="E23" s="134">
        <f>SUM(F23:G23)</f>
        <v>20759.810000000005</v>
      </c>
      <c r="F23" s="140"/>
      <c r="G23" s="1371">
        <f>'数据-基础表'!Q5</f>
        <v>20759.810000000005</v>
      </c>
      <c r="H23" s="977">
        <f>ROUND($D$3*I23/$E$3,2)</f>
        <v>168.84</v>
      </c>
      <c r="I23" s="116">
        <f t="shared" si="7"/>
        <v>519.26</v>
      </c>
      <c r="J23" s="1987"/>
      <c r="K23" s="2635">
        <f t="shared" si="3"/>
        <v>519.26</v>
      </c>
      <c r="L23" s="275">
        <f t="shared" si="4"/>
        <v>0</v>
      </c>
      <c r="M23" s="2636">
        <f t="shared" si="8"/>
        <v>519.26</v>
      </c>
      <c r="N23" s="2637"/>
      <c r="O23" s="2638"/>
      <c r="P23" s="2639">
        <f t="shared" si="9"/>
        <v>0</v>
      </c>
      <c r="R23" s="275">
        <f t="shared" si="5"/>
        <v>6918.89</v>
      </c>
      <c r="S23" s="2304">
        <f t="shared" si="5"/>
        <v>21279.070000000003</v>
      </c>
    </row>
    <row r="24" spans="1:19">
      <c r="A24" s="138"/>
      <c r="B24" s="115" t="s">
        <v>226</v>
      </c>
      <c r="C24" s="139"/>
      <c r="D24" s="111">
        <f>ROUND($D$3*E24/$E$3,2)</f>
        <v>0</v>
      </c>
      <c r="E24" s="134">
        <f>SUM(F24:G24)</f>
        <v>0</v>
      </c>
      <c r="F24" s="140"/>
      <c r="G24" s="1371"/>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93087.400000000009</v>
      </c>
      <c r="E27" s="143">
        <f>IF(SUM(E19:E26)='数据-基础表'!BA5,SUM(E19:E26),IF(F27="地上面积有误","面积有误","地下面积有误"))</f>
        <v>286290.71999999997</v>
      </c>
      <c r="F27" s="134">
        <f>IF(SUM(F19:F26)=E8,SUM(F19:F26),"地上面积有误")</f>
        <v>234518.9</v>
      </c>
      <c r="G27" s="112">
        <f>SUM(G19:G26)</f>
        <v>51771.820000000007</v>
      </c>
      <c r="H27" s="978">
        <f>SUM(H19:H26)</f>
        <v>4714.0000000000009</v>
      </c>
      <c r="I27" s="979">
        <f>SUM(I19:I26)</f>
        <v>14497.94</v>
      </c>
      <c r="J27" s="1987"/>
      <c r="K27" s="2644">
        <f>SUM(K19:K26)</f>
        <v>7160.880000000001</v>
      </c>
      <c r="L27" s="2645">
        <f>SUM(L19:L26)</f>
        <v>7337.06</v>
      </c>
      <c r="M27" s="2646">
        <f>SUM(M19:M26)</f>
        <v>14497.94</v>
      </c>
      <c r="N27" s="2644">
        <f t="shared" ref="N27:O27" si="10">SUM(N19:N26)</f>
        <v>0</v>
      </c>
      <c r="O27" s="2645">
        <f t="shared" si="10"/>
        <v>0</v>
      </c>
      <c r="P27" s="2647">
        <f>SUM(P19:P26)</f>
        <v>0</v>
      </c>
      <c r="R27" s="2308">
        <f>IF(SUM(R19:R26)=$D$3,SUM(R19:R26),SUM(R19:R26)&amp;"误差"&amp;ROUND(SUM(R19:R26)-$D$3,2))</f>
        <v>97801.400000000009</v>
      </c>
      <c r="S27" s="275">
        <f>IF(SUM(S19:S26)=$E$3,SUM(S19:S26),SUM(S19:S26)&amp;"误差"&amp;ROUND(SUM(S19:S26)-E3,2))</f>
        <v>300788.65999999997</v>
      </c>
    </row>
    <row r="28" spans="1:19">
      <c r="A28" s="138"/>
      <c r="B28" s="115" t="s">
        <v>227</v>
      </c>
      <c r="C28" s="136" t="s">
        <v>228</v>
      </c>
      <c r="D28" s="111">
        <f>ROUND($D$3*E28/$E$3,2)</f>
        <v>2328.36</v>
      </c>
      <c r="E28" s="134">
        <f>SUM(F28:G28)</f>
        <v>7160.880000000001</v>
      </c>
      <c r="F28" s="144">
        <f>'数据-基础表'!BQ5+'数据-基础表'!BS5</f>
        <v>27</v>
      </c>
      <c r="G28" s="145">
        <f>'数据-基础表'!BR5+'数据-基础表'!BT5</f>
        <v>7133.880000000001</v>
      </c>
      <c r="H28" s="1987"/>
      <c r="I28" s="1987"/>
      <c r="J28" s="1987"/>
      <c r="K28" s="1987"/>
      <c r="L28" s="1987"/>
    </row>
    <row r="29" spans="1:19">
      <c r="A29" s="138"/>
      <c r="B29" s="115" t="s">
        <v>227</v>
      </c>
      <c r="C29" s="2316" t="s">
        <v>2323</v>
      </c>
      <c r="D29" s="111">
        <f>ROUND($D$3*E29/$E$3,2)</f>
        <v>2385.64</v>
      </c>
      <c r="E29" s="134">
        <f>SUM(F29:G29)</f>
        <v>7337.0599999999995</v>
      </c>
      <c r="F29" s="144">
        <f>'数据-基础表'!BM5+'数据-基础表'!BO5</f>
        <v>2147.9</v>
      </c>
      <c r="G29" s="146">
        <f>'数据-基础表'!BN5+'数据-基础表'!BP5</f>
        <v>5189.16</v>
      </c>
      <c r="H29" s="1987"/>
      <c r="I29" s="1987"/>
      <c r="J29" s="1987"/>
      <c r="K29" s="1987"/>
      <c r="L29" s="1987"/>
    </row>
    <row r="30" spans="1:19">
      <c r="A30" s="138"/>
      <c r="B30" s="111"/>
      <c r="C30" s="147" t="s">
        <v>215</v>
      </c>
      <c r="D30" s="134">
        <f>SUM(D28:D29)</f>
        <v>4714</v>
      </c>
      <c r="E30" s="134">
        <f>SUM(E28:E29)</f>
        <v>14497.94</v>
      </c>
      <c r="F30" s="134">
        <f>SUM(F28:F29)</f>
        <v>2174.9</v>
      </c>
      <c r="G30" s="112">
        <f>SUM(G28:G29)</f>
        <v>12323.04</v>
      </c>
      <c r="H30" s="1987"/>
      <c r="I30" s="1987"/>
      <c r="J30" s="1987"/>
      <c r="K30" s="1987"/>
      <c r="L30" s="1987"/>
    </row>
    <row r="31" spans="1:19" ht="32.25" customHeight="1" thickBot="1">
      <c r="A31" s="1372"/>
      <c r="B31" s="1373" t="s">
        <v>229</v>
      </c>
      <c r="C31" s="2333" t="s">
        <v>2325</v>
      </c>
      <c r="D31" s="1374">
        <f>D27+D30</f>
        <v>97801.400000000009</v>
      </c>
      <c r="E31" s="1374">
        <f>E27+E30</f>
        <v>300788.65999999997</v>
      </c>
      <c r="F31" s="1375">
        <f>F27+F30</f>
        <v>236693.8</v>
      </c>
      <c r="G31" s="1376">
        <f>G27+G30</f>
        <v>64094.860000000008</v>
      </c>
      <c r="H31" s="1987"/>
      <c r="I31" s="1987"/>
      <c r="J31" s="1987"/>
      <c r="K31" s="1987"/>
      <c r="L31" s="1987"/>
    </row>
    <row r="32" spans="1:19">
      <c r="A32" s="1987"/>
      <c r="B32" s="2366" t="s">
        <v>2324</v>
      </c>
      <c r="C32" s="2675"/>
      <c r="D32" s="1204"/>
      <c r="E32" s="1204">
        <f>SUMIF(C19:C26,"*住宅*",E19:E26)</f>
        <v>165815.06</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T27" sqref="T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43047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8" t="s">
        <v>2578</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2326</v>
      </c>
      <c r="AI5" s="171" t="s">
        <v>2295</v>
      </c>
      <c r="AJ5" s="171" t="s">
        <v>258</v>
      </c>
      <c r="AK5" s="159" t="s">
        <v>259</v>
      </c>
      <c r="AL5" s="159" t="s">
        <v>260</v>
      </c>
      <c r="AM5" s="172" t="s">
        <v>261</v>
      </c>
      <c r="AN5" s="2418" t="s">
        <v>2377</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高层住宅</v>
      </c>
      <c r="B6" s="2340" t="str">
        <f>IF(A6=0,"","经营性")</f>
        <v>经营性</v>
      </c>
      <c r="C6" s="173" t="s">
        <v>923</v>
      </c>
      <c r="D6" s="2311">
        <f>SUMIF(项目基本情况!D$15:I$15,C6,项目基本情况!D$18:I$18)</f>
        <v>70</v>
      </c>
      <c r="E6" s="2312">
        <f>IF(B6="","",SUMIF(项目基本情况!D$15:I$15,C6,项目基本情况!D$17:I$17))</f>
        <v>63796</v>
      </c>
      <c r="F6" s="174">
        <f>SUMIF(项目基本情况!D$15:I$15,C6,项目基本情况!D$19:I$19)</f>
        <v>56.84</v>
      </c>
      <c r="G6" s="175">
        <f>IF(ISERROR(ROUND(POWER(1+H6,D6-F6)*(POWER(1+H6,F6)-1)/(POWER(1+H6,D6)-1),3)),0,ROUND(POWER(1+H6,D6-F6)*(POWER(1+H6,F6)-1)/(POWER(1+H6,D6)-1),3))</f>
        <v>0.95399999999999996</v>
      </c>
      <c r="H6" s="3053">
        <v>0.04</v>
      </c>
      <c r="I6" s="3053">
        <v>4.4999999999999998E-2</v>
      </c>
      <c r="J6" s="176">
        <v>8.5000000000000006E-2</v>
      </c>
      <c r="K6" s="179">
        <f>SUMIF('数据-汇总表'!C$19:C$33,'数据-取费表'!A6,'数据-汇总表'!E$19:E$33)</f>
        <v>165815.06</v>
      </c>
      <c r="L6" s="3054">
        <v>4000</v>
      </c>
      <c r="M6" s="177">
        <f t="shared" ref="M6:M14" si="0">ROUND(K6*L6/10000,0)</f>
        <v>66326</v>
      </c>
      <c r="N6" s="3055">
        <v>0</v>
      </c>
      <c r="O6" s="177">
        <f>IF($N$5="成新度","——",ROUND(M6*N6,0))</f>
        <v>0</v>
      </c>
      <c r="P6" s="178">
        <f>IF($N$5="成新度","——",M6-O6)</f>
        <v>66326</v>
      </c>
      <c r="Q6" s="3056">
        <v>0.2</v>
      </c>
      <c r="R6" s="179">
        <f>SUMIF('数据-汇总表'!C$19:C$33,A6,'数据-汇总表'!R$19:R$33)</f>
        <v>57648.94</v>
      </c>
      <c r="S6" s="132">
        <f>IF('数据-汇总表'!$I$17="按面积比例",SUMIF('数据-汇总表'!C$19:C$33,A6,'数据-汇总表'!K$19:K$33),SUMIF('数据-汇总表'!C$19:C$33,A6,'数据-汇总表'!N$19:N$33))</f>
        <v>4147.47</v>
      </c>
      <c r="T6" s="2237">
        <f>IF($T$4="按面积比例",IF(ISERROR(ROUND($M$14*S6/S$16,0)),"0",ROUND($M$14*S6/S$16,0)),"需自行计算录入")</f>
        <v>1244</v>
      </c>
      <c r="U6" s="180"/>
      <c r="V6" s="181"/>
      <c r="W6" s="181"/>
      <c r="X6" s="2324"/>
      <c r="Y6" s="182"/>
      <c r="Z6" s="183"/>
      <c r="AA6" s="176"/>
      <c r="AB6" s="176"/>
      <c r="AC6" s="2327"/>
      <c r="AD6" s="184"/>
      <c r="AE6" s="975">
        <f ca="1">IF(AN6="",0,SUMIF(INDIRECT("'"&amp;AN6&amp;"'"&amp;"!E:E"),$AE$5,INDIRECT("'"&amp;AN6&amp;"'"&amp;"!F:F")))</f>
        <v>0</v>
      </c>
      <c r="AF6" s="141"/>
      <c r="AG6" s="1216">
        <f>IF(AF6="",0,AE6-AF6)</f>
        <v>0</v>
      </c>
      <c r="AH6" s="141"/>
      <c r="AI6" s="187"/>
      <c r="AJ6" s="188"/>
      <c r="AK6" s="189"/>
      <c r="AL6" s="190"/>
      <c r="AM6" s="3067"/>
      <c r="AN6" s="2419"/>
      <c r="AO6" s="2003"/>
      <c r="AP6" s="1207">
        <f>ROUND(1-1/(1+H6)^F6,3)</f>
        <v>0.89200000000000002</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联排</v>
      </c>
      <c r="B7" s="2340" t="str">
        <f t="shared" ref="B7:B13" si="1">IF(A7=0,"","经营性")</f>
        <v>经营性</v>
      </c>
      <c r="C7" s="173" t="s">
        <v>923</v>
      </c>
      <c r="D7" s="2311">
        <f>SUMIF(项目基本情况!D$15:I$15,C7,项目基本情况!D$18:I$18)</f>
        <v>70</v>
      </c>
      <c r="E7" s="2312">
        <f>IF(B7="","",SUMIF(项目基本情况!D$15:I$15,C7,项目基本情况!D$17:I$17))</f>
        <v>63796</v>
      </c>
      <c r="F7" s="174">
        <f>SUMIF(项目基本情况!D$15:I$15,C7,项目基本情况!D$19:I$19)</f>
        <v>56.84</v>
      </c>
      <c r="G7" s="175">
        <f t="shared" ref="G7:G11" si="2">IF(ISERROR(ROUND(POWER(1+H7,D7-F7)*(POWER(1+H7,F7)-1)/(POWER(1+H7,D7)-1),3)),0,ROUND(POWER(1+H7,D7-F7)*(POWER(1+H7,F7)-1)/(POWER(1+H7,D7)-1),3))</f>
        <v>0.95399999999999996</v>
      </c>
      <c r="H7" s="3053">
        <v>0.04</v>
      </c>
      <c r="I7" s="3053">
        <v>4.4999999999999998E-2</v>
      </c>
      <c r="J7" s="176">
        <v>8.5000000000000006E-2</v>
      </c>
      <c r="K7" s="179">
        <f>SUMIF('数据-汇总表'!C$19:C$33,'数据-取费表'!A7,'数据-汇总表'!E$19:E$33)</f>
        <v>56703.840000000004</v>
      </c>
      <c r="L7" s="3054">
        <v>2500</v>
      </c>
      <c r="M7" s="177">
        <f t="shared" si="0"/>
        <v>14176</v>
      </c>
      <c r="N7" s="3055">
        <v>0</v>
      </c>
      <c r="O7" s="177">
        <f t="shared" ref="O7:O14" si="3">IF($N$5="成新度","——",ROUND(M7*N7,0))</f>
        <v>0</v>
      </c>
      <c r="P7" s="178">
        <f t="shared" ref="P7:P14" si="4">IF($N$5="成新度","——",M7-O7)</f>
        <v>14176</v>
      </c>
      <c r="Q7" s="3056">
        <v>0.25</v>
      </c>
      <c r="R7" s="179">
        <f>SUMIF('数据-汇总表'!C$19:C$33,A7,'数据-汇总表'!R$19:R$33)</f>
        <v>18898.41</v>
      </c>
      <c r="S7" s="132">
        <f>IF('数据-汇总表'!$I$17="按面积比例",SUMIF('数据-汇总表'!C$19:C$33,A7,'数据-汇总表'!K$19:K$33),SUMIF('数据-汇总表'!C$19:C$33,A7,'数据-汇总表'!N$19:N$33))</f>
        <v>1418.31</v>
      </c>
      <c r="T7" s="2237">
        <f t="shared" ref="T7:T13" si="5">IF($T$4="按面积比例",IF(ISERROR(ROUND($M$14*S7/S$16,0)),"0",ROUND($M$14*S7/S$16,0)),"需自行计算录入")</f>
        <v>425</v>
      </c>
      <c r="U7" s="180"/>
      <c r="V7" s="181"/>
      <c r="W7" s="181"/>
      <c r="X7" s="2324"/>
      <c r="Y7" s="182"/>
      <c r="Z7" s="183"/>
      <c r="AA7" s="176"/>
      <c r="AB7" s="176"/>
      <c r="AC7" s="2327"/>
      <c r="AD7" s="184"/>
      <c r="AE7" s="975">
        <f t="shared" ref="AE7:AE13" ca="1" si="6">IF(AN7="",0,SUMIF(INDIRECT("'"&amp;AN7&amp;"'"&amp;"!E:E"),$AE$5,INDIRECT("'"&amp;AN7&amp;"'"&amp;"!F:F")))</f>
        <v>0</v>
      </c>
      <c r="AF7" s="141"/>
      <c r="AG7" s="1216">
        <f t="shared" ref="AG7:AG13" si="7">IF(AF7="",0,AE7-AF7)</f>
        <v>0</v>
      </c>
      <c r="AH7" s="141"/>
      <c r="AI7" s="187"/>
      <c r="AJ7" s="188"/>
      <c r="AK7" s="189"/>
      <c r="AL7" s="190"/>
      <c r="AM7" s="2417"/>
      <c r="AN7" s="2419"/>
      <c r="AO7" s="2003"/>
      <c r="AP7" s="1207">
        <f t="shared" ref="AP7:AP13" si="8">ROUND(1-1/(1+H7)^F7,3)</f>
        <v>0.89200000000000002</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t="str">
        <f>'数据-汇总表'!C21</f>
        <v>养老院</v>
      </c>
      <c r="B8" s="2340" t="str">
        <f t="shared" si="1"/>
        <v>经营性</v>
      </c>
      <c r="C8" s="173" t="s">
        <v>1678</v>
      </c>
      <c r="D8" s="2311">
        <f>SUMIF(项目基本情况!D$15:I$15,C8,项目基本情况!D$18:I$18)</f>
        <v>50</v>
      </c>
      <c r="E8" s="2312">
        <f>IF(B8="","",SUMIF(项目基本情况!D$15:I$15,C8,项目基本情况!D$17:I$17))</f>
        <v>56491</v>
      </c>
      <c r="F8" s="174">
        <f>SUMIF(项目基本情况!D$15:I$15,C8,项目基本情况!D$19:I$19)</f>
        <v>36.83</v>
      </c>
      <c r="G8" s="175">
        <f t="shared" si="2"/>
        <v>0.90200000000000002</v>
      </c>
      <c r="H8" s="3053">
        <v>4.4999999999999998E-2</v>
      </c>
      <c r="I8" s="3053">
        <v>5.5E-2</v>
      </c>
      <c r="J8" s="176">
        <v>8.5000000000000006E-2</v>
      </c>
      <c r="K8" s="179">
        <f>SUMIF('数据-汇总表'!C$19:C$33,'数据-取费表'!A8,'数据-汇总表'!E$19:E$33)</f>
        <v>12000</v>
      </c>
      <c r="L8" s="3054">
        <v>3500</v>
      </c>
      <c r="M8" s="177">
        <f>ROUND(K8*L8/10000,0)</f>
        <v>4200</v>
      </c>
      <c r="N8" s="3055">
        <v>0</v>
      </c>
      <c r="O8" s="177">
        <f t="shared" si="3"/>
        <v>0</v>
      </c>
      <c r="P8" s="178">
        <f t="shared" si="4"/>
        <v>4200</v>
      </c>
      <c r="Q8" s="3056">
        <v>0.15</v>
      </c>
      <c r="R8" s="179">
        <f>SUMIF('数据-汇总表'!C$19:C$33,A8,'数据-汇总表'!R$19:R$33)</f>
        <v>3999.3900000000003</v>
      </c>
      <c r="S8" s="132">
        <f>IF('数据-汇总表'!$I$17="按面积比例",SUMIF('数据-汇总表'!C$19:C$33,A8,'数据-汇总表'!K$19:K$33),SUMIF('数据-汇总表'!C$19:C$33,A8,'数据-汇总表'!N$19:N$33))</f>
        <v>300.14999999999998</v>
      </c>
      <c r="T8" s="2237">
        <f t="shared" si="5"/>
        <v>90</v>
      </c>
      <c r="U8" s="3178">
        <v>4.5</v>
      </c>
      <c r="V8" s="181">
        <v>0.02</v>
      </c>
      <c r="W8" s="181">
        <v>0.1</v>
      </c>
      <c r="X8" s="2324"/>
      <c r="Y8" s="182">
        <v>1</v>
      </c>
      <c r="Z8" s="183"/>
      <c r="AA8" s="176"/>
      <c r="AB8" s="176"/>
      <c r="AC8" s="2327"/>
      <c r="AD8" s="184"/>
      <c r="AE8" s="975">
        <f t="shared" ca="1" si="6"/>
        <v>33.83</v>
      </c>
      <c r="AF8" s="141"/>
      <c r="AG8" s="1216">
        <f t="shared" si="7"/>
        <v>0</v>
      </c>
      <c r="AH8" s="141"/>
      <c r="AI8" s="187">
        <v>365</v>
      </c>
      <c r="AJ8" s="188"/>
      <c r="AK8" s="189">
        <v>1.4999999999999999E-2</v>
      </c>
      <c r="AL8" s="190">
        <v>1.5E-3</v>
      </c>
      <c r="AM8" s="2417">
        <v>0.01</v>
      </c>
      <c r="AN8" s="2419" t="s">
        <v>3059</v>
      </c>
      <c r="AO8" s="2003"/>
      <c r="AP8" s="1207">
        <f t="shared" si="8"/>
        <v>0.80200000000000005</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t="str">
        <f>'数据-汇总表'!C22</f>
        <v>地下车库</v>
      </c>
      <c r="B9" s="2340" t="str">
        <f t="shared" si="1"/>
        <v>经营性</v>
      </c>
      <c r="C9" s="173" t="s">
        <v>2985</v>
      </c>
      <c r="D9" s="2311">
        <f>SUMIF(项目基本情况!D$15:I$15,C9,项目基本情况!D$18:I$18)</f>
        <v>50</v>
      </c>
      <c r="E9" s="2312">
        <f>IF(B9="","",SUMIF(项目基本情况!D$15:I$15,C9,项目基本情况!D$17:I$17))</f>
        <v>56491</v>
      </c>
      <c r="F9" s="174">
        <f>SUMIF(项目基本情况!D$15:I$15,C9,项目基本情况!D$19:I$19)</f>
        <v>36.83</v>
      </c>
      <c r="G9" s="175">
        <f t="shared" si="2"/>
        <v>0.90200000000000002</v>
      </c>
      <c r="H9" s="3053">
        <v>4.4999999999999998E-2</v>
      </c>
      <c r="I9" s="176">
        <v>0.05</v>
      </c>
      <c r="J9" s="176">
        <v>8.5000000000000006E-2</v>
      </c>
      <c r="K9" s="179">
        <f>SUMIF('数据-汇总表'!C$19:C$33,'数据-取费表'!A9,'数据-汇总表'!E$19:E$33)</f>
        <v>31012.010000000002</v>
      </c>
      <c r="L9" s="193">
        <v>3000</v>
      </c>
      <c r="M9" s="177">
        <f t="shared" si="0"/>
        <v>9304</v>
      </c>
      <c r="N9" s="194">
        <v>0</v>
      </c>
      <c r="O9" s="177">
        <f t="shared" si="3"/>
        <v>0</v>
      </c>
      <c r="P9" s="178">
        <f t="shared" si="4"/>
        <v>9304</v>
      </c>
      <c r="Q9" s="192">
        <v>0.1</v>
      </c>
      <c r="R9" s="179">
        <f>SUMIF('数据-汇总表'!C$19:C$33,A9,'数据-汇总表'!R$19:R$33)</f>
        <v>10335.769999999999</v>
      </c>
      <c r="S9" s="132">
        <f>IF('数据-汇总表'!$I$17="按面积比例",SUMIF('数据-汇总表'!C$19:C$33,A9,'数据-汇总表'!K$19:K$33),SUMIF('数据-汇总表'!C$19:C$33,A9,'数据-汇总表'!N$19:N$33))</f>
        <v>775.69</v>
      </c>
      <c r="T9" s="2237">
        <f t="shared" si="5"/>
        <v>233</v>
      </c>
      <c r="U9" s="3197"/>
      <c r="V9" s="181"/>
      <c r="W9" s="181"/>
      <c r="X9" s="2324"/>
      <c r="Y9" s="182"/>
      <c r="Z9" s="183"/>
      <c r="AA9" s="176"/>
      <c r="AB9" s="176"/>
      <c r="AC9" s="2327"/>
      <c r="AD9" s="184"/>
      <c r="AE9" s="975">
        <f t="shared" ca="1" si="6"/>
        <v>0</v>
      </c>
      <c r="AF9" s="141"/>
      <c r="AG9" s="1216">
        <f t="shared" si="7"/>
        <v>0</v>
      </c>
      <c r="AH9" s="141">
        <v>886</v>
      </c>
      <c r="AI9" s="187"/>
      <c r="AJ9" s="188"/>
      <c r="AK9" s="189"/>
      <c r="AL9" s="190"/>
      <c r="AM9" s="2417"/>
      <c r="AN9" s="2419"/>
      <c r="AO9" s="2003"/>
      <c r="AP9" s="1207">
        <f t="shared" si="8"/>
        <v>0.80200000000000005</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t="str">
        <f>'数据-汇总表'!C23</f>
        <v>地下仓储</v>
      </c>
      <c r="B10" s="2340" t="str">
        <f t="shared" si="1"/>
        <v>经营性</v>
      </c>
      <c r="C10" s="173" t="s">
        <v>3006</v>
      </c>
      <c r="D10" s="2311">
        <f>SUMIF(项目基本情况!D$15:I$15,C10,项目基本情况!D$18:I$18)</f>
        <v>50</v>
      </c>
      <c r="E10" s="2312">
        <f>IF(B10="","",SUMIF(项目基本情况!D$15:I$15,C10,项目基本情况!D$17:I$17))</f>
        <v>56491</v>
      </c>
      <c r="F10" s="174">
        <f>SUMIF(项目基本情况!D$15:I$15,C10,项目基本情况!D$19:I$19)</f>
        <v>36.83</v>
      </c>
      <c r="G10" s="175">
        <f t="shared" si="2"/>
        <v>0.90200000000000002</v>
      </c>
      <c r="H10" s="3053">
        <v>4.4999999999999998E-2</v>
      </c>
      <c r="I10" s="176">
        <v>0.05</v>
      </c>
      <c r="J10" s="176">
        <v>8.5000000000000006E-2</v>
      </c>
      <c r="K10" s="179">
        <f>SUMIF('数据-汇总表'!C$19:C$33,'数据-取费表'!A10,'数据-汇总表'!E$19:E$33)</f>
        <v>20759.810000000005</v>
      </c>
      <c r="L10" s="193">
        <v>3000</v>
      </c>
      <c r="M10" s="177">
        <f t="shared" si="0"/>
        <v>6228</v>
      </c>
      <c r="N10" s="194">
        <v>0</v>
      </c>
      <c r="O10" s="177">
        <f t="shared" si="3"/>
        <v>0</v>
      </c>
      <c r="P10" s="178">
        <f t="shared" si="4"/>
        <v>6228</v>
      </c>
      <c r="Q10" s="192">
        <v>0.1</v>
      </c>
      <c r="R10" s="179">
        <f>SUMIF('数据-汇总表'!C$19:C$33,A10,'数据-汇总表'!R$19:R$33)</f>
        <v>6918.89</v>
      </c>
      <c r="S10" s="132">
        <f>IF('数据-汇总表'!$I$17="按面积比例",SUMIF('数据-汇总表'!C$19:C$33,A10,'数据-汇总表'!K$19:K$33),SUMIF('数据-汇总表'!C$19:C$33,A10,'数据-汇总表'!N$19:N$33))</f>
        <v>519.26</v>
      </c>
      <c r="T10" s="2237">
        <f t="shared" si="5"/>
        <v>156</v>
      </c>
      <c r="U10" s="3197">
        <v>1.5</v>
      </c>
      <c r="V10" s="181">
        <v>0.02</v>
      </c>
      <c r="W10" s="181">
        <v>0.1</v>
      </c>
      <c r="X10" s="2324"/>
      <c r="Y10" s="182">
        <v>1</v>
      </c>
      <c r="Z10" s="183"/>
      <c r="AA10" s="176"/>
      <c r="AB10" s="176"/>
      <c r="AC10" s="2327"/>
      <c r="AD10" s="184"/>
      <c r="AE10" s="975">
        <f t="shared" ca="1" si="6"/>
        <v>33.83</v>
      </c>
      <c r="AF10" s="141"/>
      <c r="AG10" s="1216">
        <f t="shared" si="7"/>
        <v>0</v>
      </c>
      <c r="AH10" s="141"/>
      <c r="AI10" s="187">
        <v>365</v>
      </c>
      <c r="AJ10" s="188"/>
      <c r="AK10" s="189">
        <v>1.4999999999999999E-2</v>
      </c>
      <c r="AL10" s="190">
        <v>1.5E-3</v>
      </c>
      <c r="AM10" s="2417">
        <v>0.01</v>
      </c>
      <c r="AN10" s="2419" t="s">
        <v>3061</v>
      </c>
      <c r="AO10" s="2003"/>
      <c r="AP10" s="1207">
        <f t="shared" si="8"/>
        <v>0.80200000000000005</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2317</v>
      </c>
      <c r="B14" s="2309" t="s">
        <v>1680</v>
      </c>
      <c r="C14" s="2310" t="s">
        <v>2317</v>
      </c>
      <c r="D14" s="2311"/>
      <c r="E14" s="2312"/>
      <c r="F14" s="174"/>
      <c r="G14" s="175"/>
      <c r="H14" s="2313"/>
      <c r="I14" s="2313"/>
      <c r="J14" s="2313"/>
      <c r="K14" s="179">
        <f>SUMIF('数据-汇总表'!C$19:C$33,'数据-取费表'!A14,'数据-汇总表'!E$19:E$33)</f>
        <v>7160.880000000001</v>
      </c>
      <c r="L14" s="193">
        <v>3000</v>
      </c>
      <c r="M14" s="177">
        <f t="shared" si="0"/>
        <v>2148</v>
      </c>
      <c r="N14" s="194">
        <v>0</v>
      </c>
      <c r="O14" s="177">
        <f t="shared" si="3"/>
        <v>0</v>
      </c>
      <c r="P14" s="178">
        <f t="shared" si="4"/>
        <v>2148</v>
      </c>
      <c r="Q14" s="2321"/>
      <c r="R14" s="179"/>
      <c r="S14" s="132"/>
      <c r="T14" s="2320"/>
      <c r="U14" s="977"/>
      <c r="V14" s="2323"/>
      <c r="W14" s="2323"/>
      <c r="X14" s="2324"/>
      <c r="Y14" s="2325"/>
      <c r="Z14" s="136"/>
      <c r="AA14" s="2326"/>
      <c r="AB14" s="2326"/>
      <c r="AC14" s="2327"/>
      <c r="AD14" s="2324"/>
      <c r="AE14" s="975"/>
      <c r="AF14" s="2299"/>
      <c r="AG14" s="1216"/>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2319</v>
      </c>
      <c r="B15" s="2309" t="s">
        <v>1680</v>
      </c>
      <c r="C15" s="2310" t="s">
        <v>2318</v>
      </c>
      <c r="D15" s="2311"/>
      <c r="E15" s="2312"/>
      <c r="F15" s="174"/>
      <c r="G15" s="175"/>
      <c r="H15" s="2313"/>
      <c r="I15" s="2313"/>
      <c r="J15" s="2313"/>
      <c r="K15" s="179">
        <f>SUMIF('数据-汇总表'!C$19:C$33,'数据-取费表'!A15,'数据-汇总表'!E$19:E$33)</f>
        <v>7337.0599999999995</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0.94199999999999995</v>
      </c>
      <c r="H16" s="203">
        <f>ROUND(SUMPRODUCT(H6:H13,K6:K13)/SUMPRODUCT((H6:H13&gt;0)*(K6:K13)),3)</f>
        <v>4.1000000000000002E-2</v>
      </c>
      <c r="I16" s="204"/>
      <c r="J16" s="204"/>
      <c r="K16" s="205">
        <f>SUM(K6:K15)</f>
        <v>300788.65999999997</v>
      </c>
      <c r="L16" s="206">
        <f>ROUND(M16*10000/SUM(K6:K14),0)</f>
        <v>3489</v>
      </c>
      <c r="M16" s="206">
        <f>SUM(M6:M14)</f>
        <v>102382</v>
      </c>
      <c r="N16" s="207">
        <f>ROUND(SUMPRODUCT(M6:M14,N6:N14)/M16,3)</f>
        <v>0</v>
      </c>
      <c r="O16" s="206">
        <f>SUM(O6:O14)</f>
        <v>0</v>
      </c>
      <c r="P16" s="206">
        <f>SUM(P6:P14)</f>
        <v>102382</v>
      </c>
      <c r="Q16" s="208">
        <f>ROUND(SUMPRODUCT(Q6:Q13,K6:K13)/SUMPRODUCT((Q6:Q13&gt;0)*(K6:K13)),2)</f>
        <v>0.19</v>
      </c>
      <c r="R16" s="2314">
        <f>SUM(R6:R13)</f>
        <v>97801.400000000009</v>
      </c>
      <c r="S16" s="209">
        <f>SUM(S6:S13)</f>
        <v>7160.880000000001</v>
      </c>
      <c r="T16" s="210">
        <f>IF(SUMIF(T6:T13,"&lt;9E307")=M14,SUMIF(T6:T13,"&lt;9E307"),"有误，请检查")</f>
        <v>2148</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0.872</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2339</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67" t="s">
        <v>2338</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2341</v>
      </c>
      <c r="B27" s="227">
        <v>160</v>
      </c>
      <c r="C27" s="2370" t="s">
        <v>2345</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2342</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2340</v>
      </c>
      <c r="B29" s="232">
        <v>0</v>
      </c>
      <c r="C29" s="1555" t="s">
        <v>2343</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1">
        <v>0.05</v>
      </c>
      <c r="C33" s="2368"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0.1</v>
      </c>
      <c r="C34" s="2368" t="s">
        <v>2901</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2903</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0.03</v>
      </c>
      <c r="C37" s="2368"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0.03</v>
      </c>
      <c r="C38" s="2368"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2461</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2462</v>
      </c>
      <c r="B40" s="2508">
        <f ca="1">存贷款利率!E2</f>
        <v>4.7500000000000001E-2</v>
      </c>
      <c r="C40" s="2368" t="s">
        <v>2344</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26">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2"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3"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3"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1408</v>
      </c>
      <c r="C53" s="3104" t="s">
        <v>2911</v>
      </c>
      <c r="D53" s="3105"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7" t="s">
        <v>2913</v>
      </c>
      <c r="B54" s="1997">
        <v>30</v>
      </c>
      <c r="C54" s="1997">
        <v>30</v>
      </c>
      <c r="D54" s="3106"/>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7" t="s">
        <v>2914</v>
      </c>
      <c r="B55" s="1997">
        <v>24</v>
      </c>
      <c r="C55" s="1997">
        <v>24</v>
      </c>
      <c r="D55" s="3106"/>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7" t="s">
        <v>2915</v>
      </c>
      <c r="B56" s="1997">
        <v>18</v>
      </c>
      <c r="C56" s="1997">
        <v>18</v>
      </c>
      <c r="D56" s="3106"/>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7" t="s">
        <v>2916</v>
      </c>
      <c r="B57" s="1997">
        <v>12</v>
      </c>
      <c r="C57" s="1997">
        <v>12</v>
      </c>
      <c r="D57" s="3106"/>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7" t="s">
        <v>2917</v>
      </c>
      <c r="B58" s="1997">
        <v>3</v>
      </c>
      <c r="C58" s="1997">
        <v>3</v>
      </c>
      <c r="D58" s="3106"/>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7" t="s">
        <v>2918</v>
      </c>
      <c r="B59" s="1997">
        <v>1.5</v>
      </c>
      <c r="C59" s="1997">
        <v>1.5</v>
      </c>
      <c r="D59" s="3106"/>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7"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7"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7"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8"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5" t="s">
        <v>1664</v>
      </c>
      <c r="B1" s="3286"/>
      <c r="C1" s="3286"/>
      <c r="D1" s="3286"/>
      <c r="E1" s="3286"/>
      <c r="F1" s="3286"/>
      <c r="G1" s="3286"/>
      <c r="H1" s="2005"/>
      <c r="I1" s="2006"/>
      <c r="J1" s="2007"/>
      <c r="K1" s="2005"/>
      <c r="L1" s="2006"/>
      <c r="M1" s="2007"/>
      <c r="N1" s="2005"/>
      <c r="O1" s="2006"/>
      <c r="P1" s="2007"/>
      <c r="Q1" s="2008"/>
      <c r="R1" s="2009"/>
    </row>
    <row r="2" spans="1:18" ht="14.25" thickBot="1">
      <c r="A2" s="1224"/>
      <c r="B2" s="1225"/>
      <c r="C2" s="1226" t="s">
        <v>1665</v>
      </c>
      <c r="D2" s="1227"/>
      <c r="E2" s="1228"/>
      <c r="F2" s="1229"/>
      <c r="G2" s="1226" t="s">
        <v>1666</v>
      </c>
      <c r="H2" s="2011"/>
      <c r="I2" s="2011"/>
      <c r="J2" s="2011"/>
      <c r="K2" s="2011"/>
      <c r="L2" s="2011"/>
      <c r="M2" s="2011"/>
      <c r="N2" s="2011"/>
      <c r="O2" s="2011"/>
      <c r="P2" s="2011"/>
      <c r="Q2" s="2011"/>
      <c r="R2" s="2011"/>
    </row>
    <row r="3" spans="1:18" ht="54">
      <c r="A3" s="1230" t="s">
        <v>1667</v>
      </c>
      <c r="B3" s="1231" t="s">
        <v>1654</v>
      </c>
      <c r="C3" s="3179" t="s">
        <v>3049</v>
      </c>
      <c r="D3" s="2012"/>
      <c r="E3" s="1232" t="s">
        <v>1667</v>
      </c>
      <c r="F3" s="1233" t="s">
        <v>1655</v>
      </c>
      <c r="G3" s="3111" t="s">
        <v>2927</v>
      </c>
      <c r="H3" s="2011"/>
      <c r="I3" s="2011"/>
      <c r="J3" s="2011"/>
      <c r="K3" s="2011"/>
      <c r="L3" s="2011"/>
      <c r="M3" s="2011"/>
      <c r="N3" s="2011"/>
      <c r="O3" s="2011"/>
      <c r="P3" s="2011"/>
      <c r="Q3" s="2011"/>
      <c r="R3" s="2011"/>
    </row>
    <row r="4" spans="1:18" ht="40.5">
      <c r="A4" s="1232"/>
      <c r="B4" s="1234" t="s">
        <v>1668</v>
      </c>
      <c r="C4" s="3180"/>
      <c r="D4" s="2012"/>
      <c r="E4" s="1235"/>
      <c r="F4" s="1236" t="s">
        <v>1669</v>
      </c>
      <c r="G4" s="3109" t="s">
        <v>2924</v>
      </c>
      <c r="H4" s="2011"/>
      <c r="I4" s="2011"/>
      <c r="J4" s="2011"/>
      <c r="K4" s="2011"/>
      <c r="L4" s="2011"/>
      <c r="M4" s="2011"/>
      <c r="N4" s="2011"/>
      <c r="O4" s="2011"/>
      <c r="P4" s="2011"/>
      <c r="Q4" s="2011"/>
      <c r="R4" s="2011"/>
    </row>
    <row r="5" spans="1:18" ht="27">
      <c r="A5" s="1232"/>
      <c r="B5" s="1234" t="s">
        <v>1670</v>
      </c>
      <c r="C5" s="3180"/>
      <c r="D5" s="2012"/>
      <c r="E5" s="1235"/>
      <c r="F5" s="1234" t="s">
        <v>2552</v>
      </c>
      <c r="G5" s="3109" t="s">
        <v>2925</v>
      </c>
      <c r="H5" s="2011"/>
      <c r="I5" s="2011"/>
      <c r="J5" s="2011"/>
      <c r="K5" s="2011"/>
      <c r="L5" s="2011"/>
      <c r="M5" s="2011"/>
      <c r="N5" s="2011"/>
      <c r="O5" s="2011"/>
      <c r="P5" s="2011"/>
      <c r="Q5" s="2011"/>
      <c r="R5" s="2011"/>
    </row>
    <row r="6" spans="1:18" ht="40.5">
      <c r="A6" s="1232"/>
      <c r="B6" s="1234" t="s">
        <v>1656</v>
      </c>
      <c r="C6" s="3181" t="s">
        <v>3051</v>
      </c>
      <c r="D6" s="2012"/>
      <c r="E6" s="1235"/>
      <c r="F6" s="1234" t="s">
        <v>2553</v>
      </c>
      <c r="G6" s="3109" t="s">
        <v>2923</v>
      </c>
      <c r="H6" s="2011"/>
      <c r="I6" s="2011"/>
      <c r="J6" s="2011"/>
      <c r="K6" s="2011"/>
      <c r="L6" s="2011"/>
      <c r="M6" s="2011"/>
      <c r="N6" s="2011"/>
      <c r="O6" s="2011"/>
      <c r="P6" s="2011"/>
      <c r="Q6" s="2011"/>
      <c r="R6" s="2011"/>
    </row>
    <row r="7" spans="1:18" ht="41.25" thickBot="1">
      <c r="A7" s="1232"/>
      <c r="B7" s="1234" t="s">
        <v>2552</v>
      </c>
      <c r="C7" s="3181" t="s">
        <v>3053</v>
      </c>
      <c r="D7" s="2013"/>
      <c r="E7" s="1237"/>
      <c r="F7" s="1238" t="s">
        <v>1671</v>
      </c>
      <c r="G7" s="3112" t="s">
        <v>2926</v>
      </c>
      <c r="H7" s="2011"/>
      <c r="I7" s="2011"/>
      <c r="J7" s="2011"/>
      <c r="K7" s="2011"/>
      <c r="L7" s="2011"/>
      <c r="M7" s="2011"/>
      <c r="N7" s="2011"/>
      <c r="O7" s="2011"/>
      <c r="P7" s="2011"/>
      <c r="Q7" s="2011"/>
      <c r="R7" s="2011"/>
    </row>
    <row r="8" spans="1:18" ht="27">
      <c r="A8" s="1232"/>
      <c r="B8" s="1234" t="s">
        <v>2553</v>
      </c>
      <c r="C8" s="3181" t="s">
        <v>3055</v>
      </c>
      <c r="D8" s="2013"/>
      <c r="E8" s="2013"/>
      <c r="F8" s="1556"/>
      <c r="G8" s="1556"/>
      <c r="H8" s="2011"/>
      <c r="I8" s="2011"/>
      <c r="J8" s="2011"/>
      <c r="K8" s="2011"/>
      <c r="L8" s="2011"/>
      <c r="M8" s="2011"/>
      <c r="N8" s="2011"/>
      <c r="O8" s="2011"/>
      <c r="P8" s="2011"/>
      <c r="Q8" s="2011"/>
      <c r="R8" s="2011"/>
    </row>
    <row r="9" spans="1:18" ht="40.5">
      <c r="A9" s="1232"/>
      <c r="B9" s="1234" t="s">
        <v>1657</v>
      </c>
      <c r="C9" s="3182" t="s">
        <v>3057</v>
      </c>
      <c r="D9" s="2012"/>
      <c r="E9" s="2013"/>
      <c r="F9" s="1556"/>
      <c r="G9" s="1556"/>
      <c r="H9" s="2011"/>
      <c r="I9" s="2011"/>
      <c r="J9" s="2011"/>
      <c r="K9" s="2011"/>
      <c r="L9" s="2011"/>
      <c r="M9" s="2011"/>
      <c r="N9" s="2011"/>
      <c r="O9" s="2011"/>
      <c r="P9" s="2011"/>
      <c r="Q9" s="2011"/>
      <c r="R9" s="2011"/>
    </row>
    <row r="10" spans="1:18" s="2019" customFormat="1" ht="15" thickBot="1">
      <c r="A10" s="1239"/>
      <c r="B10" s="1240" t="s">
        <v>1672</v>
      </c>
      <c r="C10" s="3110"/>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7"/>
      <c r="E13" s="2605"/>
      <c r="F13" s="2605"/>
      <c r="G13" s="2605"/>
    </row>
    <row r="14" spans="1:18" ht="14.25" thickBot="1">
      <c r="A14" s="1241"/>
      <c r="B14" s="1242"/>
      <c r="C14" s="1243" t="s">
        <v>1665</v>
      </c>
      <c r="D14" s="2012"/>
      <c r="E14" s="1244"/>
      <c r="F14" s="1244"/>
      <c r="G14" s="1226" t="s">
        <v>1666</v>
      </c>
    </row>
    <row r="15" spans="1:18" ht="54">
      <c r="A15" s="2615" t="s">
        <v>1658</v>
      </c>
      <c r="B15" s="1245" t="s">
        <v>1654</v>
      </c>
      <c r="C15" s="1246" t="str">
        <f>C3</f>
        <v>估价对象周边有姚家园东里、逸翠园等居住项目，综合评价居住社区成熟度一般</v>
      </c>
      <c r="D15" s="2012"/>
      <c r="E15" s="2612" t="s">
        <v>1659</v>
      </c>
      <c r="F15" s="1245" t="s">
        <v>1674</v>
      </c>
      <c r="G15" s="1247" t="str">
        <f>G3</f>
        <v>估价对象位于XX开发区，园区建设成熟度XX，产业集聚程度XX</v>
      </c>
    </row>
    <row r="16" spans="1:18" ht="40.5">
      <c r="A16" s="2616"/>
      <c r="B16" s="1248" t="s">
        <v>1668</v>
      </c>
      <c r="C16" s="1249">
        <f>C4</f>
        <v>0</v>
      </c>
      <c r="D16" s="2012"/>
      <c r="E16" s="2613"/>
      <c r="F16" s="1250" t="s">
        <v>1669</v>
      </c>
      <c r="G16" s="1008" t="str">
        <f>G4</f>
        <v>估价对象周边道路状况、公共交通通达情况、停车便捷程度，综合评价交通便捷度较好</v>
      </c>
    </row>
    <row r="17" spans="1:7" ht="14.25">
      <c r="A17" s="2616"/>
      <c r="B17" s="1248" t="s">
        <v>1670</v>
      </c>
      <c r="C17" s="1249">
        <f>C5</f>
        <v>0</v>
      </c>
      <c r="D17" s="2013"/>
      <c r="E17" s="2613"/>
      <c r="F17" s="1250" t="s">
        <v>1675</v>
      </c>
      <c r="G17" s="2823"/>
    </row>
    <row r="18" spans="1:7" ht="40.5">
      <c r="A18" s="2616"/>
      <c r="B18" s="1250" t="s">
        <v>1656</v>
      </c>
      <c r="C18" s="1008" t="str">
        <f>C6</f>
        <v>估价对象周边有344、531路公交线路经过，综合评价交通便捷度一般</v>
      </c>
      <c r="D18" s="2013"/>
      <c r="E18" s="2613"/>
      <c r="F18" s="1250" t="s">
        <v>1671</v>
      </c>
      <c r="G18" s="1008" t="str">
        <f>G7</f>
        <v>该园区内是否有污染型企业，绿化情况，卫生条件，整体环境状况判断</v>
      </c>
    </row>
    <row r="19" spans="1:7" ht="27">
      <c r="A19" s="2616"/>
      <c r="B19" s="1250" t="s">
        <v>1660</v>
      </c>
      <c r="C19" s="2823"/>
      <c r="D19" s="2012"/>
      <c r="E19" s="2613"/>
      <c r="F19" s="1234" t="s">
        <v>2552</v>
      </c>
      <c r="G19" s="1008" t="str">
        <f>G5</f>
        <v>估价对象所在区域公共配套设施齐备情况</v>
      </c>
    </row>
    <row r="20" spans="1:7" ht="40.5">
      <c r="A20" s="2616"/>
      <c r="B20" s="1250" t="s">
        <v>1661</v>
      </c>
      <c r="C20" s="1249" t="str">
        <f>C9</f>
        <v>周边有京城体育休闲公园；综合评价环境状况一般</v>
      </c>
      <c r="D20" s="2013"/>
      <c r="E20" s="2613"/>
      <c r="F20" s="1234" t="s">
        <v>2553</v>
      </c>
      <c r="G20" s="1008" t="str">
        <f>G6</f>
        <v>估价对象所在区域基础设施水平</v>
      </c>
    </row>
    <row r="21" spans="1:7" ht="27">
      <c r="A21" s="2616"/>
      <c r="B21" s="1234" t="s">
        <v>2552</v>
      </c>
      <c r="C21" s="1008" t="str">
        <f>C7</f>
        <v>估价对象所在区域公共配套设施齐备度一般</v>
      </c>
      <c r="D21" s="2012"/>
      <c r="E21" s="2613"/>
      <c r="F21" s="1250" t="s">
        <v>1662</v>
      </c>
      <c r="G21" s="3113"/>
    </row>
    <row r="22" spans="1:7" ht="27">
      <c r="A22" s="2616"/>
      <c r="B22" s="1234" t="s">
        <v>2553</v>
      </c>
      <c r="C22" s="1008" t="str">
        <f>C8</f>
        <v>估价对象所在区域基础设施水平达七通</v>
      </c>
      <c r="D22" s="2012"/>
      <c r="E22" s="2613"/>
      <c r="F22" s="1250" t="s">
        <v>1672</v>
      </c>
      <c r="G22" s="2823"/>
    </row>
    <row r="23" spans="1:7" ht="15" thickBot="1">
      <c r="A23" s="2616"/>
      <c r="B23" s="1250" t="s">
        <v>1662</v>
      </c>
      <c r="C23" s="3113" t="s">
        <v>3058</v>
      </c>
      <c r="E23" s="2614"/>
      <c r="F23" s="1251" t="s">
        <v>1676</v>
      </c>
      <c r="G23" s="3114"/>
    </row>
    <row r="24" spans="1:7" ht="14.25" thickBot="1">
      <c r="A24" s="2617"/>
      <c r="B24" s="1251" t="s">
        <v>1663</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2851</v>
      </c>
      <c r="B1" s="3073">
        <f>SUM(B14:B23)</f>
        <v>300788.65999999997</v>
      </c>
      <c r="C1" s="3074"/>
      <c r="D1" s="3074"/>
      <c r="E1" s="3074"/>
      <c r="F1" s="3074"/>
    </row>
    <row r="2" spans="1:9" ht="16.5">
      <c r="A2" s="3073" t="s">
        <v>2852</v>
      </c>
      <c r="B2" s="3073">
        <f>SUM(C14:C23)</f>
        <v>97801.4</v>
      </c>
      <c r="C2" s="3074"/>
      <c r="D2" s="3074"/>
      <c r="E2" s="3074"/>
      <c r="F2" s="3074"/>
    </row>
    <row r="3" spans="1:9" ht="16.5">
      <c r="A3" s="3073" t="s">
        <v>2853</v>
      </c>
      <c r="B3" s="3075">
        <f>项目基本情况!D3</f>
        <v>43047</v>
      </c>
      <c r="C3" s="3074"/>
      <c r="D3" s="3074"/>
      <c r="E3" s="3074"/>
      <c r="F3" s="3074"/>
    </row>
    <row r="4" spans="1:9" ht="33">
      <c r="A4" s="3073" t="s">
        <v>2854</v>
      </c>
      <c r="B4" s="3073" t="s">
        <v>2855</v>
      </c>
      <c r="C4" s="3073" t="s">
        <v>2856</v>
      </c>
      <c r="D4" s="3073" t="s">
        <v>2857</v>
      </c>
      <c r="E4" s="3074"/>
      <c r="F4" s="3074"/>
    </row>
    <row r="5" spans="1:9" ht="16.5">
      <c r="A5" s="3073" t="s">
        <v>2858</v>
      </c>
      <c r="B5" s="3073">
        <f ca="1">SUM(D14:D23)</f>
        <v>985289</v>
      </c>
      <c r="C5" s="3073">
        <f ca="1">ROUND(B5*10000/$B$1,0)</f>
        <v>32757</v>
      </c>
      <c r="D5" s="3073">
        <f ca="1">ROUND(B5*10000/$B$2,0)</f>
        <v>100744</v>
      </c>
      <c r="E5" s="3074"/>
      <c r="F5" s="3074"/>
    </row>
    <row r="6" spans="1:9" ht="16.5">
      <c r="A6" s="3073" t="s">
        <v>2859</v>
      </c>
      <c r="B6" s="3073">
        <f ca="1">SUM(G14:G23)</f>
        <v>985289</v>
      </c>
      <c r="C6" s="3073">
        <f t="shared" ref="C6:C8" ca="1" si="0">ROUND(B6*10000/$B$1,0)</f>
        <v>32757</v>
      </c>
      <c r="D6" s="3073">
        <f t="shared" ref="D6:D8" ca="1" si="1">ROUND(B6*10000/$B$2,0)</f>
        <v>100744</v>
      </c>
      <c r="E6" s="3074"/>
      <c r="F6" s="3074"/>
    </row>
    <row r="7" spans="1:9" ht="16.5">
      <c r="A7" s="3073" t="s">
        <v>2860</v>
      </c>
      <c r="B7" s="3073">
        <f>SUM(H14:H23)</f>
        <v>0</v>
      </c>
      <c r="C7" s="3073">
        <f t="shared" si="0"/>
        <v>0</v>
      </c>
      <c r="D7" s="3073">
        <f t="shared" si="1"/>
        <v>0</v>
      </c>
      <c r="E7" s="3074"/>
      <c r="F7" s="3074"/>
    </row>
    <row r="8" spans="1:9" ht="16.5">
      <c r="A8" s="3073" t="s">
        <v>2861</v>
      </c>
      <c r="B8" s="3073">
        <f>SUM(I14:I23)</f>
        <v>0</v>
      </c>
      <c r="C8" s="3073">
        <f t="shared" si="0"/>
        <v>0</v>
      </c>
      <c r="D8" s="3073">
        <f t="shared" si="1"/>
        <v>0</v>
      </c>
      <c r="E8" s="3074"/>
      <c r="F8" s="3074"/>
    </row>
    <row r="9" spans="1:9" ht="16.5">
      <c r="A9" s="3073" t="s">
        <v>2862</v>
      </c>
      <c r="B9" s="3076"/>
      <c r="C9" s="3074"/>
      <c r="D9" s="3074"/>
      <c r="E9" s="3074"/>
      <c r="F9" s="3074"/>
    </row>
    <row r="10" spans="1:9" ht="16.5">
      <c r="A10" s="3073" t="s">
        <v>2863</v>
      </c>
      <c r="B10" s="3076"/>
      <c r="C10" s="3074"/>
      <c r="D10" s="3074"/>
      <c r="E10" s="3074"/>
      <c r="F10" s="3074"/>
    </row>
    <row r="11" spans="1:9" ht="16.5">
      <c r="A11" s="3073" t="s">
        <v>2880</v>
      </c>
      <c r="B11" s="3076"/>
      <c r="C11" s="3074"/>
      <c r="D11" s="3074"/>
      <c r="E11" s="3074"/>
      <c r="F11" s="3074"/>
    </row>
    <row r="12" spans="1:9" ht="16.5">
      <c r="A12" s="3074"/>
      <c r="B12" s="3074"/>
      <c r="C12" s="3074"/>
      <c r="D12" s="3074"/>
      <c r="E12" s="3074"/>
      <c r="F12" s="3074"/>
    </row>
    <row r="13" spans="1:9" ht="33">
      <c r="A13" s="3079" t="s">
        <v>2879</v>
      </c>
      <c r="B13" s="3077" t="s">
        <v>2851</v>
      </c>
      <c r="C13" s="3077" t="s">
        <v>2852</v>
      </c>
      <c r="D13" s="3077" t="s">
        <v>2864</v>
      </c>
      <c r="E13" s="3073" t="s">
        <v>2878</v>
      </c>
      <c r="F13" s="3073" t="s">
        <v>2857</v>
      </c>
      <c r="G13" s="3077" t="s">
        <v>2865</v>
      </c>
      <c r="H13" s="3077" t="s">
        <v>2866</v>
      </c>
      <c r="I13" s="3077" t="s">
        <v>2867</v>
      </c>
    </row>
    <row r="14" spans="1:9" ht="16.5">
      <c r="A14" s="3080" t="s">
        <v>2877</v>
      </c>
      <c r="B14" s="3077">
        <f>结果表!L38</f>
        <v>300788.65999999997</v>
      </c>
      <c r="C14" s="3077">
        <f>结果表!K38</f>
        <v>97801.4</v>
      </c>
      <c r="D14" s="3077">
        <f ca="1">结果表!C42</f>
        <v>985289</v>
      </c>
      <c r="E14" s="3077">
        <f ca="1">ROUND(D14*10000/B14,0)</f>
        <v>32757</v>
      </c>
      <c r="F14" s="3077">
        <f ca="1">ROUND(D14*10000/C14,0)</f>
        <v>100744</v>
      </c>
      <c r="G14" s="3077">
        <f ca="1">结果表!C44</f>
        <v>985289</v>
      </c>
      <c r="H14" s="3077" t="str">
        <f>结果表!C45</f>
        <v>——</v>
      </c>
      <c r="I14" s="3077" t="str">
        <f>结果表!C46</f>
        <v>——</v>
      </c>
    </row>
    <row r="15" spans="1:9" ht="16.5">
      <c r="A15" s="3080" t="s">
        <v>2868</v>
      </c>
      <c r="B15" s="3081"/>
      <c r="C15" s="3081"/>
      <c r="D15" s="3081"/>
      <c r="E15" s="3077" t="e">
        <f t="shared" ref="E15:E23" si="2">ROUND(D15*10000/B15,0)</f>
        <v>#DIV/0!</v>
      </c>
      <c r="F15" s="3077" t="e">
        <f t="shared" ref="F15:F23" si="3">ROUND(D15*10000/C15,0)</f>
        <v>#DIV/0!</v>
      </c>
      <c r="G15" s="3078"/>
      <c r="H15" s="3078"/>
      <c r="I15" s="3081"/>
    </row>
    <row r="16" spans="1:9" ht="16.5">
      <c r="A16" s="3080" t="s">
        <v>2869</v>
      </c>
      <c r="B16" s="3081"/>
      <c r="C16" s="3081"/>
      <c r="D16" s="3081"/>
      <c r="E16" s="3077" t="e">
        <f t="shared" si="2"/>
        <v>#DIV/0!</v>
      </c>
      <c r="F16" s="3077" t="e">
        <f t="shared" si="3"/>
        <v>#DIV/0!</v>
      </c>
      <c r="G16" s="3078"/>
      <c r="H16" s="3078"/>
      <c r="I16" s="3081"/>
    </row>
    <row r="17" spans="1:9" ht="16.5">
      <c r="A17" s="3080" t="s">
        <v>2870</v>
      </c>
      <c r="B17" s="3081"/>
      <c r="C17" s="3081"/>
      <c r="D17" s="3081"/>
      <c r="E17" s="3077" t="e">
        <f t="shared" si="2"/>
        <v>#DIV/0!</v>
      </c>
      <c r="F17" s="3077" t="e">
        <f t="shared" si="3"/>
        <v>#DIV/0!</v>
      </c>
      <c r="G17" s="3078"/>
      <c r="H17" s="3078"/>
      <c r="I17" s="3081"/>
    </row>
    <row r="18" spans="1:9" ht="16.5">
      <c r="A18" s="3080" t="s">
        <v>2871</v>
      </c>
      <c r="B18" s="3081"/>
      <c r="C18" s="3081"/>
      <c r="D18" s="3081"/>
      <c r="E18" s="3077" t="e">
        <f t="shared" si="2"/>
        <v>#DIV/0!</v>
      </c>
      <c r="F18" s="3077" t="e">
        <f t="shared" si="3"/>
        <v>#DIV/0!</v>
      </c>
      <c r="G18" s="3081"/>
      <c r="H18" s="3081"/>
      <c r="I18" s="3081"/>
    </row>
    <row r="19" spans="1:9" ht="16.5">
      <c r="A19" s="3080" t="s">
        <v>2872</v>
      </c>
      <c r="B19" s="3081"/>
      <c r="C19" s="3081"/>
      <c r="D19" s="3081"/>
      <c r="E19" s="3077" t="e">
        <f t="shared" si="2"/>
        <v>#DIV/0!</v>
      </c>
      <c r="F19" s="3077" t="e">
        <f t="shared" si="3"/>
        <v>#DIV/0!</v>
      </c>
      <c r="G19" s="3081"/>
      <c r="H19" s="3081"/>
      <c r="I19" s="3081"/>
    </row>
    <row r="20" spans="1:9" ht="16.5">
      <c r="A20" s="3080" t="s">
        <v>2873</v>
      </c>
      <c r="B20" s="3081"/>
      <c r="C20" s="3081"/>
      <c r="D20" s="3081"/>
      <c r="E20" s="3077" t="e">
        <f t="shared" si="2"/>
        <v>#DIV/0!</v>
      </c>
      <c r="F20" s="3077" t="e">
        <f t="shared" si="3"/>
        <v>#DIV/0!</v>
      </c>
      <c r="G20" s="3081"/>
      <c r="H20" s="3081"/>
      <c r="I20" s="3081"/>
    </row>
    <row r="21" spans="1:9" ht="16.5">
      <c r="A21" s="3080" t="s">
        <v>2874</v>
      </c>
      <c r="B21" s="3081"/>
      <c r="C21" s="3081"/>
      <c r="D21" s="3081"/>
      <c r="E21" s="3077" t="e">
        <f t="shared" si="2"/>
        <v>#DIV/0!</v>
      </c>
      <c r="F21" s="3077" t="e">
        <f t="shared" si="3"/>
        <v>#DIV/0!</v>
      </c>
      <c r="G21" s="3081"/>
      <c r="H21" s="3081"/>
      <c r="I21" s="3081"/>
    </row>
    <row r="22" spans="1:9" ht="16.5">
      <c r="A22" s="3080" t="s">
        <v>2875</v>
      </c>
      <c r="B22" s="3081"/>
      <c r="C22" s="3081"/>
      <c r="D22" s="3081"/>
      <c r="E22" s="3077" t="e">
        <f t="shared" si="2"/>
        <v>#DIV/0!</v>
      </c>
      <c r="F22" s="3077" t="e">
        <f t="shared" si="3"/>
        <v>#DIV/0!</v>
      </c>
      <c r="G22" s="3081"/>
      <c r="H22" s="3081"/>
      <c r="I22" s="3081"/>
    </row>
    <row r="23" spans="1:9" ht="16.5">
      <c r="A23" s="3080" t="s">
        <v>2876</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2058</v>
      </c>
      <c r="B1" s="1780"/>
      <c r="C1" s="1808" t="s">
        <v>2059</v>
      </c>
      <c r="D1" s="1809"/>
      <c r="E1" s="1808" t="s">
        <v>2060</v>
      </c>
      <c r="F1" s="1810"/>
      <c r="G1" s="314"/>
      <c r="H1" s="314"/>
      <c r="I1" s="314"/>
      <c r="J1" s="2032"/>
      <c r="K1" s="2032"/>
      <c r="L1" s="2032"/>
      <c r="M1" s="2032"/>
      <c r="N1" s="2032"/>
      <c r="O1" s="2032"/>
      <c r="P1" s="2032"/>
      <c r="Q1" s="2032"/>
      <c r="R1" s="2032"/>
      <c r="S1" s="2032"/>
      <c r="T1" s="2032"/>
      <c r="U1" s="2032"/>
      <c r="V1" s="2032"/>
    </row>
    <row r="2" spans="1:22" ht="21.75" customHeight="1" thickBot="1">
      <c r="A2" s="3332" t="str">
        <f>项目基本情况!K2</f>
        <v>北京市出让国有建设用地使用权</v>
      </c>
      <c r="B2" s="3333"/>
      <c r="C2" s="3334"/>
      <c r="D2" s="3334"/>
      <c r="E2" s="3334"/>
      <c r="F2" s="3334"/>
      <c r="G2" s="3333"/>
      <c r="H2" s="3333"/>
      <c r="I2" s="3335"/>
      <c r="J2" s="2033"/>
      <c r="K2" s="2032"/>
      <c r="L2" s="2032"/>
      <c r="M2" s="2032"/>
      <c r="N2" s="2032"/>
      <c r="O2" s="2032"/>
      <c r="P2" s="2032"/>
      <c r="Q2" s="2032"/>
      <c r="R2" s="2032"/>
      <c r="S2" s="2032"/>
      <c r="T2" s="2032"/>
      <c r="U2" s="2032"/>
      <c r="V2" s="2032"/>
    </row>
    <row r="3" spans="1:22" ht="14.25">
      <c r="A3" s="3343" t="s">
        <v>298</v>
      </c>
      <c r="B3" s="3344"/>
      <c r="C3" s="3344"/>
      <c r="D3" s="3344"/>
      <c r="E3" s="3344"/>
      <c r="F3" s="3344"/>
      <c r="G3" s="3344"/>
      <c r="H3" s="3344"/>
      <c r="I3" s="3344"/>
      <c r="J3" s="2033"/>
      <c r="K3" s="2032"/>
      <c r="L3" s="2032"/>
      <c r="M3" s="2032"/>
      <c r="N3" s="2032"/>
      <c r="O3" s="2032"/>
      <c r="P3" s="2032"/>
      <c r="Q3" s="2032"/>
      <c r="R3" s="2032"/>
      <c r="S3" s="2032"/>
      <c r="T3" s="2032"/>
      <c r="U3" s="2032"/>
      <c r="V3" s="2032"/>
    </row>
    <row r="4" spans="1:22" ht="14.25">
      <c r="A4" s="258" t="s">
        <v>299</v>
      </c>
      <c r="B4" s="259" t="s">
        <v>300</v>
      </c>
      <c r="C4" s="260" t="s">
        <v>3113</v>
      </c>
      <c r="D4" s="260" t="s">
        <v>3114</v>
      </c>
      <c r="E4" s="3307" t="s">
        <v>301</v>
      </c>
      <c r="F4" s="3349"/>
      <c r="G4" s="3349"/>
      <c r="H4" s="3349"/>
      <c r="I4" s="3308"/>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6" t="s">
        <v>302</v>
      </c>
      <c r="B5" s="3337">
        <v>25</v>
      </c>
      <c r="C5" s="3345"/>
      <c r="D5" s="3348"/>
      <c r="E5" s="261" t="s">
        <v>303</v>
      </c>
      <c r="F5" s="262"/>
      <c r="G5" s="262"/>
      <c r="H5" s="262"/>
      <c r="I5" s="263"/>
      <c r="J5" s="2033"/>
      <c r="K5" s="2032"/>
      <c r="L5" s="2032"/>
      <c r="M5" s="2032"/>
      <c r="N5" s="2032"/>
      <c r="O5" s="2032"/>
      <c r="P5" s="2032"/>
      <c r="Q5" s="2032"/>
      <c r="R5" s="2032"/>
      <c r="S5" s="2032"/>
      <c r="T5" s="2032"/>
      <c r="U5" s="2032"/>
      <c r="V5" s="2032"/>
    </row>
    <row r="6" spans="1:22" ht="14.25">
      <c r="A6" s="3336"/>
      <c r="B6" s="3337"/>
      <c r="C6" s="3346"/>
      <c r="D6" s="3348"/>
      <c r="E6" s="261" t="s">
        <v>304</v>
      </c>
      <c r="F6" s="262"/>
      <c r="G6" s="262"/>
      <c r="H6" s="262"/>
      <c r="I6" s="263"/>
      <c r="J6" s="2033"/>
      <c r="K6" s="2032"/>
      <c r="L6" s="2032"/>
      <c r="M6" s="2032"/>
      <c r="N6" s="2032"/>
      <c r="O6" s="2032"/>
      <c r="P6" s="2032"/>
      <c r="Q6" s="2032"/>
      <c r="R6" s="2032"/>
      <c r="S6" s="2032"/>
      <c r="T6" s="2032"/>
      <c r="U6" s="2032"/>
      <c r="V6" s="2032"/>
    </row>
    <row r="7" spans="1:22" ht="14.25">
      <c r="A7" s="3336"/>
      <c r="B7" s="3337"/>
      <c r="C7" s="3347"/>
      <c r="D7" s="3348"/>
      <c r="E7" s="261" t="s">
        <v>305</v>
      </c>
      <c r="F7" s="262"/>
      <c r="G7" s="262"/>
      <c r="H7" s="262"/>
      <c r="I7" s="263"/>
      <c r="J7" s="2033"/>
      <c r="K7" s="2032"/>
      <c r="L7" s="2032"/>
      <c r="M7" s="2032"/>
      <c r="N7" s="2032"/>
      <c r="O7" s="2032"/>
      <c r="P7" s="2032"/>
      <c r="Q7" s="2032"/>
      <c r="R7" s="2032"/>
      <c r="S7" s="2032"/>
      <c r="T7" s="2032"/>
      <c r="U7" s="2032"/>
      <c r="V7" s="2032"/>
    </row>
    <row r="8" spans="1:22" ht="14.25">
      <c r="A8" s="3336" t="s">
        <v>306</v>
      </c>
      <c r="B8" s="3337">
        <v>15</v>
      </c>
      <c r="C8" s="3345"/>
      <c r="D8" s="3348"/>
      <c r="E8" s="261" t="s">
        <v>307</v>
      </c>
      <c r="F8" s="262"/>
      <c r="G8" s="262"/>
      <c r="H8" s="262"/>
      <c r="I8" s="263"/>
      <c r="J8" s="2033"/>
      <c r="K8" s="2032"/>
      <c r="L8" s="2032"/>
      <c r="M8" s="2032"/>
      <c r="N8" s="2032"/>
      <c r="O8" s="2032"/>
      <c r="P8" s="2032"/>
      <c r="Q8" s="2032"/>
      <c r="R8" s="2032"/>
      <c r="S8" s="2032"/>
      <c r="T8" s="2032"/>
      <c r="U8" s="2032"/>
      <c r="V8" s="2032"/>
    </row>
    <row r="9" spans="1:22" ht="14.25">
      <c r="A9" s="3336"/>
      <c r="B9" s="3337"/>
      <c r="C9" s="3347"/>
      <c r="D9" s="3348"/>
      <c r="E9" s="261" t="s">
        <v>308</v>
      </c>
      <c r="F9" s="262"/>
      <c r="G9" s="262"/>
      <c r="H9" s="262"/>
      <c r="I9" s="263"/>
      <c r="J9" s="2033"/>
      <c r="K9" s="2032"/>
      <c r="L9" s="2032"/>
      <c r="M9" s="2032"/>
      <c r="N9" s="2032"/>
      <c r="O9" s="2032"/>
      <c r="P9" s="2032"/>
      <c r="Q9" s="2032"/>
      <c r="R9" s="2032"/>
      <c r="S9" s="2032"/>
      <c r="T9" s="2032"/>
      <c r="U9" s="2032"/>
      <c r="V9" s="2032"/>
    </row>
    <row r="10" spans="1:22" ht="14.25">
      <c r="A10" s="3336" t="s">
        <v>309</v>
      </c>
      <c r="B10" s="3337">
        <v>15</v>
      </c>
      <c r="C10" s="3345"/>
      <c r="D10" s="3348"/>
      <c r="E10" s="261" t="s">
        <v>310</v>
      </c>
      <c r="F10" s="262"/>
      <c r="G10" s="262"/>
      <c r="H10" s="262"/>
      <c r="I10" s="263"/>
      <c r="J10" s="2033"/>
      <c r="K10" s="2032"/>
      <c r="L10" s="2032"/>
      <c r="M10" s="2032"/>
      <c r="N10" s="2032"/>
      <c r="O10" s="2032"/>
      <c r="P10" s="2032"/>
      <c r="Q10" s="2032"/>
      <c r="R10" s="2032"/>
      <c r="S10" s="2032"/>
      <c r="T10" s="2032"/>
      <c r="U10" s="2032"/>
      <c r="V10" s="2032"/>
    </row>
    <row r="11" spans="1:22" ht="14.25">
      <c r="A11" s="3336"/>
      <c r="B11" s="3337"/>
      <c r="C11" s="3347"/>
      <c r="D11" s="3348"/>
      <c r="E11" s="261" t="s">
        <v>311</v>
      </c>
      <c r="F11" s="262"/>
      <c r="G11" s="262"/>
      <c r="H11" s="262"/>
      <c r="I11" s="263"/>
      <c r="J11" s="2033"/>
      <c r="K11" s="2032"/>
      <c r="L11" s="2032"/>
      <c r="M11" s="2032"/>
      <c r="N11" s="2032"/>
      <c r="O11" s="2032"/>
      <c r="P11" s="2032"/>
      <c r="Q11" s="2032"/>
      <c r="R11" s="2032"/>
      <c r="S11" s="2032"/>
      <c r="T11" s="2032"/>
      <c r="U11" s="2032"/>
      <c r="V11" s="2032"/>
    </row>
    <row r="12" spans="1:22" ht="14.25">
      <c r="A12" s="3336" t="s">
        <v>312</v>
      </c>
      <c r="B12" s="3337">
        <v>15</v>
      </c>
      <c r="C12" s="3345"/>
      <c r="D12" s="3348"/>
      <c r="E12" s="261" t="s">
        <v>313</v>
      </c>
      <c r="F12" s="262"/>
      <c r="G12" s="262"/>
      <c r="H12" s="262"/>
      <c r="I12" s="263"/>
      <c r="J12" s="2033"/>
      <c r="K12" s="2032"/>
      <c r="L12" s="2032"/>
      <c r="M12" s="2032"/>
      <c r="N12" s="2032"/>
      <c r="O12" s="2032"/>
      <c r="P12" s="2032"/>
      <c r="Q12" s="2032"/>
      <c r="R12" s="2032"/>
      <c r="S12" s="2032"/>
      <c r="T12" s="2032"/>
      <c r="U12" s="2032"/>
      <c r="V12" s="2032"/>
    </row>
    <row r="13" spans="1:22" ht="14.25">
      <c r="A13" s="3336"/>
      <c r="B13" s="3337"/>
      <c r="C13" s="3347"/>
      <c r="D13" s="3348"/>
      <c r="E13" s="261" t="s">
        <v>314</v>
      </c>
      <c r="F13" s="262"/>
      <c r="G13" s="262"/>
      <c r="H13" s="262"/>
      <c r="I13" s="263"/>
      <c r="J13" s="2033"/>
      <c r="K13" s="2032"/>
      <c r="L13" s="2032"/>
      <c r="M13" s="2032"/>
      <c r="N13" s="2032"/>
      <c r="O13" s="2032"/>
      <c r="P13" s="2032"/>
      <c r="Q13" s="2032"/>
      <c r="R13" s="2032"/>
      <c r="S13" s="2032"/>
      <c r="T13" s="2032"/>
      <c r="U13" s="2032"/>
      <c r="V13" s="2032"/>
    </row>
    <row r="14" spans="1:22" ht="14.25">
      <c r="A14" s="3336" t="s">
        <v>315</v>
      </c>
      <c r="B14" s="3337">
        <v>30</v>
      </c>
      <c r="C14" s="3345">
        <v>5</v>
      </c>
      <c r="D14" s="3348">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36"/>
      <c r="B15" s="3337"/>
      <c r="C15" s="3346"/>
      <c r="D15" s="3348"/>
      <c r="E15" s="261" t="s">
        <v>317</v>
      </c>
      <c r="F15" s="262"/>
      <c r="G15" s="262"/>
      <c r="H15" s="262"/>
      <c r="I15" s="263"/>
      <c r="J15" s="2033"/>
      <c r="K15" s="2032"/>
      <c r="L15" s="2032"/>
      <c r="M15" s="2032"/>
      <c r="N15" s="2032"/>
      <c r="O15" s="2032"/>
      <c r="P15" s="2032"/>
      <c r="Q15" s="2032"/>
      <c r="R15" s="2032"/>
      <c r="S15" s="2032"/>
      <c r="T15" s="2032"/>
      <c r="U15" s="2032"/>
      <c r="V15" s="2032"/>
    </row>
    <row r="16" spans="1:22" ht="14.25">
      <c r="A16" s="3336"/>
      <c r="B16" s="3337"/>
      <c r="C16" s="3347"/>
      <c r="D16" s="3348"/>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916654</v>
      </c>
      <c r="D19" s="271">
        <f ca="1">SUMIF(INDIRECT("'"&amp;D4&amp;"'"&amp;"!A:A"),结果表!B19,INDIRECT("'"&amp;D4&amp;"'"&amp;"!B:B"))</f>
        <v>1065209</v>
      </c>
      <c r="E19" s="268" t="s">
        <v>323</v>
      </c>
      <c r="F19" s="269" t="s">
        <v>322</v>
      </c>
      <c r="G19" s="272">
        <f ca="1">ROUND(C19*$C$18+D19*$D$18,0)</f>
        <v>990932</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30475</v>
      </c>
      <c r="D20" s="277">
        <f ca="1">SUMIF(INDIRECT("'"&amp;D4&amp;"'"&amp;"!A:A"),结果表!B20,INDIRECT("'"&amp;D4&amp;"'"&amp;"!B:B"))</f>
        <v>35414</v>
      </c>
      <c r="E20" s="274"/>
      <c r="F20" s="275" t="s">
        <v>325</v>
      </c>
      <c r="G20" s="278">
        <f ca="1">ROUND(C20*$C$18+D20*$D$18,0)</f>
        <v>32945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93726</v>
      </c>
      <c r="D21" s="151">
        <f ca="1">SUMIF(INDIRECT("'"&amp;D4&amp;"'"&amp;"!A:A"),结果表!B21,INDIRECT("'"&amp;D4&amp;"'"&amp;"!B:B"))</f>
        <v>108916</v>
      </c>
      <c r="E21" s="274"/>
      <c r="F21" s="280" t="s">
        <v>327</v>
      </c>
      <c r="G21" s="282">
        <f ca="1">ROUND(C21*$C$18+D21*$D$18,0)</f>
        <v>101321</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0.16206223940549003</v>
      </c>
      <c r="E22" s="284"/>
      <c r="F22" s="285"/>
      <c r="G22" s="286">
        <f ca="1">ROUND(G19/('数据-汇总表'!D3/666.67),0)</f>
        <v>6755</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09" t="s">
        <v>330</v>
      </c>
      <c r="B24" s="269" t="s">
        <v>322</v>
      </c>
      <c r="C24" s="288">
        <f ca="1">IF(B30=0,0,D30)</f>
        <v>5643</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51"/>
      <c r="B25" s="1324" t="s">
        <v>331</v>
      </c>
      <c r="C25" s="290">
        <f ca="1">IF(B30=0,0,C30)</f>
        <v>1081</v>
      </c>
      <c r="D25" s="291"/>
      <c r="E25" s="314"/>
      <c r="F25" s="314"/>
      <c r="G25" s="314"/>
      <c r="H25" s="314"/>
      <c r="I25" s="314"/>
      <c r="J25" s="2032"/>
      <c r="K25" s="1258" t="str">
        <f ca="1">项目基本情况!B16&amp;"国有建设用地使用权价格："&amp;O38&amp;"万元"</f>
        <v>出让国有建设用地使用权价格：985289万元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大写金额：人民币玖拾捌亿伍仟贰佰捌拾玖万元整</v>
      </c>
      <c r="L26" s="1255"/>
      <c r="M26" s="1255"/>
      <c r="N26" s="1255"/>
      <c r="O26" s="1254"/>
      <c r="P26" s="2032"/>
      <c r="Q26" s="2032"/>
      <c r="R26" s="2032"/>
      <c r="S26" s="2032"/>
      <c r="T26" s="2032"/>
      <c r="U26" s="2032"/>
      <c r="V26" s="2032"/>
      <c r="W26" s="292"/>
      <c r="X26" s="292"/>
      <c r="Y26" s="292"/>
      <c r="Z26" s="292"/>
    </row>
    <row r="27" spans="1:26" ht="18">
      <c r="A27" s="3198" t="s">
        <v>3179</v>
      </c>
      <c r="B27" s="294">
        <f>'数据-汇总表'!G22</f>
        <v>31012.010000000002</v>
      </c>
      <c r="C27" s="294">
        <f ca="1">基准地价!G39</f>
        <v>952</v>
      </c>
      <c r="D27" s="295">
        <f ca="1">ROUND(B27*C27*1.0305/10000,0)</f>
        <v>3042</v>
      </c>
      <c r="E27" s="314"/>
      <c r="F27" s="314"/>
      <c r="G27" s="314"/>
      <c r="H27" s="314"/>
      <c r="I27" s="314"/>
      <c r="J27" s="2032"/>
      <c r="K27" s="1261" t="str">
        <f ca="1">"单位面积地价："&amp;M38&amp;"元/平方米"</f>
        <v>单位面积地价：100744元/平方米</v>
      </c>
      <c r="L27" s="1255"/>
      <c r="M27" s="1255"/>
      <c r="N27" s="1255"/>
      <c r="O27" s="1254"/>
      <c r="P27" s="2032"/>
      <c r="Q27" s="2032"/>
      <c r="R27" s="2032"/>
      <c r="S27" s="2032"/>
      <c r="T27" s="2032"/>
      <c r="U27" s="2032"/>
      <c r="V27" s="2032"/>
    </row>
    <row r="28" spans="1:26" ht="18.75" customHeight="1">
      <c r="A28" s="3198" t="s">
        <v>3180</v>
      </c>
      <c r="B28" s="294">
        <f>'数据-汇总表'!G23</f>
        <v>20759.810000000005</v>
      </c>
      <c r="C28" s="294">
        <f ca="1">基准地价!G38</f>
        <v>1190</v>
      </c>
      <c r="D28" s="295">
        <f ca="1">ROUND(B28*C28*1.0305/10000,0)</f>
        <v>2546</v>
      </c>
      <c r="E28" s="314"/>
      <c r="F28" s="314"/>
      <c r="G28" s="314"/>
      <c r="H28" s="314"/>
      <c r="I28" s="314"/>
      <c r="J28" s="2032"/>
      <c r="K28" s="1261" t="str">
        <f ca="1">"楼面地价："&amp;N38&amp;"元/平方米"</f>
        <v>楼面地价：32757元/平方米</v>
      </c>
      <c r="L28" s="1255"/>
      <c r="M28" s="1255"/>
      <c r="N28" s="1255"/>
      <c r="O28" s="1254"/>
      <c r="P28" s="2032"/>
      <c r="V28" s="2032"/>
    </row>
    <row r="29" spans="1:26" ht="18">
      <c r="A29" s="3198" t="s">
        <v>3181</v>
      </c>
      <c r="B29" s="294">
        <f>'数据-基础表'!AJ16</f>
        <v>452.28</v>
      </c>
      <c r="C29" s="294">
        <f ca="1">基准地价!G37</f>
        <v>1190</v>
      </c>
      <c r="D29" s="295">
        <f ca="1">ROUND(B29*C29*1.0305/10000,0)</f>
        <v>55</v>
      </c>
      <c r="E29" s="314"/>
      <c r="F29" s="314"/>
      <c r="G29" s="314"/>
      <c r="H29" s="314"/>
      <c r="I29" s="314"/>
      <c r="J29" s="2032"/>
      <c r="K29" s="1261" t="str">
        <f ca="1">IF(OR(项目基本情况!E8="抵押价格",项目基本情况!E8="已注销及未注销"),"抵押价格："&amp;O39&amp;"万元","——")</f>
        <v>抵押价格：985289万元</v>
      </c>
      <c r="L29" s="1255"/>
      <c r="M29" s="1255"/>
      <c r="N29" s="1255"/>
      <c r="O29" s="1254"/>
      <c r="P29" s="2032"/>
      <c r="V29" s="2032"/>
    </row>
    <row r="30" spans="1:26" ht="18.75" thickBot="1">
      <c r="A30" s="296" t="s">
        <v>336</v>
      </c>
      <c r="B30" s="297">
        <f>SUM(B27:B29)</f>
        <v>52224.100000000006</v>
      </c>
      <c r="C30" s="297">
        <f ca="1">ROUND(D30*10000/B30,0)</f>
        <v>1081</v>
      </c>
      <c r="D30" s="298">
        <f ca="1">SUM(D27:D29)</f>
        <v>5643</v>
      </c>
      <c r="E30" s="314"/>
      <c r="F30" s="314"/>
      <c r="G30" s="314"/>
      <c r="H30" s="314"/>
      <c r="I30" s="314"/>
      <c r="J30" s="2032"/>
      <c r="K30" s="1261" t="str">
        <f ca="1">IF(K29="——","——","大写金额：人民币"&amp;NUMBERSTRING(INT(O39*10000),2)&amp;"元整")</f>
        <v>大写金额：人民币玖拾捌亿伍仟贰佰捌拾玖万元整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1689</v>
      </c>
      <c r="C32" s="1385">
        <f ca="1">G19-C24</f>
        <v>985289</v>
      </c>
      <c r="D32" s="1386" t="s">
        <v>1690</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1691</v>
      </c>
      <c r="C33" s="264">
        <f ca="1">ROUND(C32*10000/'数据-汇总表'!E3,0)</f>
        <v>32757</v>
      </c>
      <c r="D33" s="1388" t="s">
        <v>1692</v>
      </c>
      <c r="E33" s="3309" t="s">
        <v>338</v>
      </c>
      <c r="F33" s="299" t="s">
        <v>339</v>
      </c>
      <c r="G33" s="300"/>
      <c r="H33" s="983"/>
      <c r="I33" s="1262"/>
      <c r="J33" s="2032"/>
      <c r="K33" s="1261" t="str">
        <f>IF(项目基本情况!E9="——","——","抵押净值："&amp;C46&amp;"万元")</f>
        <v>抵押净值：——万元</v>
      </c>
      <c r="L33" s="1255"/>
      <c r="M33" s="1255"/>
      <c r="N33" s="1255"/>
      <c r="O33" s="1254"/>
      <c r="P33" s="2032"/>
      <c r="V33" s="2032"/>
    </row>
    <row r="34" spans="1:26" s="1257" customFormat="1" ht="18.75" thickBot="1">
      <c r="A34" s="303"/>
      <c r="B34" s="1389" t="s">
        <v>1693</v>
      </c>
      <c r="C34" s="264">
        <f ca="1">ROUND(C32*10000/'数据-汇总表'!D3,0)</f>
        <v>100744</v>
      </c>
      <c r="D34" s="1390" t="s">
        <v>1692</v>
      </c>
      <c r="E34" s="3310"/>
      <c r="F34" s="127" t="s">
        <v>341</v>
      </c>
      <c r="G34" s="302"/>
      <c r="H34" s="105"/>
      <c r="I34" s="314"/>
      <c r="J34" s="2032"/>
      <c r="K34" s="1264" t="e">
        <f>IF(K33="——","——","大写金额：人民币"&amp;NUMBERSTRING(INT(O41*10000),2)&amp;"元整")</f>
        <v>#VALUE!</v>
      </c>
      <c r="L34" s="1265"/>
      <c r="M34" s="1265"/>
      <c r="N34" s="1265"/>
      <c r="O34" s="1266"/>
      <c r="P34" s="2032"/>
      <c r="Q34" s="292"/>
      <c r="R34" s="292"/>
      <c r="S34" s="292"/>
      <c r="T34" s="292"/>
      <c r="U34" s="292"/>
      <c r="V34" s="2032"/>
      <c r="W34" s="292"/>
      <c r="X34" s="292"/>
      <c r="Y34" s="292"/>
      <c r="Z34" s="292"/>
    </row>
    <row r="35" spans="1:26" ht="15.75" thickBot="1">
      <c r="A35" s="284"/>
      <c r="B35" s="1391"/>
      <c r="C35" s="1392">
        <f ca="1">ROUND(C32/('数据-汇总表'!D3/666.67),0)</f>
        <v>6716</v>
      </c>
      <c r="D35" s="1393" t="s">
        <v>1694</v>
      </c>
      <c r="E35" s="3311"/>
      <c r="F35" s="304" t="s">
        <v>342</v>
      </c>
      <c r="G35" s="985"/>
      <c r="H35" s="984" t="s">
        <v>343</v>
      </c>
      <c r="I35" s="314"/>
      <c r="J35" s="2032"/>
      <c r="K35" s="3315" t="s">
        <v>350</v>
      </c>
      <c r="L35" s="3315" t="s">
        <v>351</v>
      </c>
      <c r="M35" s="1267" t="s">
        <v>352</v>
      </c>
      <c r="N35" s="3315" t="s">
        <v>353</v>
      </c>
      <c r="O35" s="3315" t="s">
        <v>354</v>
      </c>
      <c r="P35" s="2032"/>
      <c r="V35" s="2032"/>
    </row>
    <row r="36" spans="1:26" ht="16.5" customHeight="1">
      <c r="A36" s="306" t="s">
        <v>344</v>
      </c>
      <c r="B36" s="307" t="s">
        <v>333</v>
      </c>
      <c r="C36" s="308" t="s">
        <v>345</v>
      </c>
      <c r="D36" s="308" t="s">
        <v>346</v>
      </c>
      <c r="E36" s="309" t="s">
        <v>347</v>
      </c>
      <c r="F36" s="314"/>
      <c r="G36" s="314"/>
      <c r="H36" s="314"/>
      <c r="I36" s="314"/>
      <c r="J36" s="2034"/>
      <c r="K36" s="3316"/>
      <c r="L36" s="3316"/>
      <c r="M36" s="1269" t="s">
        <v>355</v>
      </c>
      <c r="N36" s="3316"/>
      <c r="O36" s="3316"/>
      <c r="P36" s="2032"/>
      <c r="V36" s="2032"/>
    </row>
    <row r="37" spans="1:26" ht="16.5" customHeight="1" thickBot="1">
      <c r="A37" s="1263" t="s">
        <v>348</v>
      </c>
      <c r="B37" s="310"/>
      <c r="C37" s="294"/>
      <c r="D37" s="294"/>
      <c r="E37" s="295"/>
      <c r="F37" s="314"/>
      <c r="G37" s="314"/>
      <c r="H37" s="314"/>
      <c r="I37" s="314"/>
      <c r="J37" s="2034"/>
      <c r="K37" s="3317"/>
      <c r="L37" s="3317"/>
      <c r="M37" s="1270"/>
      <c r="N37" s="3317"/>
      <c r="O37" s="3317"/>
      <c r="P37" s="2032"/>
      <c r="V37" s="2032"/>
    </row>
    <row r="38" spans="1:26" ht="16.5" customHeight="1" thickBot="1">
      <c r="A38" s="1263" t="s">
        <v>349</v>
      </c>
      <c r="B38" s="310"/>
      <c r="C38" s="294"/>
      <c r="D38" s="294"/>
      <c r="E38" s="295"/>
      <c r="F38" s="314"/>
      <c r="G38" s="314"/>
      <c r="H38" s="314"/>
      <c r="I38" s="314"/>
      <c r="J38" s="2034"/>
      <c r="K38" s="1271">
        <f>'数据-汇总表'!D3</f>
        <v>97801.4</v>
      </c>
      <c r="L38" s="1272">
        <f>'数据-汇总表'!E3</f>
        <v>300788.65999999997</v>
      </c>
      <c r="M38" s="1272">
        <f ca="1">C34</f>
        <v>100744</v>
      </c>
      <c r="N38" s="1272">
        <f ca="1">C33</f>
        <v>32757</v>
      </c>
      <c r="O38" s="1273">
        <f ca="1">C32</f>
        <v>985289</v>
      </c>
      <c r="P38" s="2032"/>
      <c r="V38" s="2032"/>
    </row>
    <row r="39" spans="1:26" ht="16.5" customHeight="1" thickBot="1">
      <c r="A39" s="1268"/>
      <c r="B39" s="311"/>
      <c r="C39" s="312"/>
      <c r="D39" s="312"/>
      <c r="E39" s="313"/>
      <c r="F39" s="314"/>
      <c r="G39" s="314"/>
      <c r="H39" s="314"/>
      <c r="I39" s="314"/>
      <c r="J39" s="2034"/>
      <c r="K39" s="3292" t="str">
        <f>MID(A44,3,LEN(A44)-2)</f>
        <v>抵押价格</v>
      </c>
      <c r="L39" s="3293"/>
      <c r="M39" s="3293"/>
      <c r="N39" s="3294"/>
      <c r="O39" s="1395">
        <f ca="1">C44</f>
        <v>985289</v>
      </c>
      <c r="P39" s="2032"/>
      <c r="V39" s="2032"/>
    </row>
    <row r="40" spans="1:26" ht="19.5" thickBot="1">
      <c r="A40" s="104" t="s">
        <v>873</v>
      </c>
      <c r="B40" s="314"/>
      <c r="C40" s="314"/>
      <c r="D40" s="314"/>
      <c r="E40" s="314"/>
      <c r="F40" s="314"/>
      <c r="G40" s="314"/>
      <c r="H40" s="314"/>
      <c r="I40" s="314"/>
      <c r="J40" s="2034"/>
      <c r="K40" s="3292" t="str">
        <f t="shared" ref="K40:K41" si="0">MID(A45,3,LEN(A45)-2)</f>
        <v/>
      </c>
      <c r="L40" s="3293"/>
      <c r="M40" s="3293"/>
      <c r="N40" s="3294"/>
      <c r="O40" s="1395" t="str">
        <f>C45</f>
        <v>——</v>
      </c>
      <c r="P40" s="2032"/>
      <c r="V40" s="2032"/>
    </row>
    <row r="41" spans="1:26" ht="16.5" thickBot="1">
      <c r="A41" s="315" t="s">
        <v>356</v>
      </c>
      <c r="B41" s="316"/>
      <c r="C41" s="317" t="s">
        <v>357</v>
      </c>
      <c r="D41" s="318" t="s">
        <v>358</v>
      </c>
      <c r="E41" s="318" t="s">
        <v>359</v>
      </c>
      <c r="F41" s="319" t="s">
        <v>360</v>
      </c>
      <c r="G41" s="314"/>
      <c r="H41" s="314"/>
      <c r="I41" s="314"/>
      <c r="J41" s="2034"/>
      <c r="K41" s="3292" t="str">
        <f t="shared" si="0"/>
        <v/>
      </c>
      <c r="L41" s="3293"/>
      <c r="M41" s="3293"/>
      <c r="N41" s="3294"/>
      <c r="O41" s="1395" t="str">
        <f>C46</f>
        <v>——</v>
      </c>
      <c r="P41" s="2032"/>
      <c r="V41" s="2032"/>
    </row>
    <row r="42" spans="1:26" ht="29.25">
      <c r="A42" s="3352" t="s">
        <v>2070</v>
      </c>
      <c r="B42" s="3353"/>
      <c r="C42" s="264">
        <f ca="1">C32</f>
        <v>985289</v>
      </c>
      <c r="D42" s="320">
        <f ca="1">C33</f>
        <v>32757</v>
      </c>
      <c r="E42" s="320">
        <f ca="1">C34</f>
        <v>100744</v>
      </c>
      <c r="F42" s="321">
        <f ca="1">C35</f>
        <v>6716</v>
      </c>
      <c r="G42" s="314"/>
      <c r="H42" s="314"/>
      <c r="I42" s="322"/>
      <c r="J42" s="2034"/>
      <c r="K42" s="1274" t="s">
        <v>361</v>
      </c>
      <c r="L42" s="2051" t="s">
        <v>362</v>
      </c>
      <c r="M42" s="1275" t="s">
        <v>363</v>
      </c>
      <c r="N42" s="2052" t="s">
        <v>364</v>
      </c>
      <c r="O42" s="2053" t="s">
        <v>365</v>
      </c>
      <c r="P42" s="2032"/>
      <c r="V42" s="2032"/>
    </row>
    <row r="43" spans="1:26" ht="30">
      <c r="A43" s="3362" t="s">
        <v>2738</v>
      </c>
      <c r="B43" s="3363"/>
      <c r="C43" s="264">
        <f>IF(H33="正常操作",G33+G34+G35,G34+G35)</f>
        <v>0</v>
      </c>
      <c r="D43" s="320" t="s">
        <v>43</v>
      </c>
      <c r="E43" s="320" t="s">
        <v>44</v>
      </c>
      <c r="F43" s="321" t="s">
        <v>44</v>
      </c>
      <c r="G43" s="2896" t="s">
        <v>952</v>
      </c>
      <c r="H43" s="314"/>
      <c r="I43" s="322"/>
      <c r="J43" s="2034"/>
      <c r="K43" s="1276" t="str">
        <f>C4</f>
        <v>比较法-住宅、综合</v>
      </c>
      <c r="L43" s="1277">
        <f ca="1">IF(L42="估价结果/万元",C19,C20)</f>
        <v>916654</v>
      </c>
      <c r="M43" s="1278">
        <f>C18</f>
        <v>0.5</v>
      </c>
      <c r="N43" s="1279">
        <f ca="1">IF(N42="测算结果/万元",G19,G20)</f>
        <v>990932</v>
      </c>
      <c r="O43" s="1280">
        <f ca="1">IF(O42="最终结果/万元",C32,C33)</f>
        <v>985289</v>
      </c>
      <c r="P43" s="2032"/>
      <c r="V43" s="2032"/>
    </row>
    <row r="44" spans="1:26" ht="30.75" thickBot="1">
      <c r="A44" s="3352" t="str">
        <f>IF(OR(项目基本情况!E8="抵押价格",项目基本情况!E8="已注销及未注销"),"3.抵押价格","——")</f>
        <v>3.抵押价格</v>
      </c>
      <c r="B44" s="3353"/>
      <c r="C44" s="264">
        <f ca="1">IF(A44="——","——",C42-C43)</f>
        <v>985289</v>
      </c>
      <c r="D44" s="320">
        <f ca="1">ROUND(C44*10000/'数据-汇总表'!E3,0)</f>
        <v>32757</v>
      </c>
      <c r="E44" s="320">
        <f ca="1">ROUND(C44*10000/'数据-汇总表'!D3,0)</f>
        <v>100744</v>
      </c>
      <c r="F44" s="321">
        <f ca="1">ROUND(C44/('数据-汇总表'!D3/666.67),0)</f>
        <v>6716</v>
      </c>
      <c r="G44" s="314"/>
      <c r="H44" s="314"/>
      <c r="I44" s="322"/>
      <c r="J44" s="2034"/>
      <c r="K44" s="1281" t="str">
        <f>D4</f>
        <v>剩余法-待开发</v>
      </c>
      <c r="L44" s="1282">
        <f ca="1">IF(L42="估价结果/万元",D19,D20)</f>
        <v>1065209</v>
      </c>
      <c r="M44" s="1283">
        <f>D18</f>
        <v>0.5</v>
      </c>
      <c r="N44" s="1284"/>
      <c r="O44" s="1285"/>
      <c r="P44" s="2032"/>
      <c r="V44" s="2032"/>
    </row>
    <row r="45" spans="1:26" ht="15">
      <c r="A45" s="3357" t="str">
        <f>IF(项目基本情况!E8="已注销及未注销","4.抵押担保权已注销时的抵押价格",IF(项目基本情况!E8="已注销","3.抵押担保权已注销时的抵押价格","——"))</f>
        <v>——</v>
      </c>
      <c r="B45" s="3358"/>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54" t="str">
        <f>IF(项目基本情况!E9="抵押净值",IF(A45="——","4.抵押净值","5.抵押净值"),"——")</f>
        <v>——</v>
      </c>
      <c r="B46" s="3355"/>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20" t="s">
        <v>374</v>
      </c>
      <c r="B63" s="3321"/>
      <c r="C63" s="3322"/>
      <c r="D63" s="344">
        <f ca="1">ROUND(C42*F63,0)</f>
        <v>591173</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59" t="s">
        <v>378</v>
      </c>
      <c r="B64" s="3360"/>
      <c r="C64" s="3360"/>
      <c r="D64" s="3360"/>
      <c r="E64" s="3360"/>
      <c r="F64" s="3360"/>
      <c r="G64" s="3361"/>
      <c r="H64" s="1291"/>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56" t="s">
        <v>386</v>
      </c>
      <c r="B66" s="3327"/>
      <c r="C66" s="3327"/>
      <c r="D66" s="261">
        <f ca="1">IF(H66="情况1",0,IF(H66="情况2",D70,IF(H66="情况3",D71,IF(H66="情况4",D72))))</f>
        <v>31529</v>
      </c>
      <c r="E66" s="996" t="str">
        <f>IF(H66="情况4","(销售额-原购置价)×税（费）率","销售额×税（费）率")</f>
        <v>销售额×税（费）率</v>
      </c>
      <c r="F66" s="353">
        <f>IF(H66="情况1","免征",'数据-取费表'!B41)</f>
        <v>5.6000000000000001E-2</v>
      </c>
      <c r="G66" s="354" t="s">
        <v>387</v>
      </c>
      <c r="H66" s="191" t="s">
        <v>388</v>
      </c>
      <c r="I66" s="1291"/>
      <c r="J66" s="2038"/>
      <c r="K66" s="1294">
        <v>1</v>
      </c>
      <c r="L66" s="3296" t="s">
        <v>385</v>
      </c>
      <c r="M66" s="3297"/>
      <c r="N66" s="2486"/>
      <c r="O66" s="2487"/>
      <c r="P66" s="2488"/>
      <c r="Q66" s="2032"/>
      <c r="R66" s="2032"/>
      <c r="S66" s="2032"/>
      <c r="T66" s="2032"/>
      <c r="U66" s="2032"/>
      <c r="V66" s="2032"/>
    </row>
    <row r="67" spans="1:22" ht="25.5" customHeight="1">
      <c r="A67" s="355" t="s">
        <v>390</v>
      </c>
      <c r="B67" s="3339" t="s">
        <v>391</v>
      </c>
      <c r="C67" s="3339"/>
      <c r="D67" s="356">
        <v>0</v>
      </c>
      <c r="E67" s="41" t="s">
        <v>392</v>
      </c>
      <c r="F67" s="62" t="s">
        <v>21</v>
      </c>
      <c r="G67" s="3323"/>
      <c r="H67" s="314"/>
      <c r="I67" s="1295"/>
      <c r="J67" s="2039"/>
      <c r="K67" s="1980">
        <v>2</v>
      </c>
      <c r="L67" s="3295" t="s">
        <v>389</v>
      </c>
      <c r="M67" s="3295"/>
      <c r="N67" s="1328">
        <f>'数据-取费表'!B2</f>
        <v>43047</v>
      </c>
      <c r="O67" s="1328"/>
      <c r="P67" s="1328"/>
      <c r="Q67" s="2032"/>
      <c r="R67" s="2032"/>
      <c r="S67" s="2032"/>
      <c r="T67" s="2032"/>
      <c r="U67" s="2032"/>
      <c r="V67" s="2032"/>
    </row>
    <row r="68" spans="1:22" ht="25.5" customHeight="1">
      <c r="A68" s="357"/>
      <c r="B68" s="3339" t="s">
        <v>394</v>
      </c>
      <c r="C68" s="3339"/>
      <c r="D68" s="358"/>
      <c r="E68" s="77"/>
      <c r="F68" s="359"/>
      <c r="G68" s="3324"/>
      <c r="H68" s="314"/>
      <c r="I68" s="1295"/>
      <c r="J68" s="2039"/>
      <c r="K68" s="1980">
        <v>3</v>
      </c>
      <c r="L68" s="3295" t="s">
        <v>393</v>
      </c>
      <c r="M68" s="3295"/>
      <c r="N68" s="1296">
        <f ca="1">C42</f>
        <v>985289</v>
      </c>
      <c r="O68" s="1296"/>
      <c r="P68" s="1296"/>
      <c r="Q68" s="2032"/>
      <c r="R68" s="2032"/>
      <c r="S68" s="2032"/>
      <c r="T68" s="2032"/>
      <c r="U68" s="2032"/>
      <c r="V68" s="2032"/>
    </row>
    <row r="69" spans="1:22" ht="12" customHeight="1">
      <c r="A69" s="360"/>
      <c r="B69" s="3339" t="s">
        <v>395</v>
      </c>
      <c r="C69" s="3339"/>
      <c r="D69" s="361"/>
      <c r="E69" s="73"/>
      <c r="F69" s="359"/>
      <c r="G69" s="3325"/>
      <c r="H69" s="314"/>
      <c r="I69" s="1295"/>
      <c r="J69" s="2039"/>
      <c r="K69" s="1297">
        <v>4</v>
      </c>
      <c r="L69" s="3301" t="s">
        <v>2890</v>
      </c>
      <c r="M69" s="3302"/>
      <c r="N69" s="1298">
        <f ca="1">C44</f>
        <v>985289</v>
      </c>
      <c r="O69" s="1298"/>
      <c r="P69" s="1298"/>
      <c r="Q69" s="2032"/>
      <c r="R69" s="2032"/>
      <c r="S69" s="2032"/>
      <c r="T69" s="2032"/>
      <c r="U69" s="2032"/>
      <c r="V69" s="2032"/>
    </row>
    <row r="70" spans="1:22" ht="24" customHeight="1">
      <c r="A70" s="362" t="s">
        <v>396</v>
      </c>
      <c r="B70" s="3339" t="s">
        <v>397</v>
      </c>
      <c r="C70" s="3339"/>
      <c r="D70" s="361">
        <f ca="1">ROUND(D63*'数据-取费表'!B41/(1+'数据-取费表'!C42),0)</f>
        <v>31529</v>
      </c>
      <c r="E70" s="17" t="s">
        <v>398</v>
      </c>
      <c r="F70" s="363">
        <f>'数据-取费表'!B41</f>
        <v>5.6000000000000001E-2</v>
      </c>
      <c r="G70" s="364"/>
      <c r="H70" s="314"/>
      <c r="I70" s="1295"/>
      <c r="J70" s="2039"/>
      <c r="K70" s="3090"/>
      <c r="L70" s="3091"/>
      <c r="M70" s="3091"/>
      <c r="N70" s="3092" t="s">
        <v>2895</v>
      </c>
      <c r="O70" s="3091"/>
      <c r="P70" s="3093"/>
      <c r="Q70" s="2032"/>
      <c r="R70" s="2032"/>
      <c r="S70" s="2032"/>
      <c r="T70" s="2032"/>
      <c r="U70" s="2032"/>
      <c r="V70" s="2032"/>
    </row>
    <row r="71" spans="1:22" ht="12" customHeight="1">
      <c r="A71" s="362" t="s">
        <v>404</v>
      </c>
      <c r="B71" s="3338" t="s">
        <v>405</v>
      </c>
      <c r="C71" s="3350"/>
      <c r="D71" s="361">
        <f ca="1">ROUND(D63*'数据-取费表'!B41/(1+'数据-取费表'!C42),0)</f>
        <v>31529</v>
      </c>
      <c r="E71" s="17" t="s">
        <v>398</v>
      </c>
      <c r="F71" s="363">
        <f>'数据-取费表'!B41</f>
        <v>5.6000000000000001E-2</v>
      </c>
      <c r="G71" s="364"/>
      <c r="H71" s="314"/>
      <c r="I71" s="1295"/>
      <c r="J71" s="2039"/>
      <c r="K71" s="3089" t="s">
        <v>399</v>
      </c>
      <c r="L71" s="3303" t="s">
        <v>400</v>
      </c>
      <c r="M71" s="3303"/>
      <c r="N71" s="3089" t="s">
        <v>401</v>
      </c>
      <c r="O71" s="3089" t="s">
        <v>402</v>
      </c>
      <c r="P71" s="3089" t="s">
        <v>403</v>
      </c>
      <c r="Q71" s="2032"/>
      <c r="R71" s="2032"/>
      <c r="S71" s="2032"/>
      <c r="T71" s="2032"/>
      <c r="U71" s="2032"/>
      <c r="V71" s="2032"/>
    </row>
    <row r="72" spans="1:22" ht="12" customHeight="1">
      <c r="A72" s="362" t="s">
        <v>407</v>
      </c>
      <c r="B72" s="3338" t="s">
        <v>408</v>
      </c>
      <c r="C72" s="3350"/>
      <c r="D72" s="361">
        <f ca="1">C86</f>
        <v>31417</v>
      </c>
      <c r="E72" s="73" t="s">
        <v>409</v>
      </c>
      <c r="F72" s="363">
        <f>'数据-取费表'!B41</f>
        <v>5.6000000000000001E-2</v>
      </c>
      <c r="G72" s="364"/>
      <c r="H72" s="1301"/>
      <c r="I72" s="1295"/>
      <c r="J72" s="2039"/>
      <c r="K72" s="1980">
        <v>1</v>
      </c>
      <c r="L72" s="3300" t="s">
        <v>406</v>
      </c>
      <c r="M72" s="3300"/>
      <c r="N72" s="1299">
        <f ca="1">D66</f>
        <v>31529</v>
      </c>
      <c r="O72" s="1863" t="str">
        <f>E66</f>
        <v>销售额×税（费）率</v>
      </c>
      <c r="P72" s="1300">
        <f>F66</f>
        <v>5.6000000000000001E-2</v>
      </c>
      <c r="Q72" s="2032"/>
      <c r="R72" s="2032"/>
      <c r="S72" s="2032"/>
      <c r="T72" s="2032"/>
      <c r="U72" s="2032"/>
      <c r="V72" s="2032"/>
    </row>
    <row r="73" spans="1:22" ht="24" customHeight="1">
      <c r="A73" s="3326" t="s">
        <v>411</v>
      </c>
      <c r="B73" s="3327"/>
      <c r="C73" s="3327"/>
      <c r="D73" s="365">
        <f>IF(H73="个人住宅",0,ROUND(D63*I73,0))</f>
        <v>0</v>
      </c>
      <c r="E73" s="17" t="s">
        <v>412</v>
      </c>
      <c r="F73" s="363" t="str">
        <f>IF(H73="正常",I73,"免征")</f>
        <v>免征</v>
      </c>
      <c r="G73" s="364"/>
      <c r="H73" s="191" t="s">
        <v>2460</v>
      </c>
      <c r="I73" s="363">
        <f>'数据-取费表'!B49</f>
        <v>5.0000000000000001E-4</v>
      </c>
      <c r="J73" s="2039"/>
      <c r="K73" s="1980">
        <v>2</v>
      </c>
      <c r="L73" s="3300" t="s">
        <v>410</v>
      </c>
      <c r="M73" s="3300"/>
      <c r="N73" s="1299">
        <f t="shared" ref="N73:P74" si="1">D73</f>
        <v>0</v>
      </c>
      <c r="O73" s="1863" t="str">
        <f t="shared" si="1"/>
        <v>销售额×税（费）率</v>
      </c>
      <c r="P73" s="1300" t="str">
        <f t="shared" si="1"/>
        <v>免征</v>
      </c>
      <c r="Q73" s="2032"/>
      <c r="R73" s="2032"/>
      <c r="S73" s="2032"/>
      <c r="T73" s="2032"/>
      <c r="U73" s="2032"/>
      <c r="V73" s="2032"/>
    </row>
    <row r="74" spans="1:22" ht="24.75">
      <c r="A74" s="3326" t="s">
        <v>415</v>
      </c>
      <c r="B74" s="3327"/>
      <c r="C74" s="3327"/>
      <c r="D74" s="365">
        <f ca="1">IF(H74="个人住宅",D75,D76)</f>
        <v>333949</v>
      </c>
      <c r="E74" s="17" t="s">
        <v>416</v>
      </c>
      <c r="F74" s="363" t="str">
        <f>IF(H74="正常",F76,"免征")</f>
        <v>——</v>
      </c>
      <c r="G74" s="986" t="s">
        <v>417</v>
      </c>
      <c r="H74" s="366" t="s">
        <v>413</v>
      </c>
      <c r="I74" s="42"/>
      <c r="J74" s="2039"/>
      <c r="K74" s="1980">
        <v>3</v>
      </c>
      <c r="L74" s="3300" t="s">
        <v>414</v>
      </c>
      <c r="M74" s="3300"/>
      <c r="N74" s="1299">
        <f t="shared" ca="1" si="1"/>
        <v>333949</v>
      </c>
      <c r="O74" s="1863" t="str">
        <f t="shared" si="1"/>
        <v>增值额×税（费）率</v>
      </c>
      <c r="P74" s="1302" t="str">
        <f t="shared" si="1"/>
        <v>——</v>
      </c>
      <c r="Q74" s="2032"/>
      <c r="R74" s="2032"/>
      <c r="S74" s="2032"/>
      <c r="T74" s="2032"/>
      <c r="U74" s="2032"/>
      <c r="V74" s="2032"/>
    </row>
    <row r="75" spans="1:22" ht="24">
      <c r="A75" s="362" t="s">
        <v>418</v>
      </c>
      <c r="B75" s="3307" t="s">
        <v>419</v>
      </c>
      <c r="C75" s="3308"/>
      <c r="D75" s="367">
        <v>0</v>
      </c>
      <c r="E75" s="41" t="s">
        <v>420</v>
      </c>
      <c r="F75" s="368"/>
      <c r="G75" s="364"/>
      <c r="H75" s="42"/>
      <c r="I75" s="42"/>
      <c r="J75" s="2039"/>
      <c r="K75" s="3082">
        <f>IF(H77="非个人房产","",4)</f>
        <v>4</v>
      </c>
      <c r="L75" s="3300" t="str">
        <f>IF(H77="非个人房产","——","个人所得税")</f>
        <v>个人所得税</v>
      </c>
      <c r="M75" s="3300"/>
      <c r="N75" s="1303">
        <f ca="1">D77</f>
        <v>5912</v>
      </c>
      <c r="O75" s="1876" t="str">
        <f>E77</f>
        <v>销售额×税（费）率</v>
      </c>
      <c r="P75" s="1304">
        <f>F77</f>
        <v>0.01</v>
      </c>
      <c r="Q75" s="2032"/>
      <c r="R75" s="2032"/>
      <c r="S75" s="2032"/>
      <c r="T75" s="2032"/>
      <c r="U75" s="2032"/>
      <c r="V75" s="2032"/>
    </row>
    <row r="76" spans="1:22" ht="24.75">
      <c r="A76" s="362" t="s">
        <v>396</v>
      </c>
      <c r="B76" s="3307" t="s">
        <v>422</v>
      </c>
      <c r="C76" s="3349"/>
      <c r="D76" s="365">
        <f ca="1">IF(H76="转让取得",C99,C115)</f>
        <v>333949</v>
      </c>
      <c r="E76" s="17" t="s">
        <v>423</v>
      </c>
      <c r="F76" s="53" t="s">
        <v>21</v>
      </c>
      <c r="G76" s="364"/>
      <c r="H76" s="366" t="s">
        <v>424</v>
      </c>
      <c r="I76" s="42"/>
      <c r="J76" s="2039"/>
      <c r="K76" s="3082" t="str">
        <f>IF(项目基本情况!K6="上海银行",IF(K75="",4,K75+1),"")</f>
        <v/>
      </c>
      <c r="L76" s="3288" t="str">
        <f>IF(项目基本情况!K6="上海银行","其他处置费用","")</f>
        <v/>
      </c>
      <c r="M76" s="3289"/>
      <c r="N76" s="1299" t="str">
        <f>IF(项目基本情况!K6="上海银行",N89,"")</f>
        <v/>
      </c>
      <c r="O76" s="3290" t="str">
        <f>IF(项目基本情况!K6="上海银行","包含处置中涉及的律师、诉讼、拍卖、评估等费用","")</f>
        <v/>
      </c>
      <c r="P76" s="3291"/>
      <c r="Q76" s="2032"/>
      <c r="R76" s="2032"/>
      <c r="S76" s="2032"/>
      <c r="T76" s="2032"/>
      <c r="U76" s="2032"/>
      <c r="V76" s="2032"/>
    </row>
    <row r="77" spans="1:22" ht="26.25" thickBot="1">
      <c r="A77" s="3318" t="s">
        <v>426</v>
      </c>
      <c r="B77" s="3319"/>
      <c r="C77" s="3319"/>
      <c r="D77" s="369">
        <f ca="1">IF(H77="非个人房产","——",IF(H77="个人住宅",0,ROUND(D63*I77,0)))</f>
        <v>5912</v>
      </c>
      <c r="E77" s="370" t="str">
        <f>IF(H77="非个人房产","——","销售额×税（费）率")</f>
        <v>销售额×税（费）率</v>
      </c>
      <c r="F77" s="371">
        <f>IF(H77="非个人房产","——",IF(H77="个人住宅","免征",I77))</f>
        <v>0.01</v>
      </c>
      <c r="G77" s="987" t="s">
        <v>417</v>
      </c>
      <c r="H77" s="366" t="s">
        <v>2891</v>
      </c>
      <c r="I77" s="372">
        <v>0.01</v>
      </c>
      <c r="J77" s="2039"/>
      <c r="K77" s="3314">
        <f>IF(AND(K75="",K76=""),4,IF(项目基本情况!K6="上海银行",K76+1,K75+1))</f>
        <v>5</v>
      </c>
      <c r="L77" s="3300" t="s">
        <v>2892</v>
      </c>
      <c r="M77" s="3088" t="s">
        <v>421</v>
      </c>
      <c r="N77" s="1305"/>
      <c r="O77" s="1306">
        <f ca="1">SUMIF(N72:N76,"&lt;9e307")</f>
        <v>371390</v>
      </c>
      <c r="P77" s="1307"/>
      <c r="Q77" s="3086">
        <f ca="1">O77/N69</f>
        <v>0.3769350921404786</v>
      </c>
      <c r="R77" s="2032"/>
      <c r="S77" s="2032"/>
      <c r="T77" s="2032"/>
      <c r="U77" s="2032"/>
      <c r="V77" s="2032"/>
    </row>
    <row r="78" spans="1:22" ht="12" customHeight="1">
      <c r="A78" s="1308"/>
      <c r="B78" s="314"/>
      <c r="C78" s="314"/>
      <c r="D78" s="314"/>
      <c r="E78" s="42"/>
      <c r="F78" s="42"/>
      <c r="G78" s="42"/>
      <c r="H78" s="1006"/>
      <c r="I78" s="314"/>
      <c r="J78" s="2039"/>
      <c r="K78" s="3314"/>
      <c r="L78" s="3300"/>
      <c r="M78" s="3088" t="s">
        <v>425</v>
      </c>
      <c r="N78" s="1305"/>
      <c r="O78" s="1306" t="str">
        <f ca="1">NUMBERSTRING(INT(O77*10000),2)&amp;"元整"</f>
        <v>叁拾柒亿壹仟叁佰玖拾万元整</v>
      </c>
      <c r="P78" s="1307"/>
      <c r="Q78" s="2032"/>
      <c r="R78" s="2032"/>
      <c r="S78" s="2032"/>
      <c r="T78" s="2032"/>
      <c r="U78" s="2032"/>
      <c r="V78" s="2032"/>
    </row>
    <row r="79" spans="1:22" ht="13.5" thickBot="1">
      <c r="A79" s="3304" t="s">
        <v>427</v>
      </c>
      <c r="B79" s="3304"/>
      <c r="C79" s="3304"/>
      <c r="D79" s="3304"/>
      <c r="E79" s="3304"/>
      <c r="F79" s="42"/>
      <c r="G79" s="42"/>
      <c r="H79" s="1006"/>
      <c r="I79" s="314"/>
      <c r="J79" s="2039"/>
      <c r="K79" s="3298">
        <f>K77+1</f>
        <v>6</v>
      </c>
      <c r="L79" s="3300" t="s">
        <v>2893</v>
      </c>
      <c r="M79" s="3088" t="s">
        <v>421</v>
      </c>
      <c r="N79" s="1305"/>
      <c r="O79" s="1306">
        <f ca="1">N69-O77</f>
        <v>613899</v>
      </c>
      <c r="P79" s="1307"/>
      <c r="Q79" s="2032"/>
      <c r="R79" s="2032"/>
      <c r="S79" s="2032"/>
      <c r="T79" s="2032"/>
      <c r="U79" s="2032"/>
      <c r="V79" s="2032"/>
    </row>
    <row r="80" spans="1:22" ht="25.5">
      <c r="A80" s="3305" t="s">
        <v>428</v>
      </c>
      <c r="B80" s="3306"/>
      <c r="C80" s="997"/>
      <c r="D80" s="997" t="s">
        <v>429</v>
      </c>
      <c r="E80" s="373" t="s">
        <v>430</v>
      </c>
      <c r="F80" s="42"/>
      <c r="G80" s="42"/>
      <c r="H80" s="1006"/>
      <c r="I80" s="314"/>
      <c r="J80" s="2032"/>
      <c r="K80" s="3299"/>
      <c r="L80" s="3300"/>
      <c r="M80" s="3088" t="s">
        <v>425</v>
      </c>
      <c r="N80" s="1305"/>
      <c r="O80" s="1306" t="str">
        <f ca="1">NUMBERSTRING(INT(O79*10000),2)&amp;"元整"</f>
        <v>陆拾壹亿叁仟捌佰玖拾玖万元整</v>
      </c>
      <c r="P80" s="1307"/>
      <c r="Q80" s="2032"/>
      <c r="R80" s="2032"/>
      <c r="S80" s="2032"/>
      <c r="T80" s="2032"/>
      <c r="U80" s="2032"/>
      <c r="V80" s="2032"/>
    </row>
    <row r="81" spans="1:26" ht="13.5" thickBot="1">
      <c r="A81" s="384" t="s">
        <v>1824</v>
      </c>
      <c r="B81" s="374" t="s">
        <v>431</v>
      </c>
      <c r="C81" s="375">
        <f ca="1">ROUND((C82+C83)/(1+'数据-取费表'!C42),0)</f>
        <v>563022</v>
      </c>
      <c r="D81" s="376"/>
      <c r="E81" s="377"/>
      <c r="F81" s="42"/>
      <c r="G81" s="42"/>
      <c r="H81" s="1006"/>
      <c r="I81" s="314"/>
      <c r="J81" s="2032"/>
      <c r="K81" s="3082">
        <f>K79+1</f>
        <v>7</v>
      </c>
      <c r="L81" s="3312" t="s">
        <v>2894</v>
      </c>
      <c r="M81" s="3313"/>
      <c r="N81" s="1309"/>
      <c r="O81" s="1310">
        <f ca="1">ROUND(O79*10000/'数据-汇总表'!E3,0)</f>
        <v>20410</v>
      </c>
      <c r="P81" s="1311"/>
      <c r="Q81" s="2032"/>
      <c r="R81" s="2032"/>
      <c r="S81" s="2032"/>
      <c r="T81" s="2032"/>
      <c r="U81" s="2032"/>
      <c r="V81" s="2032"/>
    </row>
    <row r="82" spans="1:26" ht="13.5" thickTop="1">
      <c r="A82" s="378" t="s">
        <v>1825</v>
      </c>
      <c r="B82" s="379" t="s">
        <v>432</v>
      </c>
      <c r="C82" s="380">
        <f ca="1">D63</f>
        <v>591173</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1826</v>
      </c>
      <c r="B83" s="379" t="s">
        <v>433</v>
      </c>
      <c r="C83" s="383">
        <v>0</v>
      </c>
      <c r="D83" s="381"/>
      <c r="E83" s="382"/>
      <c r="F83" s="42"/>
      <c r="G83" s="42"/>
      <c r="H83" s="1006"/>
      <c r="I83" s="314"/>
      <c r="J83" s="2032"/>
      <c r="K83" s="3287" t="s">
        <v>2881</v>
      </c>
      <c r="L83" s="3094" t="s">
        <v>2882</v>
      </c>
      <c r="M83" s="3084">
        <f ca="1">IF(N69&gt;10000,N69*0.5%,IF(AND(N69&gt;1000,N69&lt;=10000),N69*1%,IF(AND(N69&gt;100,N69&lt;=1000),N69*3%,IF(AND(N69&gt;10,N69&lt;=100),N69*5%,N69*8%))))</f>
        <v>4926.4449999999997</v>
      </c>
      <c r="N83" s="53">
        <f ca="1">ROUND(M83,1)</f>
        <v>4926.3999999999996</v>
      </c>
      <c r="O83" s="3087"/>
      <c r="P83" s="2032"/>
      <c r="Q83" s="2032"/>
      <c r="R83" s="2032"/>
      <c r="S83" s="2032"/>
      <c r="T83" s="2032"/>
      <c r="U83" s="2032"/>
      <c r="V83" s="2032"/>
    </row>
    <row r="84" spans="1:26" ht="12.75">
      <c r="A84" s="384" t="s">
        <v>1827</v>
      </c>
      <c r="B84" s="385" t="s">
        <v>434</v>
      </c>
      <c r="C84" s="386">
        <v>2000</v>
      </c>
      <c r="D84" s="387" t="s">
        <v>19</v>
      </c>
      <c r="E84" s="3127" t="s">
        <v>2945</v>
      </c>
      <c r="F84" s="42"/>
      <c r="G84" s="42"/>
      <c r="H84" s="1006"/>
      <c r="I84" s="314"/>
      <c r="J84" s="2032"/>
      <c r="K84" s="3287"/>
      <c r="L84" s="3094" t="s">
        <v>2883</v>
      </c>
      <c r="M84" s="3084">
        <f ca="1">IF(N69&gt;2000,N69*0.5%,IF(AND(N69&gt;1000,N69&lt;=2000),N69*0.6%,IF(AND(N69&gt;500,N69&lt;=1000),N69*0.7%,IF(AND(N69&gt;200,N69&lt;=500),N69*0.8%,IF(AND(N69&gt;100,N69&lt;=200),N69*0.9%,IF(AND(N69&gt;50,N69&lt;=100),N69*1%,IF(AND(N69&gt;20,N69&lt;=50),N69*1.5%,IF(AND(N69&gt;10,N69&lt;=20),N69*2%,IF(AND(N69&gt;1,N69&lt;=10),N69*2.5%)))))))))</f>
        <v>4926.4449999999997</v>
      </c>
      <c r="N84" s="53">
        <f t="shared" ref="N84:N85" ca="1" si="2">ROUND(M84,1)</f>
        <v>4926.3999999999996</v>
      </c>
      <c r="O84" s="2032" t="s">
        <v>2884</v>
      </c>
      <c r="P84" s="2032"/>
      <c r="Q84" s="2032"/>
      <c r="R84" s="2032"/>
      <c r="S84" s="2032"/>
      <c r="T84" s="2032"/>
      <c r="U84" s="2032"/>
      <c r="V84" s="2032"/>
    </row>
    <row r="85" spans="1:26" ht="12.75">
      <c r="A85" s="384" t="s">
        <v>1828</v>
      </c>
      <c r="B85" s="385" t="s">
        <v>435</v>
      </c>
      <c r="C85" s="388">
        <f ca="1">C81-C84</f>
        <v>561022</v>
      </c>
      <c r="D85" s="381" t="s">
        <v>19</v>
      </c>
      <c r="E85" s="382"/>
      <c r="F85" s="42"/>
      <c r="G85" s="42"/>
      <c r="H85" s="1006"/>
      <c r="I85" s="314"/>
      <c r="J85" s="2032"/>
      <c r="K85" s="3287"/>
      <c r="L85" s="3094" t="s">
        <v>2885</v>
      </c>
      <c r="M85" s="3084">
        <f ca="1">IF(N69&gt;1000,N69*0.1%,IF(AND(N69&gt;500,N69&lt;=1000),N69*0.5%,IF(AND(N69&gt;50,N69&lt;=500),N69*1%,IF(AND(N69&gt;1,N69&lt;=50),N69*1.5%))))</f>
        <v>985.28899999999999</v>
      </c>
      <c r="N85" s="53">
        <f t="shared" ca="1" si="2"/>
        <v>985.3</v>
      </c>
      <c r="O85" s="2032" t="s">
        <v>2884</v>
      </c>
      <c r="P85" s="2032"/>
      <c r="Q85" s="2032"/>
      <c r="R85" s="2032"/>
      <c r="S85" s="2032"/>
      <c r="T85" s="2032"/>
      <c r="U85" s="2032"/>
      <c r="V85" s="2032"/>
    </row>
    <row r="86" spans="1:26" ht="13.5" thickBot="1">
      <c r="A86" s="389" t="s">
        <v>1829</v>
      </c>
      <c r="B86" s="390" t="s">
        <v>436</v>
      </c>
      <c r="C86" s="391">
        <f ca="1">IF(C85&lt;=0,0,ROUND(C85*D86,0))</f>
        <v>31417</v>
      </c>
      <c r="D86" s="392">
        <f>'数据-取费表'!B41</f>
        <v>5.6000000000000001E-2</v>
      </c>
      <c r="E86" s="393"/>
      <c r="F86" s="42"/>
      <c r="G86" s="42"/>
      <c r="H86" s="1006"/>
      <c r="I86" s="314"/>
      <c r="J86" s="2032"/>
      <c r="K86" s="3287"/>
      <c r="L86" s="3094" t="s">
        <v>2886</v>
      </c>
      <c r="M86" s="3084">
        <f ca="1">N69*0.5%</f>
        <v>4926.4449999999997</v>
      </c>
      <c r="N86" s="53">
        <f ca="1">IF(M86&gt;0.5,0.5,ROUND(M86,0))</f>
        <v>0.5</v>
      </c>
      <c r="O86" s="2032" t="s">
        <v>2887</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87"/>
      <c r="L87" s="3094" t="s">
        <v>2888</v>
      </c>
      <c r="M87" s="3084">
        <f ca="1">IF(N69&gt;=10000,(8.25+(N69-10000)*0.01%),IF(AND(N69&gt;=8000,N69&lt;10000),(7.85+(N69-8000)*0.02%),IF(AND(N69&gt;=5000,N69&lt;8000),(6.65+(N69-5000)*0.04%),IF(AND(N69&gt;=2000,N69&lt;5000),(4.25+(PN69-2000)*0.08%),IF(AND(N69&gt;=1000,N69&lt;2000),(2.75+(N69-1000)*0.15%),IF(AND(N69&gt;=100,N69&lt;1000),(0.5+(N69-100)*0.25%),IF(AND(N69&gt;0,N69&lt;100),N69*0.5%)))))))</f>
        <v>105.77890000000001</v>
      </c>
      <c r="N87" s="53">
        <f ca="1">ROUND(M87*0.9,1)</f>
        <v>95.2</v>
      </c>
      <c r="O87" s="3087"/>
      <c r="P87" s="314"/>
      <c r="Q87" s="2032"/>
      <c r="R87" s="2032"/>
      <c r="S87" s="2032"/>
      <c r="T87" s="2032"/>
      <c r="U87" s="2032"/>
      <c r="V87" s="2032"/>
      <c r="W87" s="292"/>
      <c r="X87" s="292"/>
      <c r="Y87" s="292"/>
      <c r="Z87" s="292"/>
    </row>
    <row r="88" spans="1:26" s="1317" customFormat="1" ht="15" thickBot="1">
      <c r="A88" s="3341" t="s">
        <v>437</v>
      </c>
      <c r="B88" s="3342"/>
      <c r="C88" s="3342"/>
      <c r="D88" s="3342"/>
      <c r="E88" s="3342"/>
      <c r="F88" s="3342"/>
      <c r="G88" s="3342"/>
      <c r="H88" s="3342"/>
      <c r="I88" s="1318"/>
      <c r="J88" s="2040"/>
      <c r="K88" s="3287"/>
      <c r="L88" s="3094" t="s">
        <v>2889</v>
      </c>
      <c r="M88" s="3084">
        <f ca="1">IF(N69&gt;10000,N69*0.5%,IF(AND(N69&gt;5000,N69&lt;=10000),N69*1%,IF(AND(N69&gt;1000,N69&lt;=5000),N69*2%,IF(AND(N69&gt;200,N69&lt;=1000),N69*3%,N69*5%))))</f>
        <v>4926.4449999999997</v>
      </c>
      <c r="N88" s="53">
        <f ca="1">ROUND(M88,1)</f>
        <v>4926.3999999999996</v>
      </c>
      <c r="O88" s="3087"/>
      <c r="P88" s="11"/>
      <c r="Q88" s="2037"/>
      <c r="R88" s="2037"/>
      <c r="S88" s="2037"/>
      <c r="T88" s="2037"/>
      <c r="U88" s="2037"/>
      <c r="V88" s="2037"/>
      <c r="W88" s="2041"/>
      <c r="X88" s="2041"/>
      <c r="Y88" s="2041"/>
      <c r="Z88" s="2041"/>
    </row>
    <row r="89" spans="1:26" s="1317" customFormat="1" ht="14.25">
      <c r="A89" s="3305" t="s">
        <v>428</v>
      </c>
      <c r="B89" s="3306"/>
      <c r="C89" s="997"/>
      <c r="D89" s="997" t="s">
        <v>429</v>
      </c>
      <c r="E89" s="394" t="s">
        <v>438</v>
      </c>
      <c r="F89" s="395"/>
      <c r="G89" s="395"/>
      <c r="H89" s="396"/>
      <c r="I89" s="1319"/>
      <c r="J89" s="2042"/>
      <c r="K89" s="3287"/>
      <c r="L89" s="3094" t="s">
        <v>27</v>
      </c>
      <c r="M89" s="3085"/>
      <c r="N89" s="53">
        <f ca="1">ROUND(SUM(N83:N88),0)</f>
        <v>15860</v>
      </c>
      <c r="O89" s="3095">
        <f ca="1">N89/N69</f>
        <v>1.609680002517028E-2</v>
      </c>
      <c r="P89" s="2037"/>
      <c r="Q89" s="2037"/>
      <c r="R89" s="2037"/>
      <c r="S89" s="2037"/>
      <c r="T89" s="2037"/>
      <c r="U89" s="2037"/>
      <c r="V89" s="2037"/>
      <c r="W89" s="2041"/>
      <c r="X89" s="2041"/>
      <c r="Y89" s="2041"/>
      <c r="Z89" s="2041"/>
    </row>
    <row r="90" spans="1:26" s="1317" customFormat="1" ht="14.25">
      <c r="A90" s="384" t="s">
        <v>1824</v>
      </c>
      <c r="B90" s="385" t="s">
        <v>439</v>
      </c>
      <c r="C90" s="388">
        <f ca="1">ROUND(D63/(1+'数据-取费表'!C42),0)</f>
        <v>563022</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1830</v>
      </c>
      <c r="B91" s="351" t="s">
        <v>440</v>
      </c>
      <c r="C91" s="388">
        <f ca="1">C92+C96</f>
        <v>5939</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1831</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1832</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1833</v>
      </c>
      <c r="B94" s="403" t="s">
        <v>446</v>
      </c>
      <c r="C94" s="381">
        <f>IF(F93="购房发票",ROUND(C93*H93*5%,0),0)</f>
        <v>500</v>
      </c>
      <c r="D94" s="404">
        <v>0.05</v>
      </c>
      <c r="E94" s="3338" t="s">
        <v>447</v>
      </c>
      <c r="F94" s="3339"/>
      <c r="G94" s="3339"/>
      <c r="H94" s="3340"/>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1835</v>
      </c>
      <c r="B96" s="379" t="s">
        <v>450</v>
      </c>
      <c r="C96" s="408">
        <f ca="1">ROUND(D63*D96/(1+'数据-取费表'!C42),0)</f>
        <v>3378</v>
      </c>
      <c r="D96" s="409">
        <f>'数据-取费表'!B43</f>
        <v>6.000000000000001E-3</v>
      </c>
      <c r="E96" s="3328" t="s">
        <v>2432</v>
      </c>
      <c r="F96" s="3329"/>
      <c r="G96" s="3329"/>
      <c r="H96" s="3330"/>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0" t="s">
        <v>1836</v>
      </c>
      <c r="B97" s="385" t="s">
        <v>451</v>
      </c>
      <c r="C97" s="388">
        <f ca="1">C90-C91</f>
        <v>557083</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0" t="s">
        <v>1837</v>
      </c>
      <c r="B98" s="385" t="s">
        <v>452</v>
      </c>
      <c r="C98" s="410">
        <f ca="1">IF(C97&lt;=0,0,C97/C91)</f>
        <v>93.80080821687153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1" t="s">
        <v>1838</v>
      </c>
      <c r="B99" s="390" t="s">
        <v>453</v>
      </c>
      <c r="C99" s="411">
        <f ca="1">ROUND(IF(C97&lt;=0,0,IF(C98&gt;=200%,C97*60%-C91*35%,IF(C98&gt;=100%,C97*50%-C91*15%,IF(C98&gt;=50%,C97*40%-C91*5%,IF(C98&lt;50%,C97*30%,0))))),0)</f>
        <v>332171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41" t="s">
        <v>454</v>
      </c>
      <c r="B101" s="3342"/>
      <c r="C101" s="3342"/>
      <c r="D101" s="3342"/>
      <c r="E101" s="3342"/>
      <c r="F101" s="3342"/>
      <c r="G101" s="3342"/>
      <c r="H101" s="3342"/>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05" t="s">
        <v>428</v>
      </c>
      <c r="B102" s="3306"/>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1824</v>
      </c>
      <c r="B103" s="385" t="s">
        <v>439</v>
      </c>
      <c r="C103" s="388">
        <f ca="1">ROUND(D63/(1+'数据-取费表'!C42),0)</f>
        <v>563022</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1830</v>
      </c>
      <c r="B104" s="351" t="s">
        <v>440</v>
      </c>
      <c r="C104" s="388">
        <f ca="1">IF(H106="仅含出让金",C105+C108+C109+C110+C111+C112,C105+C109+C110+C111+C112)</f>
        <v>4068</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1831</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1832</v>
      </c>
      <c r="B106" s="379" t="s">
        <v>456</v>
      </c>
      <c r="C106" s="419">
        <v>555</v>
      </c>
      <c r="D106" s="409"/>
      <c r="E106" s="420" t="s">
        <v>457</v>
      </c>
      <c r="F106" s="989"/>
      <c r="G106" s="421" t="s">
        <v>458</v>
      </c>
      <c r="H106" s="422" t="s">
        <v>2443</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1833</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2" t="s">
        <v>1839</v>
      </c>
      <c r="B109" s="379" t="s">
        <v>461</v>
      </c>
      <c r="C109" s="408">
        <f>IF(H109="——",IF(F1="现房",'剩余法-现房'!C18,'剩余法-待开发'!C18),I109)</f>
        <v>55</v>
      </c>
      <c r="D109" s="409"/>
      <c r="E109" s="3331" t="s">
        <v>462</v>
      </c>
      <c r="F109" s="3329"/>
      <c r="G109" s="3329"/>
      <c r="H109" s="1945" t="s">
        <v>2282</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2" t="s">
        <v>1840</v>
      </c>
      <c r="B110" s="379" t="s">
        <v>463</v>
      </c>
      <c r="C110" s="408">
        <f>ROUND((C105+C108+C109)*D110,0)</f>
        <v>63</v>
      </c>
      <c r="D110" s="409">
        <v>0.1</v>
      </c>
      <c r="E110" s="3331" t="s">
        <v>464</v>
      </c>
      <c r="F110" s="3329"/>
      <c r="G110" s="3329"/>
      <c r="H110" s="3330"/>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2" t="s">
        <v>1841</v>
      </c>
      <c r="B111" s="379" t="s">
        <v>450</v>
      </c>
      <c r="C111" s="408">
        <f ca="1">ROUND(D63*D111/(1+'数据-取费表'!C42),0)</f>
        <v>3378</v>
      </c>
      <c r="D111" s="409">
        <f>'数据-取费表'!B43</f>
        <v>6.000000000000001E-3</v>
      </c>
      <c r="E111" s="3328" t="s">
        <v>2432</v>
      </c>
      <c r="F111" s="3329"/>
      <c r="G111" s="3329"/>
      <c r="H111" s="3330"/>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2" t="s">
        <v>1842</v>
      </c>
      <c r="B112" s="379" t="s">
        <v>465</v>
      </c>
      <c r="C112" s="408">
        <f>ROUND(C108*D112,0)</f>
        <v>0</v>
      </c>
      <c r="D112" s="409">
        <v>0.2</v>
      </c>
      <c r="E112" s="3331" t="s">
        <v>2457</v>
      </c>
      <c r="F112" s="3329"/>
      <c r="G112" s="3329"/>
      <c r="H112" s="3330"/>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0" t="s">
        <v>1836</v>
      </c>
      <c r="B113" s="385" t="s">
        <v>451</v>
      </c>
      <c r="C113" s="388">
        <f ca="1">ROUND(C103-C104,0)</f>
        <v>558954</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0" t="s">
        <v>1837</v>
      </c>
      <c r="B114" s="385" t="s">
        <v>452</v>
      </c>
      <c r="C114" s="410">
        <f ca="1">IF(C113&lt;=0,0,C113/C104)</f>
        <v>137.40265486725664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1" t="s">
        <v>1838</v>
      </c>
      <c r="B115" s="390" t="s">
        <v>453</v>
      </c>
      <c r="C115" s="411">
        <f ca="1">ROUND(IF(C113&lt;=0,0,IF(C114&gt;=200%,C113*60%-C104*35%,IF(C114&gt;=100%,C113*50%-C104*15%,IF(C114&gt;=50%,C113*40%-C104*5%,IF(C114&lt;50%,C113*30%,0))))),0)</f>
        <v>333949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L15" sqref="L15"/>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11</v>
      </c>
    </row>
    <row r="2" spans="1:31" s="2045" customFormat="1" ht="18" customHeight="1">
      <c r="A2" s="2105" t="s">
        <v>467</v>
      </c>
      <c r="B2" s="2109">
        <f ca="1">C36</f>
        <v>1065209</v>
      </c>
      <c r="C2" s="2108"/>
      <c r="D2" s="2108"/>
      <c r="E2" s="2108"/>
      <c r="F2" s="2108"/>
      <c r="G2" s="2108"/>
      <c r="H2" s="2108"/>
      <c r="I2" s="2108"/>
      <c r="J2" s="2108"/>
      <c r="K2" s="2108"/>
    </row>
    <row r="3" spans="1:31" s="2045" customFormat="1" ht="18" customHeight="1">
      <c r="A3" s="2110" t="s">
        <v>1685</v>
      </c>
      <c r="B3" s="2111">
        <f ca="1">ROUND(B2*10000/IF(B1="",'数据-汇总表'!E3,INDIRECT("'数据-取费表'!K"&amp;$K$1)),0)</f>
        <v>35414</v>
      </c>
      <c r="C3" s="2108"/>
      <c r="D3" s="2108"/>
      <c r="E3" s="2108"/>
      <c r="F3" s="2108"/>
      <c r="G3" s="2108"/>
      <c r="H3" s="2108"/>
      <c r="I3" s="2108"/>
      <c r="J3" s="2108"/>
      <c r="K3" s="2108"/>
    </row>
    <row r="4" spans="1:31" s="2045" customFormat="1" ht="18" customHeight="1">
      <c r="A4" s="429" t="s">
        <v>468</v>
      </c>
      <c r="B4" s="430">
        <f ca="1">ROUND(B2*10000/IF(B1="",'数据-汇总表'!D3,INDIRECT("'数据-取费表'!R"&amp;$K$1)),0)</f>
        <v>108916</v>
      </c>
      <c r="C4" s="431"/>
      <c r="D4" s="425"/>
      <c r="E4" s="425"/>
      <c r="F4" s="425"/>
      <c r="G4" s="425"/>
      <c r="H4" s="425"/>
      <c r="I4" s="425"/>
      <c r="J4" s="425"/>
      <c r="K4" s="425"/>
    </row>
    <row r="5" spans="1:31" s="2045" customFormat="1" ht="18" customHeight="1" thickBot="1">
      <c r="A5" s="432"/>
      <c r="B5" s="433">
        <f ca="1">ROUND(B2/(IF(B1="",'数据-汇总表'!D3,INDIRECT("'数据-取费表'!R"&amp;$K$1))/666.67),0)</f>
        <v>7261</v>
      </c>
      <c r="C5" s="434" t="s">
        <v>469</v>
      </c>
      <c r="D5" s="425"/>
      <c r="E5" s="425"/>
      <c r="F5" s="425"/>
      <c r="G5" s="425"/>
      <c r="H5" s="425"/>
      <c r="I5" s="425"/>
      <c r="J5" s="425"/>
      <c r="K5" s="425"/>
    </row>
    <row r="6" spans="1:31" s="2115" customFormat="1" ht="16.5" customHeight="1">
      <c r="A6" s="2858" t="s">
        <v>1843</v>
      </c>
      <c r="B6" s="2859"/>
      <c r="C6" s="2860">
        <f ca="1">SUM(C10:K10)</f>
        <v>1798804</v>
      </c>
      <c r="D6" s="2859"/>
      <c r="E6" s="2859"/>
      <c r="F6" s="2859"/>
      <c r="G6" s="2859"/>
      <c r="H6" s="2859"/>
      <c r="I6" s="2859"/>
      <c r="J6" s="2859"/>
      <c r="K6" s="2861"/>
    </row>
    <row r="7" spans="1:31" s="2117" customFormat="1" ht="15">
      <c r="A7" s="2862" t="s">
        <v>470</v>
      </c>
      <c r="B7" s="2863" t="s">
        <v>471</v>
      </c>
      <c r="C7" s="439" t="s">
        <v>3044</v>
      </c>
      <c r="D7" s="439" t="s">
        <v>3005</v>
      </c>
      <c r="E7" s="439" t="s">
        <v>3027</v>
      </c>
      <c r="F7" s="439" t="s">
        <v>35</v>
      </c>
      <c r="G7" s="439" t="s">
        <v>3042</v>
      </c>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1846</v>
      </c>
      <c r="B8" s="261" t="s">
        <v>472</v>
      </c>
      <c r="C8" s="2864">
        <f>'不动产比较法-高层'!C49</f>
        <v>72701</v>
      </c>
      <c r="D8" s="2864">
        <f>'不动产比较法-联排'!C49</f>
        <v>95354</v>
      </c>
      <c r="E8" s="2864">
        <f ca="1">'不动产收益法-养老院'!C43</f>
        <v>24243</v>
      </c>
      <c r="F8" s="2864">
        <f>'不动产比较法-车位'!B3</f>
        <v>7586</v>
      </c>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1847</v>
      </c>
      <c r="B9" s="261" t="s">
        <v>473</v>
      </c>
      <c r="C9" s="444">
        <f>SUMIF('数据-汇总表'!$C19:$C33,'剩余法-待开发'!C7,'数据-汇总表'!$E19:$E33)</f>
        <v>165815.06</v>
      </c>
      <c r="D9" s="444">
        <f>SUMIF('数据-汇总表'!$C19:$C33,'剩余法-待开发'!D7,'数据-汇总表'!$E19:$E33)</f>
        <v>56703.840000000004</v>
      </c>
      <c r="E9" s="444">
        <f>SUMIF('数据-汇总表'!$C19:$C33,'剩余法-待开发'!E7,'数据-汇总表'!$E19:$E33)</f>
        <v>12000</v>
      </c>
      <c r="F9" s="444">
        <f>SUMIF('数据-汇总表'!$C19:$C33,'剩余法-待开发'!F7,'数据-汇总表'!$E19:$E33)</f>
        <v>31012.010000000002</v>
      </c>
      <c r="G9" s="444">
        <f>SUMIF('数据-汇总表'!$C19:$C33,'剩余法-待开发'!G7,'数据-汇总表'!$E19:$E33)</f>
        <v>20759.810000000005</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1848</v>
      </c>
      <c r="B10" s="2852" t="s">
        <v>474</v>
      </c>
      <c r="C10" s="3057">
        <f>'不动产比较法-高层'!B2</f>
        <v>1205492</v>
      </c>
      <c r="D10" s="3057">
        <f>'不动产比较法-联排'!B2</f>
        <v>540694</v>
      </c>
      <c r="E10" s="3057">
        <f ca="1">'不动产收益法-养老院'!C40</f>
        <v>29091</v>
      </c>
      <c r="F10" s="2867">
        <f>'不动产比较法-车位'!B2</f>
        <v>23527</v>
      </c>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1844</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1849</v>
      </c>
      <c r="B13" s="2873" t="s">
        <v>479</v>
      </c>
      <c r="C13" s="453">
        <f ca="1">IF(B1="",'数据-取费表'!P16,INDIRECT("'数据-取费表'!p"&amp;$K$1)+INDIRECT("'数据-取费表'!t"&amp;$K$1))</f>
        <v>102382</v>
      </c>
      <c r="D13" s="2874"/>
      <c r="E13" s="2875"/>
      <c r="F13" s="2876"/>
      <c r="G13" s="2842"/>
      <c r="H13" s="2843"/>
      <c r="I13" s="2843"/>
      <c r="J13" s="2843"/>
      <c r="K13" s="2844"/>
    </row>
    <row r="14" spans="1:31" s="2120" customFormat="1" ht="13.5" customHeight="1">
      <c r="A14" s="2872" t="s">
        <v>1850</v>
      </c>
      <c r="B14" s="2873" t="s">
        <v>480</v>
      </c>
      <c r="C14" s="53">
        <f ca="1">ROUND(C13*F14,0)</f>
        <v>5119</v>
      </c>
      <c r="D14" s="2874"/>
      <c r="E14" s="2875"/>
      <c r="F14" s="2877">
        <f>'数据-取费表'!B33</f>
        <v>0.05</v>
      </c>
      <c r="G14" s="2842" t="s">
        <v>481</v>
      </c>
      <c r="H14" s="2843"/>
      <c r="I14" s="2843"/>
      <c r="J14" s="2843"/>
      <c r="K14" s="2844"/>
    </row>
    <row r="15" spans="1:31" s="2120" customFormat="1" ht="13.5" customHeight="1">
      <c r="A15" s="2872" t="s">
        <v>1851</v>
      </c>
      <c r="B15" s="2873" t="s">
        <v>482</v>
      </c>
      <c r="C15" s="53">
        <f ca="1">ROUND(IF(B1="",SUMIF('数据-取费表'!C:C,"住宅",'数据-取费表'!P:P)*F15,IF(INDIRECT("'数据-取费表'!c"&amp;$K$1)="住宅",INDIRECT("'数据-取费表'!P"&amp;$K$1)*F15,0)),0)</f>
        <v>8050</v>
      </c>
      <c r="D15" s="2874"/>
      <c r="E15" s="2875"/>
      <c r="F15" s="2877">
        <f>'数据-取费表'!B34</f>
        <v>0.1</v>
      </c>
      <c r="G15" s="2842" t="s">
        <v>483</v>
      </c>
      <c r="H15" s="2843"/>
      <c r="I15" s="2843"/>
      <c r="J15" s="2843"/>
      <c r="K15" s="2844"/>
    </row>
    <row r="16" spans="1:31" s="2121" customFormat="1" ht="13.5" customHeight="1">
      <c r="A16" s="2872" t="s">
        <v>1852</v>
      </c>
      <c r="B16" s="2873" t="s">
        <v>484</v>
      </c>
      <c r="C16" s="53">
        <f ca="1">ROUND(D16*E16/10000,0)</f>
        <v>6016</v>
      </c>
      <c r="D16" s="2874">
        <f ca="1">IF(B1="",'数据-汇总表'!E3,INDIRECT("'数据-取费表'!K"&amp;$K$1)+INDIRECT("'数据-取费表'!S"&amp;$K$1))</f>
        <v>300788.65999999997</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1853</v>
      </c>
      <c r="B17" s="2873" t="s">
        <v>485</v>
      </c>
      <c r="C17" s="2878">
        <f ca="1">ROUND(C13*F17,0)</f>
        <v>1536</v>
      </c>
      <c r="D17" s="478"/>
      <c r="E17" s="2878"/>
      <c r="F17" s="2879">
        <f>'数据-取费表'!B36</f>
        <v>1.4999999999999999E-2</v>
      </c>
      <c r="G17" s="261" t="s">
        <v>486</v>
      </c>
      <c r="H17" s="2845"/>
      <c r="I17" s="2845"/>
      <c r="J17" s="2845"/>
      <c r="K17" s="279"/>
    </row>
    <row r="18" spans="1:14" s="2120" customFormat="1" ht="13.5" customHeight="1">
      <c r="A18" s="2880" t="s">
        <v>1854</v>
      </c>
      <c r="B18" s="2881" t="s">
        <v>487</v>
      </c>
      <c r="C18" s="2882">
        <f ca="1">SUM(C13:C17)</f>
        <v>123103</v>
      </c>
      <c r="D18" s="2883"/>
      <c r="E18" s="471"/>
      <c r="F18" s="471"/>
      <c r="G18" s="2846" t="s">
        <v>2434</v>
      </c>
      <c r="H18" s="2847"/>
      <c r="I18" s="2847"/>
      <c r="J18" s="2847"/>
      <c r="K18" s="2848"/>
    </row>
    <row r="19" spans="1:14" s="2120" customFormat="1" ht="13.5" customHeight="1">
      <c r="A19" s="2880" t="s">
        <v>1855</v>
      </c>
      <c r="B19" s="2881" t="s">
        <v>488</v>
      </c>
      <c r="C19" s="2838">
        <f ca="1">ROUND(D19*E19/10000,0)</f>
        <v>0</v>
      </c>
      <c r="D19" s="2884">
        <f ca="1">D16</f>
        <v>300788.65999999997</v>
      </c>
      <c r="E19" s="2838">
        <f>'数据-取费表'!B32</f>
        <v>0</v>
      </c>
      <c r="F19" s="471"/>
      <c r="G19" s="2842" t="s">
        <v>489</v>
      </c>
      <c r="H19" s="2843"/>
      <c r="I19" s="2847"/>
      <c r="J19" s="2847"/>
      <c r="K19" s="2848"/>
    </row>
    <row r="20" spans="1:14" s="2120" customFormat="1" ht="13.5" customHeight="1">
      <c r="A20" s="2880" t="s">
        <v>1856</v>
      </c>
      <c r="B20" s="2881" t="s">
        <v>490</v>
      </c>
      <c r="C20" s="2838">
        <f ca="1">C21+C22-IF(B1="",'数据-取费表'!B29,IF(G20="已全部缴纳",C21+C22,H20))</f>
        <v>5125</v>
      </c>
      <c r="D20" s="2884"/>
      <c r="E20" s="2838"/>
      <c r="F20" s="2885"/>
      <c r="G20" s="3115"/>
      <c r="H20" s="2840"/>
      <c r="I20" s="2841" t="s">
        <v>2659</v>
      </c>
      <c r="J20" s="2847"/>
      <c r="K20" s="2848"/>
    </row>
    <row r="21" spans="1:14" s="2120" customFormat="1" ht="13.5" customHeight="1">
      <c r="A21" s="2872" t="s">
        <v>1857</v>
      </c>
      <c r="B21" s="2873" t="s">
        <v>491</v>
      </c>
      <c r="C21" s="53">
        <f ca="1">ROUND(D21*E21/10000,0)</f>
        <v>3560</v>
      </c>
      <c r="D21" s="2874">
        <f ca="1">IF(B1="",'数据-汇总表'!E5,IF(INDIRECT("'数据-取费表'!c"&amp;$K$1)="住宅",INDIRECT("'数据-取费表'!k"&amp;$K$1),0))</f>
        <v>222518.9</v>
      </c>
      <c r="E21" s="53">
        <f>'数据-取费表'!B27</f>
        <v>160</v>
      </c>
      <c r="F21" s="2877"/>
      <c r="G21" s="26"/>
      <c r="H21" s="51"/>
      <c r="I21" s="51"/>
      <c r="J21" s="51"/>
      <c r="K21" s="2849"/>
    </row>
    <row r="22" spans="1:14" s="2120" customFormat="1" ht="13.5" customHeight="1">
      <c r="A22" s="2872" t="s">
        <v>1858</v>
      </c>
      <c r="B22" s="2873" t="s">
        <v>492</v>
      </c>
      <c r="C22" s="53">
        <f ca="1">ROUND(D22*E22/10000,0)</f>
        <v>1565</v>
      </c>
      <c r="D22" s="2874">
        <f ca="1">IF(B1="",'数据-汇总表'!E6,IF(INDIRECT("'数据-取费表'!c"&amp;$K$1)="住宅",INDIRECT("'数据-取费表'!s"&amp;$K$1),INDIRECT("'数据-取费表'!k"&amp;$K$1)+INDIRECT("'数据-取费表'!s"&amp;$K$1)))</f>
        <v>78269.75999999998</v>
      </c>
      <c r="E22" s="53">
        <f>'数据-取费表'!B28</f>
        <v>200</v>
      </c>
      <c r="F22" s="2877"/>
      <c r="G22" s="26"/>
      <c r="H22" s="51"/>
      <c r="I22" s="51"/>
      <c r="J22" s="51"/>
      <c r="K22" s="2849"/>
    </row>
    <row r="23" spans="1:14" s="2120" customFormat="1" ht="13.5" customHeight="1">
      <c r="A23" s="2880" t="s">
        <v>1859</v>
      </c>
      <c r="B23" s="3063" t="s">
        <v>2841</v>
      </c>
      <c r="C23" s="2882">
        <f ca="1">ROUND((C18+C19+C20)*F23,0)</f>
        <v>3847</v>
      </c>
      <c r="D23" s="471"/>
      <c r="E23" s="471"/>
      <c r="F23" s="2886">
        <f>'数据-取费表'!B37</f>
        <v>0.03</v>
      </c>
      <c r="G23" s="2842" t="s">
        <v>2435</v>
      </c>
      <c r="H23" s="2843"/>
      <c r="I23" s="2843"/>
      <c r="J23" s="2843"/>
      <c r="K23" s="2844"/>
      <c r="L23" s="2122"/>
      <c r="M23" s="2122"/>
      <c r="N23" s="2122"/>
    </row>
    <row r="24" spans="1:14" s="2120" customFormat="1" ht="13.5" customHeight="1">
      <c r="A24" s="2880" t="s">
        <v>1860</v>
      </c>
      <c r="B24" s="3063" t="s">
        <v>2844</v>
      </c>
      <c r="C24" s="2882">
        <f ca="1">ROUND(C6*F24,0)</f>
        <v>53964</v>
      </c>
      <c r="D24" s="478"/>
      <c r="E24" s="476"/>
      <c r="F24" s="2886">
        <f>'数据-取费表'!B38</f>
        <v>0.03</v>
      </c>
      <c r="G24" s="2851" t="s">
        <v>499</v>
      </c>
      <c r="H24" s="2845"/>
      <c r="I24" s="2845"/>
      <c r="J24" s="2845"/>
      <c r="K24" s="279"/>
      <c r="L24" s="2122"/>
      <c r="M24" s="2122"/>
      <c r="N24" s="2122"/>
    </row>
    <row r="25" spans="1:14" s="2123" customFormat="1" ht="13.5" customHeight="1">
      <c r="A25" s="2880" t="s">
        <v>1861</v>
      </c>
      <c r="B25" s="3063" t="s">
        <v>2842</v>
      </c>
      <c r="C25" s="470">
        <f>ROUND(F25/(1+'数据-取费表'!C42),4)</f>
        <v>2.9000000000000001E-2</v>
      </c>
      <c r="D25" s="465" t="s">
        <v>2836</v>
      </c>
      <c r="E25" s="472"/>
      <c r="F25" s="2886">
        <f>'数据-取费表'!B48+'数据-取费表'!B49</f>
        <v>3.0499999999999999E-2</v>
      </c>
      <c r="G25" s="2850" t="s">
        <v>2292</v>
      </c>
      <c r="H25" s="2843"/>
      <c r="I25" s="2843"/>
      <c r="J25" s="2843"/>
      <c r="K25" s="2844"/>
    </row>
    <row r="26" spans="1:14" s="2122" customFormat="1" ht="13.5" customHeight="1">
      <c r="A26" s="2880" t="s">
        <v>1862</v>
      </c>
      <c r="B26" s="3064" t="s">
        <v>2843</v>
      </c>
      <c r="C26" s="2887">
        <f ca="1">C28</f>
        <v>13411</v>
      </c>
      <c r="D26" s="470">
        <f ca="1">C27</f>
        <v>0.1537</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1857</v>
      </c>
      <c r="B27" s="2888" t="s">
        <v>496</v>
      </c>
      <c r="C27" s="2889">
        <f ca="1">ROUND(IF('数据-取费表'!B22&lt;=1,(1+C25)*F26*'数据-取费表'!B24,(1+C25)*(POWER((1+F26),'数据-取费表'!B24)-1)),4)</f>
        <v>0.1537</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1858</v>
      </c>
      <c r="B28" s="2888" t="s">
        <v>2845</v>
      </c>
      <c r="C28" s="2890">
        <f ca="1">ROUND(IF('数据-取费表'!B22&lt;=1,(C18+C19+C20+C23+C24)*F26*'数据-取费表'!B24/2,(C18+C19+C20+C23+C24)*(POWER((1+F26),'数据-取费表'!B24/2)-1)),0)</f>
        <v>13411</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1863</v>
      </c>
      <c r="B29" s="2881" t="s">
        <v>497</v>
      </c>
      <c r="C29" s="2882">
        <f ca="1">ROUND(C6*F29/(1+'数据-取费表'!C42),0)</f>
        <v>95936</v>
      </c>
      <c r="D29" s="471"/>
      <c r="E29" s="471"/>
      <c r="F29" s="3065">
        <f>'数据-取费表'!B41</f>
        <v>5.6000000000000001E-2</v>
      </c>
      <c r="G29" s="2851" t="s">
        <v>498</v>
      </c>
      <c r="H29" s="2843"/>
      <c r="I29" s="2843"/>
      <c r="J29" s="2843"/>
      <c r="K29" s="2844"/>
    </row>
    <row r="30" spans="1:14" s="2125" customFormat="1" ht="13.5" customHeight="1">
      <c r="A30" s="1638" t="s">
        <v>1864</v>
      </c>
      <c r="B30" s="2892" t="s">
        <v>500</v>
      </c>
      <c r="C30" s="2887">
        <f ca="1">C31</f>
        <v>295386</v>
      </c>
      <c r="D30" s="480">
        <f ca="1">C32</f>
        <v>0.1827</v>
      </c>
      <c r="E30" s="472" t="s">
        <v>495</v>
      </c>
      <c r="F30" s="474"/>
      <c r="G30" s="2842" t="s">
        <v>501</v>
      </c>
      <c r="H30" s="2843"/>
      <c r="I30" s="2843"/>
      <c r="J30" s="2843"/>
      <c r="K30" s="2844"/>
    </row>
    <row r="31" spans="1:14" s="2124" customFormat="1" ht="13.5" customHeight="1">
      <c r="A31" s="806" t="s">
        <v>1857</v>
      </c>
      <c r="B31" s="2888"/>
      <c r="C31" s="453">
        <f ca="1">C18+C19+C20+C23+C24+C26+C29</f>
        <v>295386</v>
      </c>
      <c r="D31" s="475"/>
      <c r="E31" s="476"/>
      <c r="F31" s="477"/>
      <c r="G31" s="261"/>
      <c r="H31" s="2845"/>
      <c r="I31" s="2845"/>
      <c r="J31" s="2845"/>
      <c r="K31" s="279"/>
    </row>
    <row r="32" spans="1:14" s="2124" customFormat="1" ht="13.5" customHeight="1">
      <c r="A32" s="806" t="s">
        <v>1858</v>
      </c>
      <c r="B32" s="2888"/>
      <c r="C32" s="53">
        <f ca="1">ROUND(C25+D26,4)</f>
        <v>0.1827</v>
      </c>
      <c r="D32" s="475"/>
      <c r="E32" s="476"/>
      <c r="F32" s="477"/>
      <c r="G32" s="261"/>
      <c r="H32" s="2845"/>
      <c r="I32" s="2845"/>
      <c r="J32" s="2845"/>
      <c r="K32" s="279"/>
    </row>
    <row r="33" spans="1:11" s="2126" customFormat="1" ht="13.5" customHeight="1">
      <c r="A33" s="3062" t="s">
        <v>2840</v>
      </c>
      <c r="B33" s="3060" t="s">
        <v>2838</v>
      </c>
      <c r="C33" s="481">
        <f ca="1">C35</f>
        <v>35347</v>
      </c>
      <c r="D33" s="470">
        <f ca="1">C34</f>
        <v>0.19550000000000001</v>
      </c>
      <c r="E33" s="472" t="s">
        <v>495</v>
      </c>
      <c r="F33" s="482">
        <f ca="1">IF(B1="",'数据-取费表'!Q16,INDIRECT("'数据-取费表'!q"&amp;$K$1))</f>
        <v>0.19</v>
      </c>
      <c r="G33" s="2846"/>
      <c r="H33" s="2847"/>
      <c r="I33" s="2847"/>
      <c r="J33" s="2847"/>
      <c r="K33" s="2848"/>
    </row>
    <row r="34" spans="1:11" s="2127" customFormat="1" ht="13.5" customHeight="1">
      <c r="A34" s="378" t="s">
        <v>1857</v>
      </c>
      <c r="B34" s="2893" t="s">
        <v>502</v>
      </c>
      <c r="C34" s="475">
        <f ca="1">ROUND((1+C25)*F33,4)</f>
        <v>0.19550000000000001</v>
      </c>
      <c r="D34" s="475"/>
      <c r="E34" s="476"/>
      <c r="F34" s="483"/>
      <c r="G34" s="261" t="s">
        <v>2293</v>
      </c>
      <c r="H34" s="2845"/>
      <c r="I34" s="2845"/>
      <c r="J34" s="2845"/>
      <c r="K34" s="279"/>
    </row>
    <row r="35" spans="1:11" s="2127" customFormat="1" ht="13.5" customHeight="1" thickBot="1">
      <c r="A35" s="1639" t="s">
        <v>1858</v>
      </c>
      <c r="B35" s="3061" t="s">
        <v>2846</v>
      </c>
      <c r="C35" s="1631">
        <f ca="1">ROUND((C18+C19+C20+C23+C24)*F33,0)</f>
        <v>35347</v>
      </c>
      <c r="D35" s="1632"/>
      <c r="E35" s="2894"/>
      <c r="F35" s="1633"/>
      <c r="G35" s="2852"/>
      <c r="H35" s="2853"/>
      <c r="I35" s="2853"/>
      <c r="J35" s="2853"/>
      <c r="K35" s="2854"/>
    </row>
    <row r="36" spans="1:11" s="2089" customFormat="1" ht="13.5" customHeight="1" thickBot="1">
      <c r="A36" s="284" t="s">
        <v>1845</v>
      </c>
      <c r="B36" s="2856"/>
      <c r="C36" s="2895">
        <f ca="1">ROUND((C6-C30-C33)/(1+D30+D33),0)</f>
        <v>1065209</v>
      </c>
      <c r="D36" s="2856"/>
      <c r="E36" s="2856"/>
      <c r="F36" s="2856"/>
      <c r="G36" s="2855" t="s">
        <v>2847</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11</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2" t="s">
        <v>1685</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2660</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1846</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1848</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1865</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1849</v>
      </c>
      <c r="B13" s="452" t="s">
        <v>479</v>
      </c>
      <c r="C13" s="453">
        <f ca="1">IF(B1="",'数据-取费表'!M16,INDIRECT("'数据-取费表'!M"&amp;$K$1)+INDIRECT("'数据-取费表'!t"&amp;$K$1))</f>
        <v>102382</v>
      </c>
      <c r="D13" s="454"/>
      <c r="E13" s="368"/>
      <c r="F13" s="455"/>
      <c r="G13" s="447"/>
      <c r="H13" s="450"/>
      <c r="I13" s="450"/>
      <c r="J13" s="450"/>
      <c r="K13" s="451"/>
    </row>
    <row r="14" spans="1:41" s="2120" customFormat="1" ht="13.5" customHeight="1">
      <c r="A14" s="1636" t="s">
        <v>1850</v>
      </c>
      <c r="B14" s="452" t="s">
        <v>480</v>
      </c>
      <c r="C14" s="53">
        <f ca="1">ROUND(C13*F14,0)</f>
        <v>5119</v>
      </c>
      <c r="D14" s="454"/>
      <c r="E14" s="368"/>
      <c r="F14" s="456">
        <f>'数据-取费表'!B33</f>
        <v>0.05</v>
      </c>
      <c r="G14" s="447" t="s">
        <v>503</v>
      </c>
      <c r="H14" s="450"/>
      <c r="I14" s="450"/>
      <c r="J14" s="450"/>
      <c r="K14" s="451"/>
    </row>
    <row r="15" spans="1:41" s="2120" customFormat="1" ht="13.5" customHeight="1">
      <c r="A15" s="1636" t="s">
        <v>1851</v>
      </c>
      <c r="B15" s="452" t="s">
        <v>482</v>
      </c>
      <c r="C15" s="53">
        <f ca="1">ROUND(IF(B1="",SUMIF('数据-取费表'!C:C,"住宅",'数据-取费表'!M:M)*F15,IF(INDIRECT("'数据-取费表'!c"&amp;$K$1)="住宅",INDIRECT("'数据-取费表'!M"&amp;$K$1)*F15,0)),0)</f>
        <v>8050</v>
      </c>
      <c r="D15" s="454"/>
      <c r="E15" s="368"/>
      <c r="F15" s="456">
        <f>'数据-取费表'!B34</f>
        <v>0.1</v>
      </c>
      <c r="G15" s="447" t="s">
        <v>503</v>
      </c>
      <c r="H15" s="450"/>
      <c r="I15" s="450"/>
      <c r="J15" s="450"/>
      <c r="K15" s="451"/>
    </row>
    <row r="16" spans="1:41" s="2121" customFormat="1" ht="13.5" customHeight="1">
      <c r="A16" s="1636" t="s">
        <v>1852</v>
      </c>
      <c r="B16" s="452" t="s">
        <v>484</v>
      </c>
      <c r="C16" s="53">
        <f ca="1">ROUND(D16*E16/10000,0)</f>
        <v>6016</v>
      </c>
      <c r="D16" s="454">
        <f ca="1">IF(B1="",'数据-汇总表'!E3,INDIRECT("'数据-取费表'!K"&amp;$K$1)+INDIRECT("'数据-取费表'!S"&amp;$K$1))</f>
        <v>300788.65999999997</v>
      </c>
      <c r="E16" s="53">
        <f>'数据-取费表'!B35</f>
        <v>200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1853</v>
      </c>
      <c r="B17" s="452" t="s">
        <v>485</v>
      </c>
      <c r="C17" s="457">
        <f ca="1">ROUND(C13*F17,0)</f>
        <v>1536</v>
      </c>
      <c r="D17" s="458"/>
      <c r="E17" s="457"/>
      <c r="F17" s="459">
        <f>'数据-取费表'!B36</f>
        <v>1.4999999999999999E-2</v>
      </c>
      <c r="G17" s="447" t="s">
        <v>503</v>
      </c>
      <c r="H17" s="460"/>
      <c r="I17" s="460"/>
      <c r="J17" s="460"/>
      <c r="K17" s="461"/>
    </row>
    <row r="18" spans="1:14" s="2123" customFormat="1" ht="13.5" customHeight="1">
      <c r="A18" s="1637" t="s">
        <v>1854</v>
      </c>
      <c r="B18" s="462" t="s">
        <v>487</v>
      </c>
      <c r="C18" s="463">
        <f ca="1">SUM(C13:C17)</f>
        <v>123103</v>
      </c>
      <c r="D18" s="464"/>
      <c r="E18" s="465"/>
      <c r="F18" s="465"/>
      <c r="G18" s="1330" t="s">
        <v>2436</v>
      </c>
      <c r="H18" s="450"/>
      <c r="I18" s="450"/>
      <c r="J18" s="450"/>
      <c r="K18" s="451"/>
    </row>
    <row r="19" spans="1:14" s="2123" customFormat="1" ht="13.5" customHeight="1">
      <c r="A19" s="1637" t="s">
        <v>1855</v>
      </c>
      <c r="B19" s="462" t="s">
        <v>493</v>
      </c>
      <c r="C19" s="463">
        <f ca="1">ROUND(C18*F19,0)</f>
        <v>3693</v>
      </c>
      <c r="D19" s="465"/>
      <c r="E19" s="465"/>
      <c r="F19" s="469">
        <f>'数据-取费表'!B37</f>
        <v>0.03</v>
      </c>
      <c r="G19" s="447" t="s">
        <v>504</v>
      </c>
      <c r="H19" s="450"/>
      <c r="I19" s="450"/>
      <c r="J19" s="450"/>
      <c r="K19" s="451"/>
      <c r="L19" s="2125"/>
      <c r="M19" s="2125"/>
      <c r="N19" s="2125"/>
    </row>
    <row r="20" spans="1:14" s="2123" customFormat="1" ht="13.5" customHeight="1">
      <c r="A20" s="1637" t="s">
        <v>1856</v>
      </c>
      <c r="B20" s="462" t="s">
        <v>505</v>
      </c>
      <c r="C20" s="3058">
        <f>F20</f>
        <v>0.03</v>
      </c>
      <c r="D20" s="472" t="s">
        <v>506</v>
      </c>
      <c r="E20" s="472"/>
      <c r="F20" s="489">
        <f>'数据-取费表'!B38</f>
        <v>0.03</v>
      </c>
      <c r="G20" s="1330" t="s">
        <v>507</v>
      </c>
      <c r="H20" s="450"/>
      <c r="I20" s="450"/>
      <c r="J20" s="450"/>
      <c r="K20" s="451"/>
      <c r="L20" s="2125"/>
      <c r="M20" s="2125"/>
      <c r="N20" s="2125"/>
    </row>
    <row r="21" spans="1:14" s="2125" customFormat="1" ht="13.5" customHeight="1">
      <c r="A21" s="1637" t="s">
        <v>1859</v>
      </c>
      <c r="B21" s="464" t="s">
        <v>494</v>
      </c>
      <c r="C21" s="473">
        <f ca="1">C22</f>
        <v>9141</v>
      </c>
      <c r="D21" s="470">
        <f ca="1">C23</f>
        <v>2.2000000000000001E-3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2458</v>
      </c>
    </row>
    <row r="22" spans="1:14" s="2124" customFormat="1" ht="13.5" customHeight="1">
      <c r="A22" s="1636" t="s">
        <v>1849</v>
      </c>
      <c r="B22" s="1331" t="s">
        <v>2439</v>
      </c>
      <c r="C22" s="490">
        <f ca="1">ROUND(IF('数据-取费表'!B22&lt;=1,(C18+C19)*F21*'数据-取费表'!B20/2,(C18+C19)*(POWER((1+F21),'数据-取费表'!B20/2)-1)),0)</f>
        <v>9141</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1850</v>
      </c>
      <c r="B23" s="1331" t="s">
        <v>509</v>
      </c>
      <c r="C23" s="491">
        <f ca="1">ROUND(IF('数据-取费表'!B22&lt;=1,F20*F21*'数据-取费表'!B20/2,F20*(POWER((1+F21),'数据-取费表'!B20/2)-1)),4)</f>
        <v>2.2000000000000001E-3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1860</v>
      </c>
      <c r="B24" s="3060" t="s">
        <v>2839</v>
      </c>
      <c r="C24" s="481">
        <f ca="1">C25</f>
        <v>24091</v>
      </c>
      <c r="D24" s="492">
        <f ca="1">C26</f>
        <v>5.7000000000000002E-3</v>
      </c>
      <c r="E24" s="472" t="s">
        <v>508</v>
      </c>
      <c r="F24" s="482">
        <f ca="1">IF(B1="",'数据-取费表'!Q16,INDIRECT("'数据-取费表'!q"&amp;$K$1))</f>
        <v>0.19</v>
      </c>
      <c r="G24" s="447"/>
      <c r="H24" s="450"/>
      <c r="I24" s="450"/>
      <c r="J24" s="450"/>
      <c r="K24" s="451"/>
    </row>
    <row r="25" spans="1:14" s="2124" customFormat="1" ht="13.5" customHeight="1">
      <c r="A25" s="1636" t="s">
        <v>1849</v>
      </c>
      <c r="B25" s="1331" t="s">
        <v>2440</v>
      </c>
      <c r="C25" s="493">
        <f ca="1">ROUND((C18+C19)*F24,0)</f>
        <v>24091</v>
      </c>
      <c r="D25" s="475"/>
      <c r="E25" s="476"/>
      <c r="F25" s="483"/>
      <c r="G25" s="1329" t="s">
        <v>2437</v>
      </c>
      <c r="H25" s="460"/>
      <c r="I25" s="460"/>
      <c r="J25" s="460"/>
      <c r="K25" s="461"/>
    </row>
    <row r="26" spans="1:14" s="2124" customFormat="1" ht="13.5" customHeight="1">
      <c r="A26" s="1636" t="s">
        <v>1850</v>
      </c>
      <c r="B26" s="1331" t="s">
        <v>510</v>
      </c>
      <c r="C26" s="494">
        <f ca="1">ROUND(F20*F24,4)</f>
        <v>5.7000000000000002E-3</v>
      </c>
      <c r="D26" s="475"/>
      <c r="E26" s="484"/>
      <c r="F26" s="483"/>
      <c r="G26" s="1329" t="s">
        <v>511</v>
      </c>
      <c r="H26" s="460"/>
      <c r="I26" s="460"/>
      <c r="J26" s="460"/>
      <c r="K26" s="461"/>
    </row>
    <row r="27" spans="1:14" s="2124" customFormat="1" ht="13.5" customHeight="1">
      <c r="A27" s="1640" t="s">
        <v>1868</v>
      </c>
      <c r="B27" s="462" t="s">
        <v>512</v>
      </c>
      <c r="C27" s="3059">
        <f>ROUND(F27/(1+'数据-取费表'!C42),4)</f>
        <v>5.33E-2</v>
      </c>
      <c r="D27" s="465" t="s">
        <v>2837</v>
      </c>
      <c r="E27" s="465"/>
      <c r="F27" s="469">
        <f>'数据-取费表'!B41</f>
        <v>5.6000000000000001E-2</v>
      </c>
      <c r="G27" s="1964" t="s">
        <v>2294</v>
      </c>
      <c r="H27" s="450"/>
      <c r="I27" s="450"/>
      <c r="J27" s="450"/>
      <c r="K27" s="451"/>
    </row>
    <row r="28" spans="1:14" s="2125" customFormat="1" ht="13.5" customHeight="1">
      <c r="A28" s="1640" t="s">
        <v>1869</v>
      </c>
      <c r="B28" s="479" t="s">
        <v>513</v>
      </c>
      <c r="C28" s="473">
        <f ca="1">ROUND((C18+C19+C21+C24)/(1-C20-D21-D24-C27),0)</f>
        <v>176087</v>
      </c>
      <c r="D28" s="480"/>
      <c r="E28" s="472"/>
      <c r="F28" s="474"/>
      <c r="G28" s="1330" t="s">
        <v>2438</v>
      </c>
      <c r="H28" s="450"/>
      <c r="I28" s="450"/>
      <c r="J28" s="450"/>
      <c r="K28" s="451"/>
    </row>
    <row r="29" spans="1:14" s="2125" customFormat="1" ht="13.5" customHeight="1">
      <c r="A29" s="1640" t="s">
        <v>1870</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1866</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1"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1902</v>
      </c>
      <c r="B36" s="1657" t="s">
        <v>1903</v>
      </c>
    </row>
    <row r="37" spans="1:9" ht="28.5" customHeight="1">
      <c r="A37" s="1657"/>
      <c r="B37" s="3199" t="str">
        <f>项目基本情况!B1</f>
        <v>北京市出让国有建设用地使用权抵押价格预评估</v>
      </c>
      <c r="C37" s="3199"/>
      <c r="D37" s="3199"/>
      <c r="E37" s="3199"/>
      <c r="F37" s="3199"/>
      <c r="G37" s="3199"/>
      <c r="H37" s="3199"/>
      <c r="I37" s="3199"/>
    </row>
    <row r="38" spans="1:9">
      <c r="A38" s="1659"/>
      <c r="B38" s="1659"/>
    </row>
    <row r="39" spans="1:9">
      <c r="A39" s="1657" t="s">
        <v>1902</v>
      </c>
      <c r="B39" s="1657" t="s">
        <v>2049</v>
      </c>
    </row>
    <row r="40" spans="1:9">
      <c r="A40" s="1657"/>
      <c r="B40" s="1657" t="str">
        <f>项目基本情况!B5</f>
        <v>和记黄埔地产（北京朝阳）有限公司</v>
      </c>
    </row>
    <row r="41" spans="1:9">
      <c r="A41" s="1657"/>
      <c r="B41" s="1657"/>
    </row>
    <row r="42" spans="1:9">
      <c r="A42" s="1657" t="s">
        <v>1902</v>
      </c>
      <c r="B42" s="1657" t="s">
        <v>2050</v>
      </c>
    </row>
    <row r="43" spans="1:9">
      <c r="A43" s="1657"/>
      <c r="B43" s="1657" t="s">
        <v>1904</v>
      </c>
    </row>
    <row r="44" spans="1:9">
      <c r="A44" s="1657"/>
      <c r="B44" s="1657"/>
    </row>
    <row r="45" spans="1:9">
      <c r="A45" s="1657" t="s">
        <v>1902</v>
      </c>
      <c r="B45" s="1657" t="s">
        <v>2048</v>
      </c>
    </row>
    <row r="46" spans="1:9" s="1657" customFormat="1" ht="12.75">
      <c r="B46" s="1657" t="str">
        <f>项目基本情况!K4</f>
        <v>赵雯、欧红伟、梁津</v>
      </c>
    </row>
    <row r="47" spans="1:9">
      <c r="A47" s="1657"/>
      <c r="B47" s="1657"/>
    </row>
    <row r="48" spans="1:9">
      <c r="A48" s="1657" t="s">
        <v>1902</v>
      </c>
      <c r="B48" s="1657" t="s">
        <v>2051</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M11" sqref="M1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8"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467</v>
      </c>
      <c r="B2" s="511">
        <f>F68</f>
        <v>916654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8"/>
    </row>
    <row r="3" spans="1:30" s="1339" customFormat="1" ht="28.5" customHeight="1">
      <c r="A3" s="1382" t="s">
        <v>1685</v>
      </c>
      <c r="B3" s="513">
        <f>ROUND(B2*10000/'数据-汇总表'!E3,0)</f>
        <v>30475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9" customFormat="1" ht="28.5" customHeight="1">
      <c r="A4" s="514" t="s">
        <v>521</v>
      </c>
      <c r="B4" s="430">
        <f>IF(B48="单位面积地价",C50,ROUND(B2*10000/'数据-汇总表'!D3,0))</f>
        <v>93726</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6248</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86" t="s">
        <v>523</v>
      </c>
      <c r="D6" s="3387"/>
      <c r="E6" s="3386" t="s">
        <v>524</v>
      </c>
      <c r="F6" s="3387"/>
      <c r="G6" s="3386" t="s">
        <v>525</v>
      </c>
      <c r="H6" s="3387"/>
      <c r="I6" s="3386" t="s">
        <v>526</v>
      </c>
      <c r="J6" s="3387"/>
      <c r="K6" s="517" t="s">
        <v>527</v>
      </c>
      <c r="L6" s="2137"/>
      <c r="M6" s="2136"/>
      <c r="N6" s="2136"/>
      <c r="O6" s="2138"/>
      <c r="P6" s="3388" t="s">
        <v>528</v>
      </c>
      <c r="Q6" s="3389"/>
      <c r="R6" s="3374" t="s">
        <v>524</v>
      </c>
      <c r="S6" s="3375"/>
      <c r="T6" s="3374" t="s">
        <v>525</v>
      </c>
      <c r="U6" s="3375"/>
      <c r="V6" s="3394" t="s">
        <v>526</v>
      </c>
      <c r="W6" s="3394"/>
      <c r="X6" s="1570"/>
      <c r="Y6" s="3374" t="s">
        <v>528</v>
      </c>
      <c r="Z6" s="3375"/>
      <c r="AA6" s="3369" t="s">
        <v>524</v>
      </c>
      <c r="AB6" s="3370" t="s">
        <v>525</v>
      </c>
      <c r="AC6" s="3369" t="s">
        <v>526</v>
      </c>
    </row>
    <row r="7" spans="1:30" ht="48.75" customHeight="1">
      <c r="A7" s="518"/>
      <c r="B7" s="519"/>
      <c r="C7" s="3399"/>
      <c r="D7" s="3398"/>
      <c r="E7" s="3397" t="s">
        <v>3066</v>
      </c>
      <c r="F7" s="3398"/>
      <c r="G7" s="3397" t="s">
        <v>3093</v>
      </c>
      <c r="H7" s="3398"/>
      <c r="I7" s="3397" t="s">
        <v>3096</v>
      </c>
      <c r="J7" s="3398"/>
      <c r="K7" s="517"/>
      <c r="L7" s="2137"/>
      <c r="M7" s="2136"/>
      <c r="N7" s="2136"/>
      <c r="O7" s="2138"/>
      <c r="P7" s="3390"/>
      <c r="Q7" s="3391"/>
      <c r="R7" s="3376"/>
      <c r="S7" s="3377"/>
      <c r="T7" s="3376"/>
      <c r="U7" s="3377"/>
      <c r="V7" s="3394"/>
      <c r="W7" s="3394"/>
      <c r="X7" s="1570"/>
      <c r="Y7" s="3376"/>
      <c r="Z7" s="3377"/>
      <c r="AA7" s="3370"/>
      <c r="AB7" s="3370"/>
      <c r="AC7" s="3370"/>
    </row>
    <row r="8" spans="1:30" ht="21" thickBot="1">
      <c r="A8" s="518"/>
      <c r="B8" s="519"/>
      <c r="C8" s="3400"/>
      <c r="D8" s="3401"/>
      <c r="E8" s="3400"/>
      <c r="F8" s="3401"/>
      <c r="G8" s="3395"/>
      <c r="H8" s="3396"/>
      <c r="I8" s="3395"/>
      <c r="J8" s="3396"/>
      <c r="K8" s="517" t="s">
        <v>529</v>
      </c>
      <c r="L8" s="2137"/>
      <c r="M8" s="2136"/>
      <c r="N8" s="2136"/>
      <c r="O8" s="2138"/>
      <c r="P8" s="3392"/>
      <c r="Q8" s="3393"/>
      <c r="R8" s="3376"/>
      <c r="S8" s="3377"/>
      <c r="T8" s="3378"/>
      <c r="U8" s="3379"/>
      <c r="V8" s="3394"/>
      <c r="W8" s="3394"/>
      <c r="X8" s="1570"/>
      <c r="Y8" s="3378"/>
      <c r="Z8" s="3379"/>
      <c r="AA8" s="3371"/>
      <c r="AB8" s="3371"/>
      <c r="AC8" s="3371"/>
    </row>
    <row r="9" spans="1:30" s="1223" customFormat="1" ht="21" thickBot="1">
      <c r="A9" s="2941"/>
      <c r="B9" s="2948" t="s">
        <v>530</v>
      </c>
      <c r="C9" s="2940">
        <f>'数据-取费表'!B2</f>
        <v>43047</v>
      </c>
      <c r="D9" s="523">
        <v>100</v>
      </c>
      <c r="E9" s="524">
        <v>42320</v>
      </c>
      <c r="F9" s="525">
        <f>SUMIF(72:72,YEAR(E9)&amp;"-"&amp;INT((MONTH(E9)+2)/3),73:73)</f>
        <v>96</v>
      </c>
      <c r="G9" s="526">
        <v>42310</v>
      </c>
      <c r="H9" s="523">
        <f>SUMIF(72:72,YEAR(G9)&amp;"-"&amp;INT((MONTH(G9)+2)/3),73:73)</f>
        <v>96</v>
      </c>
      <c r="I9" s="526">
        <v>42676</v>
      </c>
      <c r="J9" s="523">
        <f>SUMIF(72:72,YEAR(I9)&amp;"-"&amp;INT((MONTH(I9)+2)/3),73:73)</f>
        <v>98</v>
      </c>
      <c r="K9" s="527"/>
      <c r="L9" s="2139"/>
      <c r="M9" s="2136"/>
      <c r="N9" s="2136"/>
      <c r="O9" s="2140"/>
      <c r="P9" s="3372" t="s">
        <v>531</v>
      </c>
      <c r="Q9" s="3381"/>
      <c r="R9" s="1571" t="s">
        <v>8</v>
      </c>
      <c r="S9" s="1572">
        <f t="shared" ref="S9:S17" si="0">F9</f>
        <v>96</v>
      </c>
      <c r="T9" s="1571" t="s">
        <v>8</v>
      </c>
      <c r="U9" s="1572">
        <f t="shared" ref="U9:U17" si="1">H9</f>
        <v>96</v>
      </c>
      <c r="V9" s="1571" t="s">
        <v>8</v>
      </c>
      <c r="W9" s="1572">
        <f t="shared" ref="W9:W17" si="2">J9</f>
        <v>98</v>
      </c>
      <c r="X9" s="1573"/>
      <c r="Y9" s="3372" t="s">
        <v>531</v>
      </c>
      <c r="Z9" s="3373"/>
      <c r="AA9" s="1574">
        <f>D9/F9</f>
        <v>1.0416666666666667</v>
      </c>
      <c r="AB9" s="1574">
        <f>D9/H9</f>
        <v>1.0416666666666667</v>
      </c>
      <c r="AC9" s="1574">
        <f>D9/J9</f>
        <v>1.0204081632653061</v>
      </c>
    </row>
    <row r="10" spans="1:30" s="1223" customFormat="1" ht="21" thickBot="1">
      <c r="A10" s="2942"/>
      <c r="B10" s="2949"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39"/>
      <c r="M10" s="2136"/>
      <c r="N10" s="2136"/>
      <c r="O10" s="2140"/>
      <c r="P10" s="3372" t="s">
        <v>534</v>
      </c>
      <c r="Q10" s="3373"/>
      <c r="R10" s="1571" t="s">
        <v>8</v>
      </c>
      <c r="S10" s="1572">
        <f t="shared" si="0"/>
        <v>100</v>
      </c>
      <c r="T10" s="1571" t="s">
        <v>8</v>
      </c>
      <c r="U10" s="1572">
        <f t="shared" si="1"/>
        <v>100</v>
      </c>
      <c r="V10" s="1571" t="s">
        <v>8</v>
      </c>
      <c r="W10" s="1572">
        <f t="shared" si="2"/>
        <v>100</v>
      </c>
      <c r="X10" s="1573"/>
      <c r="Y10" s="3372" t="s">
        <v>534</v>
      </c>
      <c r="Z10" s="3373"/>
      <c r="AA10" s="1574">
        <f t="shared" ref="AA10:AA47" si="3">D10/F10</f>
        <v>1</v>
      </c>
      <c r="AB10" s="1574">
        <f t="shared" ref="AB10:AB47" si="4">D10/H10</f>
        <v>1</v>
      </c>
      <c r="AC10" s="1574">
        <f t="shared" ref="AC10:AC47" si="5">D10/J10</f>
        <v>1</v>
      </c>
    </row>
    <row r="11" spans="1:30" s="1223" customFormat="1" ht="28.5">
      <c r="A11" s="2943"/>
      <c r="B11" s="2950" t="s">
        <v>2764</v>
      </c>
      <c r="C11" s="2938" t="s">
        <v>3100</v>
      </c>
      <c r="D11" s="254">
        <v>100</v>
      </c>
      <c r="E11" s="529" t="s">
        <v>3067</v>
      </c>
      <c r="F11" s="254">
        <f>SUMIF(77:77,E11,78:78)-SUMIF(77:77,C11,78:78)+100</f>
        <v>105</v>
      </c>
      <c r="G11" s="529" t="s">
        <v>3067</v>
      </c>
      <c r="H11" s="254">
        <f>SUMIF(77:77,G11,78:78)-SUMIF(77:77,C11,78:78)+100</f>
        <v>105</v>
      </c>
      <c r="I11" s="529" t="s">
        <v>3067</v>
      </c>
      <c r="J11" s="254">
        <f>SUMIF(77:77,I11,78:78)-SUMIF(77:77,C11,78:78)+100</f>
        <v>105</v>
      </c>
      <c r="K11" s="527"/>
      <c r="L11" s="2139"/>
      <c r="M11" s="2136"/>
      <c r="N11" s="2136"/>
      <c r="O11" s="2141"/>
      <c r="P11" s="3380" t="s">
        <v>536</v>
      </c>
      <c r="Q11" s="1154" t="str">
        <f t="shared" ref="Q11:Q17" si="6">B11</f>
        <v>用途</v>
      </c>
      <c r="R11" s="1571" t="s">
        <v>8</v>
      </c>
      <c r="S11" s="1572">
        <f t="shared" si="0"/>
        <v>105</v>
      </c>
      <c r="T11" s="1571" t="s">
        <v>8</v>
      </c>
      <c r="U11" s="1572">
        <f t="shared" si="1"/>
        <v>105</v>
      </c>
      <c r="V11" s="1571" t="s">
        <v>8</v>
      </c>
      <c r="W11" s="1572">
        <f t="shared" si="2"/>
        <v>105</v>
      </c>
      <c r="X11" s="1573"/>
      <c r="Y11" s="3337" t="s">
        <v>537</v>
      </c>
      <c r="Z11" s="1153" t="str">
        <f t="shared" ref="Z11:Z17" si="7">Q11</f>
        <v>用途</v>
      </c>
      <c r="AA11" s="1574">
        <f t="shared" si="3"/>
        <v>0.95238095238095233</v>
      </c>
      <c r="AB11" s="1574">
        <f t="shared" si="4"/>
        <v>0.95238095238095233</v>
      </c>
      <c r="AC11" s="1574">
        <f t="shared" si="5"/>
        <v>0.95238095238095233</v>
      </c>
    </row>
    <row r="12" spans="1:30" s="1341" customFormat="1" ht="27">
      <c r="A12" s="2944"/>
      <c r="B12" s="2949" t="s">
        <v>2765</v>
      </c>
      <c r="C12" s="913" t="s">
        <v>3102</v>
      </c>
      <c r="D12" s="255">
        <v>100</v>
      </c>
      <c r="E12" s="532" t="s">
        <v>3069</v>
      </c>
      <c r="F12" s="255">
        <f>ROUND(100/'数据-取费表'!G16,0)</f>
        <v>106</v>
      </c>
      <c r="G12" s="532" t="s">
        <v>3069</v>
      </c>
      <c r="H12" s="255">
        <f>ROUND(100/'数据-取费表'!G16,0)</f>
        <v>106</v>
      </c>
      <c r="I12" s="532" t="s">
        <v>3069</v>
      </c>
      <c r="J12" s="255">
        <f>ROUND(100/'数据-取费表'!G16,0)</f>
        <v>106</v>
      </c>
      <c r="K12" s="534"/>
      <c r="L12" s="2142"/>
      <c r="M12" s="2136"/>
      <c r="N12" s="2136"/>
      <c r="O12" s="2143"/>
      <c r="P12" s="3380"/>
      <c r="Q12" s="1154" t="str">
        <f t="shared" si="6"/>
        <v>土地使用年限（年）</v>
      </c>
      <c r="R12" s="1571" t="s">
        <v>8</v>
      </c>
      <c r="S12" s="1572">
        <f t="shared" si="0"/>
        <v>106</v>
      </c>
      <c r="T12" s="1571" t="s">
        <v>8</v>
      </c>
      <c r="U12" s="1572">
        <f t="shared" si="1"/>
        <v>106</v>
      </c>
      <c r="V12" s="1571" t="s">
        <v>8</v>
      </c>
      <c r="W12" s="1572">
        <f t="shared" si="2"/>
        <v>106</v>
      </c>
      <c r="X12" s="1573"/>
      <c r="Y12" s="3337"/>
      <c r="Z12" s="1153" t="str">
        <f t="shared" si="7"/>
        <v>土地使用年限（年）</v>
      </c>
      <c r="AA12" s="1574">
        <f t="shared" si="3"/>
        <v>0.94339622641509435</v>
      </c>
      <c r="AB12" s="1574">
        <f t="shared" si="4"/>
        <v>0.94339622641509435</v>
      </c>
      <c r="AC12" s="1574">
        <f t="shared" si="5"/>
        <v>0.94339622641509435</v>
      </c>
    </row>
    <row r="13" spans="1:30" ht="20.25">
      <c r="A13" s="2945"/>
      <c r="B13" s="2949" t="s">
        <v>2766</v>
      </c>
      <c r="C13" s="537">
        <f>'数据-汇总表'!I6</f>
        <v>2.42</v>
      </c>
      <c r="D13" s="255">
        <v>100</v>
      </c>
      <c r="E13" s="536">
        <v>2.8</v>
      </c>
      <c r="F13" s="255">
        <f>LOOKUP(E13,82:82,83:83)-LOOKUP(C13,82:82,83:83)+100</f>
        <v>98</v>
      </c>
      <c r="G13" s="537">
        <v>2.0299999999999998</v>
      </c>
      <c r="H13" s="255">
        <f>LOOKUP(G13,82:82,83:83)-LOOKUP(C13,82:82,83:83)+100</f>
        <v>100</v>
      </c>
      <c r="I13" s="536">
        <v>2.1</v>
      </c>
      <c r="J13" s="255">
        <f>LOOKUP(I13,82:82,83:83)-LOOKUP(C13,82:82,83:83)+100</f>
        <v>100</v>
      </c>
      <c r="K13" s="538">
        <v>2</v>
      </c>
      <c r="L13" s="2144"/>
      <c r="M13" s="2136"/>
      <c r="N13" s="2136"/>
      <c r="O13" s="2145"/>
      <c r="P13" s="3380"/>
      <c r="Q13" s="1154" t="str">
        <f t="shared" si="6"/>
        <v>容积率</v>
      </c>
      <c r="R13" s="1571" t="s">
        <v>8</v>
      </c>
      <c r="S13" s="1572">
        <f t="shared" si="0"/>
        <v>98</v>
      </c>
      <c r="T13" s="1571" t="s">
        <v>8</v>
      </c>
      <c r="U13" s="1572">
        <f t="shared" si="1"/>
        <v>100</v>
      </c>
      <c r="V13" s="1571" t="s">
        <v>8</v>
      </c>
      <c r="W13" s="1572">
        <f t="shared" si="2"/>
        <v>100</v>
      </c>
      <c r="X13" s="1573"/>
      <c r="Y13" s="3337"/>
      <c r="Z13" s="1153" t="str">
        <f t="shared" si="7"/>
        <v>容积率</v>
      </c>
      <c r="AA13" s="1574">
        <f t="shared" si="3"/>
        <v>1.0204081632653061</v>
      </c>
      <c r="AB13" s="1574">
        <f t="shared" si="4"/>
        <v>1</v>
      </c>
      <c r="AC13" s="1574">
        <f t="shared" si="5"/>
        <v>1</v>
      </c>
    </row>
    <row r="14" spans="1:30" s="1223" customFormat="1" ht="20.25">
      <c r="A14" s="2942"/>
      <c r="B14" s="2951" t="s">
        <v>2767</v>
      </c>
      <c r="C14" s="1377" t="s">
        <v>3070</v>
      </c>
      <c r="D14" s="541">
        <v>100</v>
      </c>
      <c r="E14" s="1377" t="s">
        <v>3070</v>
      </c>
      <c r="F14" s="255">
        <f>SUMIF(84:84,E14,85:85)-SUMIF(84:84,C14,85:85)+100</f>
        <v>100</v>
      </c>
      <c r="G14" s="1377" t="s">
        <v>3070</v>
      </c>
      <c r="H14" s="255">
        <f>SUMIF(84:84,G14,85:85)-SUMIF(84:84,C14,85:85)+100</f>
        <v>100</v>
      </c>
      <c r="I14" s="1377" t="s">
        <v>3070</v>
      </c>
      <c r="J14" s="255">
        <f>SUMIF(84:84,I14,85:85)-SUMIF(84:84,C14,85:85)+100</f>
        <v>100</v>
      </c>
      <c r="K14" s="534"/>
      <c r="L14" s="2139"/>
      <c r="M14" s="2136"/>
      <c r="N14" s="2136"/>
      <c r="O14" s="2141"/>
      <c r="P14" s="3380"/>
      <c r="Q14" s="1154" t="str">
        <f t="shared" si="6"/>
        <v>配建</v>
      </c>
      <c r="R14" s="1571" t="s">
        <v>8</v>
      </c>
      <c r="S14" s="1572">
        <f t="shared" si="0"/>
        <v>100</v>
      </c>
      <c r="T14" s="1571" t="s">
        <v>8</v>
      </c>
      <c r="U14" s="1572">
        <f t="shared" si="1"/>
        <v>100</v>
      </c>
      <c r="V14" s="1571" t="s">
        <v>8</v>
      </c>
      <c r="W14" s="1572">
        <f t="shared" si="2"/>
        <v>100</v>
      </c>
      <c r="X14" s="1573"/>
      <c r="Y14" s="3337"/>
      <c r="Z14" s="1153" t="str">
        <f t="shared" si="7"/>
        <v>配建</v>
      </c>
      <c r="AA14" s="1574">
        <f>D14/F14</f>
        <v>1</v>
      </c>
      <c r="AB14" s="1574">
        <f>D14/H14</f>
        <v>1</v>
      </c>
      <c r="AC14" s="1574">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80"/>
      <c r="Q15" s="1154">
        <f t="shared" si="6"/>
        <v>0</v>
      </c>
      <c r="R15" s="1571" t="s">
        <v>8</v>
      </c>
      <c r="S15" s="1572">
        <f t="shared" si="0"/>
        <v>100</v>
      </c>
      <c r="T15" s="1571" t="s">
        <v>8</v>
      </c>
      <c r="U15" s="1572">
        <f t="shared" si="1"/>
        <v>100</v>
      </c>
      <c r="V15" s="1571" t="s">
        <v>8</v>
      </c>
      <c r="W15" s="1572">
        <f t="shared" si="2"/>
        <v>100</v>
      </c>
      <c r="X15" s="1573"/>
      <c r="Y15" s="3337"/>
      <c r="Z15" s="1153">
        <f t="shared" si="7"/>
        <v>0</v>
      </c>
      <c r="AA15" s="1574">
        <f>D15/F15</f>
        <v>1</v>
      </c>
      <c r="AB15" s="1574">
        <f>D15/H15</f>
        <v>1</v>
      </c>
      <c r="AC15" s="1574">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80"/>
      <c r="Q16" s="1154">
        <f t="shared" si="6"/>
        <v>0</v>
      </c>
      <c r="R16" s="1571" t="s">
        <v>8</v>
      </c>
      <c r="S16" s="1572">
        <f t="shared" si="0"/>
        <v>100</v>
      </c>
      <c r="T16" s="1571" t="s">
        <v>8</v>
      </c>
      <c r="U16" s="1572">
        <f t="shared" si="1"/>
        <v>100</v>
      </c>
      <c r="V16" s="1571" t="s">
        <v>8</v>
      </c>
      <c r="W16" s="1572">
        <f t="shared" si="2"/>
        <v>100</v>
      </c>
      <c r="X16" s="1573"/>
      <c r="Y16" s="3337"/>
      <c r="Z16" s="1153">
        <f t="shared" si="7"/>
        <v>0</v>
      </c>
      <c r="AA16" s="1574">
        <f>D16/F16</f>
        <v>1</v>
      </c>
      <c r="AB16" s="1574">
        <f>D16/H16</f>
        <v>1</v>
      </c>
      <c r="AC16" s="1574">
        <f>D16/J16</f>
        <v>1</v>
      </c>
    </row>
    <row r="17" spans="1:29" ht="85.5">
      <c r="A17" s="2939" t="s">
        <v>2762</v>
      </c>
      <c r="B17" s="581" t="s">
        <v>295</v>
      </c>
      <c r="C17" s="551" t="str">
        <f>估价对象房地状况!C15</f>
        <v>估价对象周边有姚家园东里、逸翠园等居住项目，综合评价居住社区成熟度一般</v>
      </c>
      <c r="D17" s="554">
        <v>100</v>
      </c>
      <c r="E17" s="3189" t="s">
        <v>3111</v>
      </c>
      <c r="F17" s="552">
        <f>SUMIF(90:90,E18,91:91)-SUMIF(90:90,C18,91:91)+100</f>
        <v>100</v>
      </c>
      <c r="G17" s="3189" t="s">
        <v>3105</v>
      </c>
      <c r="H17" s="552">
        <f>SUMIF(90:90,G18,91:91)-SUMIF(90:90,C18,91:91)+100</f>
        <v>100</v>
      </c>
      <c r="I17" s="3189" t="s">
        <v>3108</v>
      </c>
      <c r="J17" s="552">
        <f>SUMIF(90:90,I18,91:91)-SUMIF(90:90,C18,91:91)+100</f>
        <v>97</v>
      </c>
      <c r="K17" s="538">
        <v>3</v>
      </c>
      <c r="L17" s="2146"/>
      <c r="M17" s="2136"/>
      <c r="N17" s="2136"/>
      <c r="O17" s="2145"/>
      <c r="P17" s="3382" t="s">
        <v>541</v>
      </c>
      <c r="Q17" s="1575" t="str">
        <f t="shared" si="6"/>
        <v>居住社区成熟度</v>
      </c>
      <c r="R17" s="1576" t="s">
        <v>8</v>
      </c>
      <c r="S17" s="1577">
        <f t="shared" si="0"/>
        <v>100</v>
      </c>
      <c r="T17" s="1576" t="s">
        <v>8</v>
      </c>
      <c r="U17" s="1577">
        <f t="shared" si="1"/>
        <v>100</v>
      </c>
      <c r="V17" s="1576" t="s">
        <v>8</v>
      </c>
      <c r="W17" s="1577">
        <f t="shared" si="2"/>
        <v>97</v>
      </c>
      <c r="X17" s="1570"/>
      <c r="Y17" s="3382" t="s">
        <v>541</v>
      </c>
      <c r="Z17" s="1578" t="str">
        <f t="shared" si="7"/>
        <v>居住社区成熟度</v>
      </c>
      <c r="AA17" s="1579">
        <f t="shared" si="3"/>
        <v>1</v>
      </c>
      <c r="AB17" s="1579">
        <f t="shared" si="4"/>
        <v>1</v>
      </c>
      <c r="AC17" s="1579">
        <f t="shared" si="5"/>
        <v>1.0309278350515463</v>
      </c>
    </row>
    <row r="18" spans="1:29" ht="20.25">
      <c r="A18" s="535"/>
      <c r="B18" s="556"/>
      <c r="C18" s="557" t="s">
        <v>3099</v>
      </c>
      <c r="D18" s="560"/>
      <c r="E18" s="561" t="s">
        <v>3099</v>
      </c>
      <c r="F18" s="558"/>
      <c r="G18" s="559" t="s">
        <v>3099</v>
      </c>
      <c r="H18" s="562"/>
      <c r="I18" s="561" t="s">
        <v>3098</v>
      </c>
      <c r="J18" s="558"/>
      <c r="K18" s="534"/>
      <c r="L18" s="2146"/>
      <c r="M18" s="2136"/>
      <c r="N18" s="2136"/>
      <c r="O18" s="2145"/>
      <c r="P18" s="3383"/>
      <c r="Q18" s="1575"/>
      <c r="R18" s="1576"/>
      <c r="S18" s="1577"/>
      <c r="T18" s="1576"/>
      <c r="U18" s="1577"/>
      <c r="V18" s="1576"/>
      <c r="W18" s="1577"/>
      <c r="X18" s="1570"/>
      <c r="Y18" s="3383"/>
      <c r="Z18" s="1578"/>
      <c r="AA18" s="1579">
        <v>1</v>
      </c>
      <c r="AB18" s="1579">
        <v>1</v>
      </c>
      <c r="AC18" s="1579">
        <v>1</v>
      </c>
    </row>
    <row r="19" spans="1:29" ht="20.25">
      <c r="A19" s="535"/>
      <c r="B19" s="563" t="s">
        <v>542</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c r="L19" s="2146"/>
      <c r="M19" s="2136"/>
      <c r="N19" s="2136"/>
      <c r="O19" s="2145"/>
      <c r="P19" s="3383"/>
      <c r="Q19" s="1575" t="str">
        <f>B19</f>
        <v>商业繁华度</v>
      </c>
      <c r="R19" s="1576" t="s">
        <v>8</v>
      </c>
      <c r="S19" s="1577">
        <f>F19</f>
        <v>100</v>
      </c>
      <c r="T19" s="1576" t="s">
        <v>8</v>
      </c>
      <c r="U19" s="1577">
        <f>H19</f>
        <v>100</v>
      </c>
      <c r="V19" s="1576" t="s">
        <v>8</v>
      </c>
      <c r="W19" s="1577">
        <f>J19</f>
        <v>100</v>
      </c>
      <c r="X19" s="1570"/>
      <c r="Y19" s="3383"/>
      <c r="Z19" s="1578" t="str">
        <f>Q19</f>
        <v>商业繁华度</v>
      </c>
      <c r="AA19" s="1579">
        <f t="shared" si="3"/>
        <v>1</v>
      </c>
      <c r="AB19" s="1579">
        <f t="shared" si="4"/>
        <v>1</v>
      </c>
      <c r="AC19" s="1579">
        <f t="shared" si="5"/>
        <v>1</v>
      </c>
    </row>
    <row r="20" spans="1:29" ht="20.25">
      <c r="A20" s="535"/>
      <c r="B20" s="569"/>
      <c r="C20" s="570"/>
      <c r="D20" s="566"/>
      <c r="E20" s="572"/>
      <c r="F20" s="562"/>
      <c r="G20" s="571"/>
      <c r="H20" s="558"/>
      <c r="I20" s="572"/>
      <c r="J20" s="558"/>
      <c r="K20" s="534"/>
      <c r="L20" s="2146"/>
      <c r="M20" s="2136"/>
      <c r="N20" s="2136"/>
      <c r="O20" s="2145"/>
      <c r="P20" s="3383"/>
      <c r="Q20" s="1575"/>
      <c r="R20" s="1576"/>
      <c r="S20" s="1577"/>
      <c r="T20" s="1576"/>
      <c r="U20" s="1577"/>
      <c r="V20" s="1576"/>
      <c r="W20" s="1577"/>
      <c r="X20" s="1570"/>
      <c r="Y20" s="3383"/>
      <c r="Z20" s="1578"/>
      <c r="AA20" s="1579">
        <v>1</v>
      </c>
      <c r="AB20" s="1579">
        <v>1</v>
      </c>
      <c r="AC20" s="1579">
        <v>1</v>
      </c>
    </row>
    <row r="21" spans="1:29" ht="20.25">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83"/>
      <c r="Q21" s="1575" t="str">
        <f>B21</f>
        <v>办公集聚程度</v>
      </c>
      <c r="R21" s="1576" t="s">
        <v>8</v>
      </c>
      <c r="S21" s="1577">
        <f>F21</f>
        <v>100</v>
      </c>
      <c r="T21" s="1576" t="s">
        <v>8</v>
      </c>
      <c r="U21" s="1577">
        <f>H21</f>
        <v>100</v>
      </c>
      <c r="V21" s="1576" t="s">
        <v>8</v>
      </c>
      <c r="W21" s="1577">
        <f>J21</f>
        <v>100</v>
      </c>
      <c r="X21" s="1570"/>
      <c r="Y21" s="3383"/>
      <c r="Z21" s="1578" t="str">
        <f>Q21</f>
        <v>办公集聚程度</v>
      </c>
      <c r="AA21" s="1579">
        <f t="shared" si="3"/>
        <v>1</v>
      </c>
      <c r="AB21" s="1579">
        <f t="shared" si="4"/>
        <v>1</v>
      </c>
      <c r="AC21" s="1579">
        <f t="shared" si="5"/>
        <v>1</v>
      </c>
    </row>
    <row r="22" spans="1:29" ht="20.25">
      <c r="A22" s="535"/>
      <c r="B22" s="569"/>
      <c r="C22" s="557"/>
      <c r="D22" s="560"/>
      <c r="E22" s="561"/>
      <c r="F22" s="558"/>
      <c r="G22" s="559"/>
      <c r="H22" s="558"/>
      <c r="I22" s="561"/>
      <c r="J22" s="558"/>
      <c r="K22" s="534"/>
      <c r="L22" s="2146"/>
      <c r="M22" s="2136"/>
      <c r="N22" s="2136"/>
      <c r="O22" s="2145"/>
      <c r="P22" s="3383"/>
      <c r="Q22" s="1575"/>
      <c r="R22" s="1576"/>
      <c r="S22" s="1577"/>
      <c r="T22" s="1576"/>
      <c r="U22" s="1577"/>
      <c r="V22" s="1576"/>
      <c r="W22" s="1577"/>
      <c r="X22" s="1570"/>
      <c r="Y22" s="3383"/>
      <c r="Z22" s="1578"/>
      <c r="AA22" s="1579">
        <v>1</v>
      </c>
      <c r="AB22" s="1579">
        <v>1</v>
      </c>
      <c r="AC22" s="1579">
        <v>1</v>
      </c>
    </row>
    <row r="23" spans="1:29" ht="71.25">
      <c r="A23" s="535"/>
      <c r="B23" s="563" t="s">
        <v>544</v>
      </c>
      <c r="C23" s="576" t="str">
        <f>估价对象房地状况!C18</f>
        <v>估价对象周边有344、531路公交线路经过，综合评价交通便捷度一般</v>
      </c>
      <c r="D23" s="566">
        <v>100</v>
      </c>
      <c r="E23" s="3184" t="s">
        <v>3103</v>
      </c>
      <c r="F23" s="568">
        <f>SUMIF(96:96,E24,97:97)-SUMIF(96:96,C24,97:97)+100</f>
        <v>102</v>
      </c>
      <c r="G23" s="3184" t="s">
        <v>3107</v>
      </c>
      <c r="H23" s="562">
        <f>SUMIF(96:96,G24,97:97)-SUMIF(96:96,C24,97:97)+100</f>
        <v>102</v>
      </c>
      <c r="I23" s="3184" t="s">
        <v>3110</v>
      </c>
      <c r="J23" s="562">
        <f>SUMIF(96:96,I24,97:97)-SUMIF(96:96,C24,97:97)+100</f>
        <v>100</v>
      </c>
      <c r="K23" s="538">
        <v>2</v>
      </c>
      <c r="L23" s="2146"/>
      <c r="M23" s="2136"/>
      <c r="N23" s="2136"/>
      <c r="O23" s="2145"/>
      <c r="P23" s="3383"/>
      <c r="Q23" s="1575" t="str">
        <f>B23</f>
        <v>交通便捷度</v>
      </c>
      <c r="R23" s="1576" t="s">
        <v>8</v>
      </c>
      <c r="S23" s="1577">
        <f>F23</f>
        <v>102</v>
      </c>
      <c r="T23" s="1576" t="s">
        <v>8</v>
      </c>
      <c r="U23" s="1577">
        <f>H23</f>
        <v>102</v>
      </c>
      <c r="V23" s="1576" t="s">
        <v>8</v>
      </c>
      <c r="W23" s="1577">
        <f>J23</f>
        <v>100</v>
      </c>
      <c r="X23" s="1570"/>
      <c r="Y23" s="3383"/>
      <c r="Z23" s="1578" t="str">
        <f>Q23</f>
        <v>交通便捷度</v>
      </c>
      <c r="AA23" s="1579">
        <f t="shared" si="3"/>
        <v>0.98039215686274506</v>
      </c>
      <c r="AB23" s="1579">
        <f t="shared" si="4"/>
        <v>0.98039215686274506</v>
      </c>
      <c r="AC23" s="1579">
        <f t="shared" si="5"/>
        <v>1</v>
      </c>
    </row>
    <row r="24" spans="1:29" ht="20.25">
      <c r="A24" s="535"/>
      <c r="B24" s="581"/>
      <c r="C24" s="557" t="s">
        <v>3099</v>
      </c>
      <c r="D24" s="560"/>
      <c r="E24" s="561" t="s">
        <v>3090</v>
      </c>
      <c r="F24" s="558"/>
      <c r="G24" s="559" t="s">
        <v>3090</v>
      </c>
      <c r="H24" s="558"/>
      <c r="I24" s="561" t="s">
        <v>3099</v>
      </c>
      <c r="J24" s="558"/>
      <c r="K24" s="534"/>
      <c r="L24" s="2146"/>
      <c r="M24" s="2136"/>
      <c r="N24" s="2136"/>
      <c r="O24" s="2145"/>
      <c r="P24" s="3383"/>
      <c r="Q24" s="1575"/>
      <c r="R24" s="1576"/>
      <c r="S24" s="1577"/>
      <c r="T24" s="1576"/>
      <c r="U24" s="1577"/>
      <c r="V24" s="1576"/>
      <c r="W24" s="1577"/>
      <c r="X24" s="1570"/>
      <c r="Y24" s="3383"/>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1</v>
      </c>
      <c r="L25" s="2146"/>
      <c r="M25" s="2136"/>
      <c r="N25" s="2136"/>
      <c r="O25" s="2145"/>
      <c r="P25" s="3383"/>
      <c r="Q25" s="1575" t="str">
        <f t="shared" ref="Q25:Q39" si="8">B25</f>
        <v>区域土地利用方向</v>
      </c>
      <c r="R25" s="1576" t="s">
        <v>8</v>
      </c>
      <c r="S25" s="1577">
        <f>F25</f>
        <v>100</v>
      </c>
      <c r="T25" s="1576" t="s">
        <v>8</v>
      </c>
      <c r="U25" s="1577">
        <f>H25</f>
        <v>100</v>
      </c>
      <c r="V25" s="1576" t="s">
        <v>8</v>
      </c>
      <c r="W25" s="1577">
        <f>J25</f>
        <v>100</v>
      </c>
      <c r="X25" s="1570"/>
      <c r="Y25" s="3383"/>
      <c r="Z25" s="1578" t="str">
        <f>Q25</f>
        <v>区域土地利用方向</v>
      </c>
      <c r="AA25" s="1579">
        <f t="shared" si="3"/>
        <v>1</v>
      </c>
      <c r="AB25" s="1579">
        <f t="shared" si="4"/>
        <v>1</v>
      </c>
      <c r="AC25" s="1579">
        <f t="shared" si="5"/>
        <v>1</v>
      </c>
    </row>
    <row r="26" spans="1:29" ht="20.25">
      <c r="A26" s="518"/>
      <c r="B26" s="1010"/>
      <c r="C26" s="557" t="s">
        <v>3090</v>
      </c>
      <c r="D26" s="560"/>
      <c r="E26" s="561" t="s">
        <v>3090</v>
      </c>
      <c r="F26" s="558"/>
      <c r="G26" s="559" t="s">
        <v>3090</v>
      </c>
      <c r="H26" s="558"/>
      <c r="I26" s="559" t="s">
        <v>3090</v>
      </c>
      <c r="J26" s="558"/>
      <c r="K26" s="534"/>
      <c r="L26" s="2146"/>
      <c r="M26" s="2136"/>
      <c r="N26" s="2136"/>
      <c r="O26" s="2145"/>
      <c r="P26" s="3383"/>
      <c r="Q26" s="1575"/>
      <c r="R26" s="1576"/>
      <c r="S26" s="1577"/>
      <c r="T26" s="1576"/>
      <c r="U26" s="1577"/>
      <c r="V26" s="1576"/>
      <c r="W26" s="1577"/>
      <c r="X26" s="1570"/>
      <c r="Y26" s="3383"/>
      <c r="Z26" s="1578"/>
      <c r="AA26" s="1579"/>
      <c r="AB26" s="1579"/>
      <c r="AC26" s="1579"/>
    </row>
    <row r="27" spans="1:29" ht="57">
      <c r="A27" s="518"/>
      <c r="B27" s="581" t="s">
        <v>546</v>
      </c>
      <c r="C27" s="564" t="str">
        <f>估价对象房地状况!C20</f>
        <v>周边有京城体育休闲公园；综合评价环境状况一般</v>
      </c>
      <c r="D27" s="566">
        <v>100</v>
      </c>
      <c r="E27" s="3184" t="s">
        <v>3112</v>
      </c>
      <c r="F27" s="562">
        <f>SUMIF(100:100,E28,101:101)-SUMIF(100:100,C28,101:101)+100</f>
        <v>100</v>
      </c>
      <c r="G27" s="3184" t="s">
        <v>3106</v>
      </c>
      <c r="H27" s="562">
        <f>SUMIF(100:100,G28,101:101)-SUMIF(100:100,C28,101:101)+100</f>
        <v>100</v>
      </c>
      <c r="I27" s="3184" t="s">
        <v>3109</v>
      </c>
      <c r="J27" s="562">
        <f>SUMIF(100:100,I28,101:101)-SUMIF(100:100,C28,101:101)+100</f>
        <v>100</v>
      </c>
      <c r="K27" s="538">
        <v>2</v>
      </c>
      <c r="L27" s="2146"/>
      <c r="M27" s="2136"/>
      <c r="N27" s="2136"/>
      <c r="O27" s="2145"/>
      <c r="P27" s="3383"/>
      <c r="Q27" s="1575" t="str">
        <f t="shared" si="8"/>
        <v>自然及人文环境状况</v>
      </c>
      <c r="R27" s="1576" t="s">
        <v>8</v>
      </c>
      <c r="S27" s="1577">
        <f>F27</f>
        <v>100</v>
      </c>
      <c r="T27" s="1576" t="s">
        <v>8</v>
      </c>
      <c r="U27" s="1577">
        <f>H27</f>
        <v>100</v>
      </c>
      <c r="V27" s="1576" t="s">
        <v>8</v>
      </c>
      <c r="W27" s="1577">
        <f>J27</f>
        <v>100</v>
      </c>
      <c r="X27" s="1570"/>
      <c r="Y27" s="3383"/>
      <c r="Z27" s="1578" t="str">
        <f>Q27</f>
        <v>自然及人文环境状况</v>
      </c>
      <c r="AA27" s="1579">
        <f t="shared" si="3"/>
        <v>1</v>
      </c>
      <c r="AB27" s="1579">
        <f t="shared" si="4"/>
        <v>1</v>
      </c>
      <c r="AC27" s="1579">
        <f t="shared" si="5"/>
        <v>1</v>
      </c>
    </row>
    <row r="28" spans="1:29" ht="20.25">
      <c r="A28" s="518"/>
      <c r="B28" s="569"/>
      <c r="C28" s="557" t="s">
        <v>3099</v>
      </c>
      <c r="D28" s="560"/>
      <c r="E28" s="579" t="s">
        <v>3099</v>
      </c>
      <c r="F28" s="558"/>
      <c r="G28" s="557" t="s">
        <v>3099</v>
      </c>
      <c r="H28" s="558"/>
      <c r="I28" s="557" t="s">
        <v>3099</v>
      </c>
      <c r="J28" s="558"/>
      <c r="K28" s="534"/>
      <c r="L28" s="2146"/>
      <c r="M28" s="2136"/>
      <c r="N28" s="2136"/>
      <c r="O28" s="2145"/>
      <c r="P28" s="3383"/>
      <c r="Q28" s="1575"/>
      <c r="R28" s="1576"/>
      <c r="S28" s="1577"/>
      <c r="T28" s="1576"/>
      <c r="U28" s="1577"/>
      <c r="V28" s="1576"/>
      <c r="W28" s="1577"/>
      <c r="X28" s="1570"/>
      <c r="Y28" s="3383"/>
      <c r="Z28" s="1578"/>
      <c r="AA28" s="1579">
        <v>1</v>
      </c>
      <c r="AB28" s="1579">
        <v>1</v>
      </c>
      <c r="AC28" s="1579">
        <v>1</v>
      </c>
    </row>
    <row r="29" spans="1:29" s="1223" customFormat="1" ht="42.75">
      <c r="A29" s="580"/>
      <c r="B29" s="2619" t="s">
        <v>2554</v>
      </c>
      <c r="C29" s="576" t="str">
        <f>估价对象房地状况!C21</f>
        <v>估价对象所在区域公共配套设施齐备度一般</v>
      </c>
      <c r="D29" s="566">
        <v>100</v>
      </c>
      <c r="E29" s="3184" t="s">
        <v>3104</v>
      </c>
      <c r="F29" s="562">
        <f>SUMIF(102:102,E30,103:103)-SUMIF(102:102,C30,103:103)+100</f>
        <v>100</v>
      </c>
      <c r="G29" s="3184" t="s">
        <v>3104</v>
      </c>
      <c r="H29" s="562">
        <f>SUMIF(102:102,G30,103:103)-SUMIF(102:102,C30,103:103)+100</f>
        <v>100</v>
      </c>
      <c r="I29" s="3184" t="s">
        <v>3104</v>
      </c>
      <c r="J29" s="562">
        <f>SUMIF(102:102,I30,103:103)-SUMIF(102:102,C30,103:103)+100</f>
        <v>100</v>
      </c>
      <c r="K29" s="538">
        <v>2</v>
      </c>
      <c r="L29" s="2139"/>
      <c r="M29" s="2136"/>
      <c r="N29" s="2136"/>
      <c r="O29" s="2141"/>
      <c r="P29" s="3383"/>
      <c r="Q29" s="1154" t="str">
        <f t="shared" si="8"/>
        <v>公共配套设施</v>
      </c>
      <c r="R29" s="1571" t="s">
        <v>8</v>
      </c>
      <c r="S29" s="1572">
        <f>F29</f>
        <v>100</v>
      </c>
      <c r="T29" s="1571" t="s">
        <v>8</v>
      </c>
      <c r="U29" s="1572">
        <f>H29</f>
        <v>100</v>
      </c>
      <c r="V29" s="1571" t="s">
        <v>8</v>
      </c>
      <c r="W29" s="1572">
        <f>J29</f>
        <v>100</v>
      </c>
      <c r="X29" s="1573"/>
      <c r="Y29" s="3383"/>
      <c r="Z29" s="1153" t="str">
        <f>Q29</f>
        <v>公共配套设施</v>
      </c>
      <c r="AA29" s="1579">
        <f>D29/F29</f>
        <v>1</v>
      </c>
      <c r="AB29" s="1579">
        <f>D29/H29</f>
        <v>1</v>
      </c>
      <c r="AC29" s="1579">
        <f>D29/J29</f>
        <v>1</v>
      </c>
    </row>
    <row r="30" spans="1:29" s="1223" customFormat="1" ht="20.25">
      <c r="A30" s="580"/>
      <c r="B30" s="569"/>
      <c r="C30" s="582" t="s">
        <v>3099</v>
      </c>
      <c r="D30" s="560"/>
      <c r="E30" s="557" t="s">
        <v>3099</v>
      </c>
      <c r="F30" s="558"/>
      <c r="G30" s="557" t="s">
        <v>3099</v>
      </c>
      <c r="H30" s="558"/>
      <c r="I30" s="557" t="s">
        <v>3099</v>
      </c>
      <c r="J30" s="558"/>
      <c r="K30" s="534"/>
      <c r="L30" s="2139"/>
      <c r="M30" s="2136"/>
      <c r="N30" s="2136"/>
      <c r="O30" s="2141"/>
      <c r="P30" s="3383"/>
      <c r="Q30" s="1154"/>
      <c r="R30" s="1571"/>
      <c r="S30" s="1572"/>
      <c r="T30" s="1571"/>
      <c r="U30" s="1572"/>
      <c r="V30" s="1571"/>
      <c r="W30" s="1572"/>
      <c r="X30" s="1573"/>
      <c r="Y30" s="3383"/>
      <c r="Z30" s="1153"/>
      <c r="AA30" s="1579">
        <v>1</v>
      </c>
      <c r="AB30" s="1579">
        <v>1</v>
      </c>
      <c r="AC30" s="1579">
        <v>1</v>
      </c>
    </row>
    <row r="31" spans="1:29" s="1223" customFormat="1" ht="42.75">
      <c r="A31" s="580"/>
      <c r="B31" s="2619" t="s">
        <v>2555</v>
      </c>
      <c r="C31" s="576" t="str">
        <f>估价对象房地状况!C22</f>
        <v>估价对象所在区域基础设施水平达七通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9"/>
      <c r="M31" s="2136"/>
      <c r="N31" s="2136"/>
      <c r="O31" s="2141"/>
      <c r="P31" s="3383"/>
      <c r="Q31" s="2606" t="str">
        <f t="shared" ref="Q31" si="9">B31</f>
        <v>基础设施水平</v>
      </c>
      <c r="R31" s="1571" t="s">
        <v>8</v>
      </c>
      <c r="S31" s="1572">
        <f>F31</f>
        <v>100</v>
      </c>
      <c r="T31" s="1571" t="s">
        <v>8</v>
      </c>
      <c r="U31" s="1572">
        <f>H31</f>
        <v>100</v>
      </c>
      <c r="V31" s="1571" t="s">
        <v>8</v>
      </c>
      <c r="W31" s="1572">
        <f>J31</f>
        <v>100</v>
      </c>
      <c r="X31" s="1573"/>
      <c r="Y31" s="3383"/>
      <c r="Z31" s="2603" t="str">
        <f>Q31</f>
        <v>基础设施水平</v>
      </c>
      <c r="AA31" s="1579">
        <f>D31/F31</f>
        <v>1</v>
      </c>
      <c r="AB31" s="1579">
        <f>D31/H31</f>
        <v>1</v>
      </c>
      <c r="AC31" s="1579">
        <f>D31/J31</f>
        <v>1</v>
      </c>
    </row>
    <row r="32" spans="1:29" s="1223" customFormat="1" ht="20.25">
      <c r="A32" s="580"/>
      <c r="B32" s="569"/>
      <c r="C32" s="582" t="s">
        <v>3082</v>
      </c>
      <c r="D32" s="560"/>
      <c r="E32" s="2620" t="s">
        <v>3082</v>
      </c>
      <c r="F32" s="558"/>
      <c r="G32" s="2620" t="s">
        <v>3082</v>
      </c>
      <c r="H32" s="558"/>
      <c r="I32" s="2620" t="s">
        <v>3082</v>
      </c>
      <c r="J32" s="558"/>
      <c r="K32" s="534"/>
      <c r="L32" s="2139"/>
      <c r="M32" s="2136"/>
      <c r="N32" s="2136"/>
      <c r="O32" s="2141"/>
      <c r="P32" s="3383"/>
      <c r="Q32" s="2606"/>
      <c r="R32" s="1571"/>
      <c r="S32" s="1572"/>
      <c r="T32" s="1571"/>
      <c r="U32" s="1572"/>
      <c r="V32" s="1571"/>
      <c r="W32" s="1572"/>
      <c r="X32" s="1573"/>
      <c r="Y32" s="3383"/>
      <c r="Z32" s="2603"/>
      <c r="AA32" s="1579">
        <v>1</v>
      </c>
      <c r="AB32" s="1579">
        <v>1</v>
      </c>
      <c r="AC32" s="1579">
        <v>1</v>
      </c>
    </row>
    <row r="33" spans="1:29" ht="20.25">
      <c r="A33" s="535"/>
      <c r="B33" s="569" t="s">
        <v>548</v>
      </c>
      <c r="C33" s="583" t="s">
        <v>3058</v>
      </c>
      <c r="D33" s="578">
        <v>100</v>
      </c>
      <c r="E33" s="586" t="s">
        <v>3071</v>
      </c>
      <c r="F33" s="543">
        <f>SUMIF(106:106,E33,107:107)-SUMIF(106:106,C33,107:107)+100</f>
        <v>99</v>
      </c>
      <c r="G33" s="583" t="s">
        <v>3094</v>
      </c>
      <c r="H33" s="543">
        <f>SUMIF(106:106,G33,107:107)-SUMIF(106:106,C33,107:107)+100</f>
        <v>98</v>
      </c>
      <c r="I33" s="583" t="s">
        <v>3058</v>
      </c>
      <c r="J33" s="543">
        <f>SUMIF(106:106,I33,107:107)-SUMIF(106:106,C33,107:107)+100</f>
        <v>100</v>
      </c>
      <c r="K33" s="538">
        <v>1</v>
      </c>
      <c r="L33" s="2146"/>
      <c r="M33" s="2136"/>
      <c r="N33" s="2136"/>
      <c r="O33" s="2145"/>
      <c r="P33" s="3383"/>
      <c r="Q33" s="1575" t="str">
        <f t="shared" si="8"/>
        <v>临街状况</v>
      </c>
      <c r="R33" s="1576" t="s">
        <v>8</v>
      </c>
      <c r="S33" s="1577">
        <f t="shared" ref="S33:S47" si="10">F33</f>
        <v>99</v>
      </c>
      <c r="T33" s="1576" t="s">
        <v>8</v>
      </c>
      <c r="U33" s="1577">
        <f t="shared" ref="U33:U47" si="11">H33</f>
        <v>98</v>
      </c>
      <c r="V33" s="1576" t="s">
        <v>8</v>
      </c>
      <c r="W33" s="1577">
        <f t="shared" ref="W33:W47" si="12">J33</f>
        <v>100</v>
      </c>
      <c r="X33" s="1570"/>
      <c r="Y33" s="3383"/>
      <c r="Z33" s="1578" t="str">
        <f t="shared" ref="Z33:Z47" si="13">Q33</f>
        <v>临街状况</v>
      </c>
      <c r="AA33" s="1579">
        <f t="shared" si="3"/>
        <v>1.0101010101010102</v>
      </c>
      <c r="AB33" s="1579">
        <f t="shared" si="4"/>
        <v>1.0204081632653061</v>
      </c>
      <c r="AC33" s="1579">
        <f t="shared" si="5"/>
        <v>1</v>
      </c>
    </row>
    <row r="34" spans="1:29" ht="27">
      <c r="A34" s="535"/>
      <c r="B34" s="581" t="s">
        <v>549</v>
      </c>
      <c r="C34" s="3188" t="s">
        <v>3097</v>
      </c>
      <c r="D34" s="566">
        <v>100</v>
      </c>
      <c r="E34" s="3184" t="s">
        <v>3072</v>
      </c>
      <c r="F34" s="562">
        <f>SUMIF(108:108,E35,109:109)-SUMIF(108:108,C35,109:109)+100</f>
        <v>100.5</v>
      </c>
      <c r="G34" s="3188" t="s">
        <v>3095</v>
      </c>
      <c r="H34" s="562">
        <f>SUMIF(108:108,G35,109:109)-SUMIF(108:108,C35,109:109)+100</f>
        <v>100</v>
      </c>
      <c r="I34" s="3188" t="s">
        <v>3095</v>
      </c>
      <c r="J34" s="562">
        <f>SUMIF(108:108,I35,109:109)-SUMIF(108:108,C35,109:109)+100</f>
        <v>100</v>
      </c>
      <c r="K34" s="538">
        <v>0.5</v>
      </c>
      <c r="L34" s="2146"/>
      <c r="M34" s="2136"/>
      <c r="N34" s="2136"/>
      <c r="O34" s="2145"/>
      <c r="P34" s="3383"/>
      <c r="Q34" s="1575" t="str">
        <f t="shared" si="8"/>
        <v>毗邻道路的类型与等级</v>
      </c>
      <c r="R34" s="1576" t="s">
        <v>8</v>
      </c>
      <c r="S34" s="1577">
        <f t="shared" si="10"/>
        <v>100.5</v>
      </c>
      <c r="T34" s="1576" t="s">
        <v>8</v>
      </c>
      <c r="U34" s="1577">
        <f t="shared" si="11"/>
        <v>100</v>
      </c>
      <c r="V34" s="1576" t="s">
        <v>8</v>
      </c>
      <c r="W34" s="1577">
        <f t="shared" si="12"/>
        <v>100</v>
      </c>
      <c r="X34" s="1570"/>
      <c r="Y34" s="3383"/>
      <c r="Z34" s="1578" t="str">
        <f t="shared" si="13"/>
        <v>毗邻道路的类型与等级</v>
      </c>
      <c r="AA34" s="1579">
        <f t="shared" si="3"/>
        <v>0.99502487562189057</v>
      </c>
      <c r="AB34" s="1579">
        <f t="shared" si="4"/>
        <v>1</v>
      </c>
      <c r="AC34" s="1579">
        <f t="shared" si="5"/>
        <v>1</v>
      </c>
    </row>
    <row r="35" spans="1:29" ht="20.25">
      <c r="A35" s="535"/>
      <c r="B35" s="569"/>
      <c r="C35" s="557" t="s">
        <v>3078</v>
      </c>
      <c r="D35" s="560"/>
      <c r="E35" s="579" t="s">
        <v>3076</v>
      </c>
      <c r="F35" s="558"/>
      <c r="G35" s="557" t="s">
        <v>3078</v>
      </c>
      <c r="H35" s="558"/>
      <c r="I35" s="557" t="s">
        <v>3078</v>
      </c>
      <c r="J35" s="558"/>
      <c r="K35" s="584"/>
      <c r="L35" s="2146"/>
      <c r="M35" s="2136"/>
      <c r="N35" s="2136"/>
      <c r="O35" s="2145"/>
      <c r="P35" s="3383"/>
      <c r="Q35" s="1575"/>
      <c r="R35" s="1576"/>
      <c r="S35" s="1577"/>
      <c r="T35" s="1576"/>
      <c r="U35" s="1577"/>
      <c r="V35" s="1576"/>
      <c r="W35" s="1577"/>
      <c r="X35" s="1570"/>
      <c r="Y35" s="3383"/>
      <c r="Z35" s="1578"/>
      <c r="AA35" s="1579">
        <v>1</v>
      </c>
      <c r="AB35" s="1579">
        <v>1</v>
      </c>
      <c r="AC35" s="1579">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83"/>
      <c r="Q36" s="1575" t="str">
        <f t="shared" si="8"/>
        <v>土地级别</v>
      </c>
      <c r="R36" s="1576" t="s">
        <v>8</v>
      </c>
      <c r="S36" s="1577">
        <f t="shared" si="10"/>
        <v>100</v>
      </c>
      <c r="T36" s="1576" t="s">
        <v>8</v>
      </c>
      <c r="U36" s="1577">
        <f t="shared" si="11"/>
        <v>100</v>
      </c>
      <c r="V36" s="1576" t="s">
        <v>8</v>
      </c>
      <c r="W36" s="1577">
        <f t="shared" si="12"/>
        <v>100</v>
      </c>
      <c r="X36" s="1570"/>
      <c r="Y36" s="3383"/>
      <c r="Z36" s="1578" t="str">
        <f t="shared" si="13"/>
        <v>土地级别</v>
      </c>
      <c r="AA36" s="1579">
        <f t="shared" si="3"/>
        <v>1</v>
      </c>
      <c r="AB36" s="1579">
        <f t="shared" si="4"/>
        <v>1</v>
      </c>
      <c r="AC36" s="1579">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83"/>
      <c r="Q37" s="1575">
        <f t="shared" si="8"/>
        <v>0</v>
      </c>
      <c r="R37" s="1576" t="s">
        <v>8</v>
      </c>
      <c r="S37" s="1577">
        <f t="shared" si="10"/>
        <v>100</v>
      </c>
      <c r="T37" s="1576" t="s">
        <v>8</v>
      </c>
      <c r="U37" s="1577">
        <f t="shared" si="11"/>
        <v>100</v>
      </c>
      <c r="V37" s="1576" t="s">
        <v>8</v>
      </c>
      <c r="W37" s="1577">
        <f t="shared" si="12"/>
        <v>100</v>
      </c>
      <c r="X37" s="1570"/>
      <c r="Y37" s="3383"/>
      <c r="Z37" s="1578">
        <f t="shared" si="13"/>
        <v>0</v>
      </c>
      <c r="AA37" s="1579">
        <f t="shared" si="3"/>
        <v>1</v>
      </c>
      <c r="AB37" s="1579">
        <f t="shared" si="4"/>
        <v>1</v>
      </c>
      <c r="AC37" s="1579">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84" t="s">
        <v>551</v>
      </c>
      <c r="Q38" s="1575">
        <f t="shared" si="8"/>
        <v>0</v>
      </c>
      <c r="R38" s="1576" t="s">
        <v>8</v>
      </c>
      <c r="S38" s="1577">
        <f t="shared" si="10"/>
        <v>100</v>
      </c>
      <c r="T38" s="1576" t="s">
        <v>8</v>
      </c>
      <c r="U38" s="1577">
        <f t="shared" si="11"/>
        <v>100</v>
      </c>
      <c r="V38" s="1576" t="s">
        <v>8</v>
      </c>
      <c r="W38" s="1577">
        <f t="shared" si="12"/>
        <v>100</v>
      </c>
      <c r="X38" s="1570"/>
      <c r="Y38" s="3385" t="s">
        <v>551</v>
      </c>
      <c r="Z38" s="1578">
        <f t="shared" si="13"/>
        <v>0</v>
      </c>
      <c r="AA38" s="1579">
        <f t="shared" si="3"/>
        <v>1</v>
      </c>
      <c r="AB38" s="1579">
        <f t="shared" si="4"/>
        <v>1</v>
      </c>
      <c r="AC38" s="1579">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85"/>
      <c r="Q39" s="1575">
        <f t="shared" si="8"/>
        <v>0</v>
      </c>
      <c r="R39" s="1580" t="s">
        <v>8</v>
      </c>
      <c r="S39" s="1581">
        <f t="shared" si="10"/>
        <v>100</v>
      </c>
      <c r="T39" s="1580" t="s">
        <v>8</v>
      </c>
      <c r="U39" s="1581">
        <f t="shared" si="11"/>
        <v>100</v>
      </c>
      <c r="V39" s="1580" t="s">
        <v>8</v>
      </c>
      <c r="W39" s="1581">
        <f t="shared" si="12"/>
        <v>100</v>
      </c>
      <c r="X39" s="1582"/>
      <c r="Y39" s="3385"/>
      <c r="Z39" s="1583">
        <f t="shared" si="13"/>
        <v>0</v>
      </c>
      <c r="AA39" s="1579">
        <f t="shared" si="3"/>
        <v>1</v>
      </c>
      <c r="AB39" s="1579">
        <f t="shared" si="4"/>
        <v>1</v>
      </c>
      <c r="AC39" s="1579">
        <f t="shared" si="5"/>
        <v>1</v>
      </c>
    </row>
    <row r="40" spans="1:29" ht="20.25">
      <c r="A40" s="2937" t="s">
        <v>2763</v>
      </c>
      <c r="B40" s="598" t="s">
        <v>553</v>
      </c>
      <c r="C40" s="599">
        <f>'数据-汇总表'!D3</f>
        <v>97801.4</v>
      </c>
      <c r="D40" s="600">
        <v>100</v>
      </c>
      <c r="E40" s="599">
        <v>41963.66</v>
      </c>
      <c r="F40" s="600">
        <f>LOOKUP(E40,119:119,120:120)-LOOKUP(C40,119:119,120:120)+100</f>
        <v>97</v>
      </c>
      <c r="G40" s="599">
        <v>117633.1</v>
      </c>
      <c r="H40" s="600">
        <f>LOOKUP(G40,119:119,120:120)-LOOKUP(C40,119:119,120:120)+100</f>
        <v>103</v>
      </c>
      <c r="I40" s="601">
        <v>43356.75</v>
      </c>
      <c r="J40" s="600">
        <f>LOOKUP(I40,119:119,120:120)-LOOKUP(C40,119:119,120:120)+100</f>
        <v>97</v>
      </c>
      <c r="K40" s="584"/>
      <c r="L40" s="2146"/>
      <c r="M40" s="2136"/>
      <c r="N40" s="2136"/>
      <c r="O40" s="2145"/>
      <c r="P40" s="3385"/>
      <c r="Q40" s="1575" t="str">
        <f>B40</f>
        <v>宗地面积</v>
      </c>
      <c r="R40" s="1576" t="s">
        <v>8</v>
      </c>
      <c r="S40" s="1577">
        <f t="shared" si="10"/>
        <v>97</v>
      </c>
      <c r="T40" s="1576" t="s">
        <v>8</v>
      </c>
      <c r="U40" s="1577">
        <f t="shared" si="11"/>
        <v>103</v>
      </c>
      <c r="V40" s="1576" t="s">
        <v>8</v>
      </c>
      <c r="W40" s="1577">
        <f t="shared" si="12"/>
        <v>97</v>
      </c>
      <c r="X40" s="1570"/>
      <c r="Y40" s="3385"/>
      <c r="Z40" s="1578" t="str">
        <f t="shared" si="13"/>
        <v>宗地面积</v>
      </c>
      <c r="AA40" s="1579">
        <f t="shared" si="3"/>
        <v>1.0309278350515463</v>
      </c>
      <c r="AB40" s="1579">
        <f t="shared" si="4"/>
        <v>0.970873786407767</v>
      </c>
      <c r="AC40" s="1579">
        <f t="shared" si="5"/>
        <v>1.0309278350515463</v>
      </c>
    </row>
    <row r="41" spans="1:29" ht="20.25">
      <c r="A41" s="597"/>
      <c r="B41" s="530" t="s">
        <v>554</v>
      </c>
      <c r="C41" s="602" t="s">
        <v>3080</v>
      </c>
      <c r="D41" s="543">
        <v>100</v>
      </c>
      <c r="E41" s="3186" t="s">
        <v>3080</v>
      </c>
      <c r="F41" s="543">
        <f>SUMIF(121:121,E41,122:122)-SUMIF(121:121,C41,122:122)+100</f>
        <v>100</v>
      </c>
      <c r="G41" s="3186" t="s">
        <v>3080</v>
      </c>
      <c r="H41" s="543">
        <f>SUMIF(121:121,G41,122:122)-SUMIF(121:121,C41,122:122)+100</f>
        <v>100</v>
      </c>
      <c r="I41" s="3186" t="s">
        <v>3080</v>
      </c>
      <c r="J41" s="543">
        <f>SUMIF(121:121,I41,122:122)-SUMIF(121:121,C41,122:122)+100</f>
        <v>100</v>
      </c>
      <c r="K41" s="587">
        <v>1</v>
      </c>
      <c r="L41" s="2146"/>
      <c r="M41" s="2136"/>
      <c r="N41" s="2136"/>
      <c r="O41" s="2145"/>
      <c r="P41" s="3385"/>
      <c r="Q41" s="1575" t="str">
        <f t="shared" ref="Q41:Q47" si="14">B41</f>
        <v>宗地形状</v>
      </c>
      <c r="R41" s="1576" t="s">
        <v>8</v>
      </c>
      <c r="S41" s="1577">
        <f t="shared" si="10"/>
        <v>100</v>
      </c>
      <c r="T41" s="1576" t="s">
        <v>8</v>
      </c>
      <c r="U41" s="1577">
        <f t="shared" si="11"/>
        <v>100</v>
      </c>
      <c r="V41" s="1576" t="s">
        <v>8</v>
      </c>
      <c r="W41" s="1577">
        <f t="shared" si="12"/>
        <v>100</v>
      </c>
      <c r="X41" s="1570"/>
      <c r="Y41" s="3385"/>
      <c r="Z41" s="1578" t="str">
        <f t="shared" si="13"/>
        <v>宗地形状</v>
      </c>
      <c r="AA41" s="1579">
        <f t="shared" si="3"/>
        <v>1</v>
      </c>
      <c r="AB41" s="1579">
        <f t="shared" si="4"/>
        <v>1</v>
      </c>
      <c r="AC41" s="1579">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6"/>
      <c r="M42" s="2136"/>
      <c r="N42" s="2136"/>
      <c r="O42" s="2145"/>
      <c r="P42" s="3385"/>
      <c r="Q42" s="1575" t="str">
        <f t="shared" si="14"/>
        <v>临街宽度及深度</v>
      </c>
      <c r="R42" s="1576" t="s">
        <v>8</v>
      </c>
      <c r="S42" s="1577">
        <f t="shared" si="10"/>
        <v>100</v>
      </c>
      <c r="T42" s="1576" t="s">
        <v>8</v>
      </c>
      <c r="U42" s="1577">
        <f t="shared" si="11"/>
        <v>100</v>
      </c>
      <c r="V42" s="1576" t="s">
        <v>8</v>
      </c>
      <c r="W42" s="1577">
        <f t="shared" si="12"/>
        <v>100</v>
      </c>
      <c r="X42" s="1570"/>
      <c r="Y42" s="3385"/>
      <c r="Z42" s="1578" t="str">
        <f t="shared" si="13"/>
        <v>临街宽度及深度</v>
      </c>
      <c r="AA42" s="1579">
        <f t="shared" si="3"/>
        <v>1</v>
      </c>
      <c r="AB42" s="1579">
        <f t="shared" si="4"/>
        <v>1</v>
      </c>
      <c r="AC42" s="1579">
        <f t="shared" si="5"/>
        <v>1</v>
      </c>
    </row>
    <row r="43" spans="1:29" s="1223" customFormat="1" ht="20.25">
      <c r="A43" s="603"/>
      <c r="B43" s="1899" t="s">
        <v>2428</v>
      </c>
      <c r="C43" s="604" t="s">
        <v>3084</v>
      </c>
      <c r="D43" s="255">
        <v>100</v>
      </c>
      <c r="E43" s="604" t="s">
        <v>3084</v>
      </c>
      <c r="F43" s="543">
        <f>SUMIF(125:125,E43,126:126)-SUMIF(125:125,C43,126:126)+100</f>
        <v>100</v>
      </c>
      <c r="G43" s="604" t="s">
        <v>3088</v>
      </c>
      <c r="H43" s="543">
        <f>SUMIF(125:125,G43,126:126)-SUMIF(125:125,C43,126:126)+100</f>
        <v>98.5</v>
      </c>
      <c r="I43" s="604" t="s">
        <v>3082</v>
      </c>
      <c r="J43" s="543">
        <f>SUMIF(125:125,I43,126:126)-SUMIF(125:125,C43,126:126)+100</f>
        <v>100.5</v>
      </c>
      <c r="K43" s="587">
        <v>0.5</v>
      </c>
      <c r="L43" s="2139"/>
      <c r="M43" s="2136"/>
      <c r="N43" s="2136"/>
      <c r="O43" s="2141"/>
      <c r="P43" s="3385"/>
      <c r="Q43" s="1575" t="str">
        <f t="shared" si="14"/>
        <v>宗地开发程度</v>
      </c>
      <c r="R43" s="1571" t="s">
        <v>8</v>
      </c>
      <c r="S43" s="1572">
        <f t="shared" si="10"/>
        <v>100</v>
      </c>
      <c r="T43" s="1571" t="s">
        <v>8</v>
      </c>
      <c r="U43" s="1572">
        <f t="shared" si="11"/>
        <v>98.5</v>
      </c>
      <c r="V43" s="1571" t="s">
        <v>8</v>
      </c>
      <c r="W43" s="1572">
        <f t="shared" si="12"/>
        <v>100.5</v>
      </c>
      <c r="X43" s="1573"/>
      <c r="Y43" s="3385"/>
      <c r="Z43" s="1153" t="str">
        <f t="shared" si="13"/>
        <v>宗地开发程度</v>
      </c>
      <c r="AA43" s="1574">
        <f t="shared" si="3"/>
        <v>1</v>
      </c>
      <c r="AB43" s="1574">
        <f t="shared" si="4"/>
        <v>1.015228426395939</v>
      </c>
      <c r="AC43" s="1574">
        <f t="shared" si="5"/>
        <v>0.99502487562189057</v>
      </c>
    </row>
    <row r="44" spans="1:29" ht="20.25">
      <c r="A44" s="597"/>
      <c r="B44" s="530" t="s">
        <v>556</v>
      </c>
      <c r="C44" s="602" t="s">
        <v>3090</v>
      </c>
      <c r="D44" s="543">
        <v>100</v>
      </c>
      <c r="E44" s="602" t="s">
        <v>3090</v>
      </c>
      <c r="F44" s="543">
        <f>SUMIF(127:127,E44,128:128)-SUMIF(127:127,C44,128:128)+100</f>
        <v>100</v>
      </c>
      <c r="G44" s="602" t="s">
        <v>3090</v>
      </c>
      <c r="H44" s="543">
        <f>SUMIF(127:127,G44,128:128)-SUMIF(127:127,C44,128:128)+100</f>
        <v>100</v>
      </c>
      <c r="I44" s="602" t="s">
        <v>3090</v>
      </c>
      <c r="J44" s="543">
        <f>SUMIF(127:127,I44,128:128)-SUMIF(127:127,C44,128:128)+100</f>
        <v>100</v>
      </c>
      <c r="K44" s="587">
        <v>1</v>
      </c>
      <c r="L44" s="2146"/>
      <c r="M44" s="2136"/>
      <c r="N44" s="2136"/>
      <c r="O44" s="2145"/>
      <c r="P44" s="3385" t="s">
        <v>551</v>
      </c>
      <c r="Q44" s="1575" t="str">
        <f t="shared" si="14"/>
        <v>工程地质条件</v>
      </c>
      <c r="R44" s="1576" t="s">
        <v>8</v>
      </c>
      <c r="S44" s="1577">
        <f t="shared" si="10"/>
        <v>100</v>
      </c>
      <c r="T44" s="1576" t="s">
        <v>8</v>
      </c>
      <c r="U44" s="1577">
        <f t="shared" si="11"/>
        <v>100</v>
      </c>
      <c r="V44" s="1576" t="s">
        <v>8</v>
      </c>
      <c r="W44" s="1577">
        <f t="shared" si="12"/>
        <v>100</v>
      </c>
      <c r="X44" s="1570"/>
      <c r="Y44" s="3385" t="s">
        <v>551</v>
      </c>
      <c r="Z44" s="1578" t="str">
        <f t="shared" si="13"/>
        <v>工程地质条件</v>
      </c>
      <c r="AA44" s="1579">
        <f t="shared" si="3"/>
        <v>1</v>
      </c>
      <c r="AB44" s="1579">
        <f t="shared" si="4"/>
        <v>1</v>
      </c>
      <c r="AC44" s="1579">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85"/>
      <c r="Q45" s="1575">
        <f t="shared" si="14"/>
        <v>0</v>
      </c>
      <c r="R45" s="1576" t="s">
        <v>8</v>
      </c>
      <c r="S45" s="1577">
        <f t="shared" si="10"/>
        <v>100</v>
      </c>
      <c r="T45" s="1576" t="s">
        <v>8</v>
      </c>
      <c r="U45" s="1577">
        <f t="shared" si="11"/>
        <v>100</v>
      </c>
      <c r="V45" s="1576" t="s">
        <v>8</v>
      </c>
      <c r="W45" s="1577">
        <f t="shared" si="12"/>
        <v>100</v>
      </c>
      <c r="X45" s="1570"/>
      <c r="Y45" s="3385"/>
      <c r="Z45" s="1578">
        <f t="shared" si="13"/>
        <v>0</v>
      </c>
      <c r="AA45" s="1579">
        <f t="shared" si="3"/>
        <v>1</v>
      </c>
      <c r="AB45" s="1579">
        <f t="shared" si="4"/>
        <v>1</v>
      </c>
      <c r="AC45" s="1579">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85"/>
      <c r="Q46" s="1575">
        <f t="shared" si="14"/>
        <v>0</v>
      </c>
      <c r="R46" s="1576" t="s">
        <v>8</v>
      </c>
      <c r="S46" s="1577">
        <f t="shared" si="10"/>
        <v>100</v>
      </c>
      <c r="T46" s="1576" t="s">
        <v>8</v>
      </c>
      <c r="U46" s="1577">
        <f t="shared" si="11"/>
        <v>100</v>
      </c>
      <c r="V46" s="1576" t="s">
        <v>8</v>
      </c>
      <c r="W46" s="1577">
        <f t="shared" si="12"/>
        <v>100</v>
      </c>
      <c r="X46" s="1570"/>
      <c r="Y46" s="3385"/>
      <c r="Z46" s="1578">
        <f t="shared" si="13"/>
        <v>0</v>
      </c>
      <c r="AA46" s="1579">
        <f t="shared" si="3"/>
        <v>1</v>
      </c>
      <c r="AB46" s="1579">
        <f t="shared" si="4"/>
        <v>1</v>
      </c>
      <c r="AC46" s="1579">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85"/>
      <c r="Q47" s="1575">
        <f t="shared" si="14"/>
        <v>0</v>
      </c>
      <c r="R47" s="1580" t="s">
        <v>8</v>
      </c>
      <c r="S47" s="1581">
        <f t="shared" si="10"/>
        <v>100</v>
      </c>
      <c r="T47" s="1580" t="s">
        <v>8</v>
      </c>
      <c r="U47" s="1581">
        <f t="shared" si="11"/>
        <v>100</v>
      </c>
      <c r="V47" s="1580" t="s">
        <v>8</v>
      </c>
      <c r="W47" s="1581">
        <f t="shared" si="12"/>
        <v>100</v>
      </c>
      <c r="X47" s="1582"/>
      <c r="Y47" s="3385"/>
      <c r="Z47" s="1583">
        <f t="shared" si="13"/>
        <v>0</v>
      </c>
      <c r="AA47" s="1579">
        <f t="shared" si="3"/>
        <v>1</v>
      </c>
      <c r="AB47" s="1579">
        <f t="shared" si="4"/>
        <v>1</v>
      </c>
      <c r="AC47" s="1579">
        <f t="shared" si="5"/>
        <v>1</v>
      </c>
    </row>
    <row r="48" spans="1:29" ht="20.25">
      <c r="A48" s="610" t="s">
        <v>557</v>
      </c>
      <c r="B48" s="611" t="s">
        <v>3092</v>
      </c>
      <c r="C48" s="612" t="s">
        <v>1</v>
      </c>
      <c r="D48" s="613"/>
      <c r="E48" s="614">
        <v>36872</v>
      </c>
      <c r="F48" s="615"/>
      <c r="G48" s="616">
        <v>45730</v>
      </c>
      <c r="H48" s="617"/>
      <c r="I48" s="614">
        <v>39056</v>
      </c>
      <c r="J48" s="617"/>
      <c r="K48" s="1343"/>
      <c r="L48" s="2148"/>
      <c r="M48" s="2136"/>
      <c r="N48" s="2136"/>
      <c r="O48" s="2149"/>
      <c r="P48" s="3380" t="str">
        <f>A48</f>
        <v>成交单价</v>
      </c>
      <c r="Q48" s="3380"/>
      <c r="R48" s="3394">
        <f>E48</f>
        <v>36872</v>
      </c>
      <c r="S48" s="3394"/>
      <c r="T48" s="3394">
        <f>G48</f>
        <v>45730</v>
      </c>
      <c r="U48" s="3394"/>
      <c r="V48" s="3394">
        <f>I48</f>
        <v>39056</v>
      </c>
      <c r="W48" s="3394"/>
      <c r="X48" s="1562"/>
      <c r="Y48" s="1584"/>
      <c r="Z48" s="1562"/>
      <c r="AA48" s="1562"/>
      <c r="AB48" s="1562"/>
      <c r="AC48" s="1562"/>
    </row>
    <row r="49" spans="1:29" ht="21" thickBot="1">
      <c r="A49" s="618" t="s">
        <v>2701</v>
      </c>
      <c r="B49" s="619"/>
      <c r="C49" s="620">
        <f>R50</f>
        <v>38613</v>
      </c>
      <c r="D49" s="621"/>
      <c r="E49" s="620">
        <f>R49</f>
        <v>35771</v>
      </c>
      <c r="F49" s="622"/>
      <c r="G49" s="623">
        <f>T49</f>
        <v>42202</v>
      </c>
      <c r="H49" s="621"/>
      <c r="I49" s="620">
        <f>V49</f>
        <v>37867</v>
      </c>
      <c r="J49" s="621"/>
      <c r="K49" s="1344"/>
      <c r="L49" s="2148"/>
      <c r="M49" s="2136"/>
      <c r="N49" s="2136"/>
      <c r="O49" s="2149"/>
      <c r="P49" s="3380" t="str">
        <f>A49</f>
        <v>比较价格（元/平方米）</v>
      </c>
      <c r="Q49" s="3380"/>
      <c r="R49" s="3405">
        <f>ROUND(PRODUCT(R48,AA9:AA47),0)</f>
        <v>35771</v>
      </c>
      <c r="S49" s="3405"/>
      <c r="T49" s="3405">
        <f>ROUND(PRODUCT(T48,AB9:AB47),0)</f>
        <v>42202</v>
      </c>
      <c r="U49" s="3405"/>
      <c r="V49" s="3405">
        <f>ROUND(PRODUCT(V48,AC9:AC47),0)</f>
        <v>37867</v>
      </c>
      <c r="W49" s="3405"/>
      <c r="X49" s="1562"/>
      <c r="Y49" s="1562"/>
      <c r="Z49" s="1562"/>
      <c r="AA49" s="1562"/>
      <c r="AB49" s="1562"/>
      <c r="AC49" s="1562"/>
    </row>
    <row r="50" spans="1:29" ht="21" thickBot="1">
      <c r="A50" s="624" t="s">
        <v>2939</v>
      </c>
      <c r="B50" s="625"/>
      <c r="C50" s="626">
        <f>R50</f>
        <v>38613</v>
      </c>
      <c r="D50" s="626"/>
      <c r="E50" s="626"/>
      <c r="F50" s="626"/>
      <c r="G50" s="626"/>
      <c r="H50" s="626"/>
      <c r="I50" s="626"/>
      <c r="J50" s="626"/>
      <c r="K50" s="1345"/>
      <c r="L50" s="2148"/>
      <c r="M50" s="2136"/>
      <c r="N50" s="2136"/>
      <c r="O50" s="2149"/>
      <c r="P50" s="3402" t="str">
        <f>A50</f>
        <v>估价对象XX用房的比较价格（楼面单价，元/平方米）</v>
      </c>
      <c r="Q50" s="3403"/>
      <c r="R50" s="3404">
        <f>ROUND(AVERAGE(R49:V49),0)</f>
        <v>38613</v>
      </c>
      <c r="S50" s="3404"/>
      <c r="T50" s="3404"/>
      <c r="U50" s="3404"/>
      <c r="V50" s="3404"/>
      <c r="W50" s="3404"/>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3.0779122753068044E-2</v>
      </c>
      <c r="F53" s="630" t="str">
        <f>IF(OR(E53&gt;=0.3,E53&lt;=-0.3),"超过30%","")</f>
        <v/>
      </c>
      <c r="G53" s="629">
        <f>IF(G48&lt;G49,G49/G48-1,G48/G49-1)</f>
        <v>8.3597933747215691E-2</v>
      </c>
      <c r="H53" s="630" t="str">
        <f>IF(OR(G53&gt;=0.3,G53&lt;=-0.3),"超过30%","")</f>
        <v/>
      </c>
      <c r="I53" s="629">
        <f>IF(I48&lt;I49,I49/I48-1,I48/I49-1)</f>
        <v>3.1399371484405858E-2</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0.17978250538145435</v>
      </c>
      <c r="F54" s="630" t="str">
        <f>IF(OR(E54&gt;=0.2,E54&lt;=-0.2),"超过20%","")</f>
        <v/>
      </c>
      <c r="G54" s="629">
        <f>IF(G49&lt;I49,I49/G49-1,G49/I49-1)</f>
        <v>0.11447962605962969</v>
      </c>
      <c r="H54" s="630" t="str">
        <f>IF(OR(G54&gt;=0.2,G54&lt;=-0.2),"超过20%","")</f>
        <v/>
      </c>
      <c r="I54" s="629">
        <f>IF(I49&lt;E49,E49/I49-1,I49/E49-1)</f>
        <v>5.8594951217466607E-2</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0.24023649381644607</v>
      </c>
      <c r="F55" s="630" t="str">
        <f>IF(OR(E55&gt;=0.3,E55&lt;=-0.3),"超过30%","")</f>
        <v/>
      </c>
      <c r="G55" s="629">
        <f>IF(G48&lt;I48,I48/G48-1,G48/I48-1)</f>
        <v>0.17088283490372791</v>
      </c>
      <c r="H55" s="630" t="str">
        <f>IF(OR(G55&gt;=0.3,G55&lt;=-0.3),"超过30%","")</f>
        <v/>
      </c>
      <c r="I55" s="629">
        <f>IF(I48&lt;E48,E48/I48-1,I48/E48-1)</f>
        <v>5.9231937513560373E-2</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1725</v>
      </c>
      <c r="D57" s="2231" t="s">
        <v>2296</v>
      </c>
      <c r="E57" s="634" t="s">
        <v>563</v>
      </c>
      <c r="F57" s="635" t="s">
        <v>564</v>
      </c>
      <c r="G57" s="3364" t="s">
        <v>2284</v>
      </c>
      <c r="H57" s="3365"/>
      <c r="I57" s="1558" t="s">
        <v>1723</v>
      </c>
      <c r="J57" s="1558">
        <f>项目基本情况!F41</f>
        <v>0</v>
      </c>
      <c r="K57" s="2158" t="s">
        <v>1724</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38613</v>
      </c>
      <c r="C58" s="638">
        <v>1</v>
      </c>
      <c r="D58" s="2232">
        <v>1</v>
      </c>
      <c r="E58" s="638">
        <f>'数据-汇总表'!E8+'数据-汇总表'!E9</f>
        <v>234518.9</v>
      </c>
      <c r="F58" s="639">
        <f t="shared" ref="F58:F67" si="15">ROUND(B58*E58/10000,0)</f>
        <v>905548</v>
      </c>
      <c r="G58" s="3366"/>
      <c r="H58" s="3367"/>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68" t="s">
        <v>2285</v>
      </c>
      <c r="H59" s="1952">
        <f>项目基本情况!B43</f>
        <v>0</v>
      </c>
      <c r="I59" s="1559">
        <f>SUMIF(修正!$A$45:$A$56,H59,修正!B45:B56)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68"/>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68"/>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68"/>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2331</v>
      </c>
      <c r="B63" s="641">
        <f t="shared" si="17"/>
        <v>2413</v>
      </c>
      <c r="C63" s="381">
        <f t="shared" si="16"/>
        <v>0.25</v>
      </c>
      <c r="D63" s="2233">
        <v>0.25</v>
      </c>
      <c r="E63" s="644">
        <f>'数据-汇总表'!E11</f>
        <v>452.28</v>
      </c>
      <c r="F63" s="639">
        <f t="shared" si="15"/>
        <v>109</v>
      </c>
      <c r="G63" s="1949" t="s">
        <v>2286</v>
      </c>
      <c r="H63" s="1952" t="str">
        <f>项目基本情况!C43</f>
        <v>五级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2413</v>
      </c>
      <c r="C64" s="381">
        <f t="shared" si="16"/>
        <v>0.25</v>
      </c>
      <c r="D64" s="2233">
        <v>0.25</v>
      </c>
      <c r="E64" s="644">
        <f>'数据-汇总表'!E12</f>
        <v>20759.810000000005</v>
      </c>
      <c r="F64" s="639">
        <f t="shared" si="15"/>
        <v>5009</v>
      </c>
      <c r="G64" s="1950" t="s">
        <v>923</v>
      </c>
      <c r="H64" s="1948" t="str">
        <f>IF(G64="商业",项目基本情况!B43,IF(G64="办公",项目基本情况!C43,IF(G64="住宅",项目基本情况!D43,项目基本情况!E43)))</f>
        <v>五级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1931</v>
      </c>
      <c r="C65" s="381">
        <f t="shared" si="16"/>
        <v>0.2</v>
      </c>
      <c r="D65" s="2233">
        <v>0.25</v>
      </c>
      <c r="E65" s="644">
        <f>'数据-汇总表'!E13</f>
        <v>31012.010000000002</v>
      </c>
      <c r="F65" s="639">
        <f t="shared" si="15"/>
        <v>5988</v>
      </c>
      <c r="G65" s="1950" t="s">
        <v>923</v>
      </c>
      <c r="H65" s="1948" t="str">
        <f>IF(G65="商业",项目基本情况!B43,IF(G65="办公",项目基本情况!C43,IF(G65="住宅",项目基本情况!D43,项目基本情况!E43)))</f>
        <v>五级</v>
      </c>
      <c r="I65" s="1559">
        <f>SUMIF(修正!$A$45:$A$56,H65,修正!H45:H56)</f>
        <v>0.2</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2285</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1931</v>
      </c>
      <c r="C67" s="381">
        <f t="shared" si="16"/>
        <v>0.2</v>
      </c>
      <c r="D67" s="2233">
        <v>0.25</v>
      </c>
      <c r="E67" s="644">
        <f>'数据-汇总表'!E15</f>
        <v>0</v>
      </c>
      <c r="F67" s="639">
        <f t="shared" si="15"/>
        <v>0</v>
      </c>
      <c r="G67" s="1951" t="s">
        <v>2286</v>
      </c>
      <c r="H67" s="1953" t="str">
        <f>项目基本情况!C43</f>
        <v>五级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2297</v>
      </c>
      <c r="E68" s="646">
        <f>IF(B48="楼面地价",SUM(E58:E67),'数据-汇总表'!D3)</f>
        <v>286743</v>
      </c>
      <c r="F68" s="647">
        <f>IF(B48="楼面地价",SUM(F58:F67),ROUND(C50*E68/10000,0))</f>
        <v>916654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2017-11-1</v>
      </c>
      <c r="D70" s="2829">
        <f>EDATE(C70,-3)</f>
        <v>42948</v>
      </c>
      <c r="E70" s="2829">
        <f t="shared" ref="E70:N70" si="18">EDATE(D70,-3)</f>
        <v>42856</v>
      </c>
      <c r="F70" s="2829">
        <f t="shared" si="18"/>
        <v>42767</v>
      </c>
      <c r="G70" s="2829">
        <f t="shared" si="18"/>
        <v>42675</v>
      </c>
      <c r="H70" s="2829">
        <f t="shared" si="18"/>
        <v>42583</v>
      </c>
      <c r="I70" s="2829">
        <f t="shared" si="18"/>
        <v>42491</v>
      </c>
      <c r="J70" s="2829">
        <f t="shared" si="18"/>
        <v>42401</v>
      </c>
      <c r="K70" s="2829">
        <f t="shared" si="18"/>
        <v>42309</v>
      </c>
      <c r="L70" s="2829">
        <f t="shared" si="18"/>
        <v>42217</v>
      </c>
      <c r="M70" s="2829">
        <f t="shared" si="18"/>
        <v>42125</v>
      </c>
      <c r="N70" s="2829">
        <f t="shared" si="18"/>
        <v>42036</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50" customFormat="1" ht="15">
      <c r="A72" s="2596" t="s">
        <v>2538</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6" t="s">
        <v>2655</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c r="M73" s="2822"/>
      <c r="N73" s="2823"/>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6" t="s">
        <v>2654</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ht="27">
      <c r="A77" s="667" t="s">
        <v>578</v>
      </c>
      <c r="B77" s="668" t="s">
        <v>535</v>
      </c>
      <c r="C77" s="3183" t="s">
        <v>3068</v>
      </c>
      <c r="D77" s="3183" t="s">
        <v>3101</v>
      </c>
      <c r="E77" s="3183"/>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95</v>
      </c>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2（含）-2.5</v>
      </c>
      <c r="D81" s="685" t="str">
        <f t="shared" ref="D81:L81" si="20">D82&amp;"（含）"&amp;"-"&amp;E82</f>
        <v>2.5（含）-3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2</v>
      </c>
      <c r="D82" s="544">
        <v>2.5</v>
      </c>
      <c r="E82" s="544">
        <v>3</v>
      </c>
      <c r="F82" s="544"/>
      <c r="G82" s="544"/>
      <c r="H82" s="544"/>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0</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0</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97</v>
      </c>
      <c r="E91" s="682">
        <f>D91-$K17</f>
        <v>94</v>
      </c>
      <c r="F91" s="682">
        <f>E91-$K17</f>
        <v>91</v>
      </c>
      <c r="G91" s="682">
        <f>F91-$K17</f>
        <v>88</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98</v>
      </c>
      <c r="E97" s="682">
        <f>D97-$K23</f>
        <v>96</v>
      </c>
      <c r="F97" s="682">
        <f>E97-$K23</f>
        <v>94</v>
      </c>
      <c r="G97" s="682">
        <f>F97-$K23</f>
        <v>92</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2556</v>
      </c>
      <c r="C104" s="2626" t="s">
        <v>2557</v>
      </c>
      <c r="D104" s="2626" t="s">
        <v>2558</v>
      </c>
      <c r="E104" s="2626" t="s">
        <v>2559</v>
      </c>
      <c r="F104" s="2626" t="s">
        <v>2560</v>
      </c>
      <c r="G104" s="2626" t="s">
        <v>2561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85" t="s">
        <v>3073</v>
      </c>
      <c r="D108" s="3185" t="s">
        <v>3074</v>
      </c>
      <c r="E108" s="3185" t="s">
        <v>3075</v>
      </c>
      <c r="F108" s="3185" t="s">
        <v>3077</v>
      </c>
      <c r="G108" s="3185" t="s">
        <v>3079</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99.5</v>
      </c>
      <c r="E109" s="682">
        <f t="shared" ref="E109:M109" si="23">D109-$K34</f>
        <v>99</v>
      </c>
      <c r="F109" s="682">
        <f t="shared" si="23"/>
        <v>98.5</v>
      </c>
      <c r="G109" s="682">
        <f t="shared" si="23"/>
        <v>98</v>
      </c>
      <c r="H109" s="682">
        <f t="shared" si="23"/>
        <v>97.5</v>
      </c>
      <c r="I109" s="682">
        <f t="shared" si="23"/>
        <v>97</v>
      </c>
      <c r="J109" s="682">
        <f t="shared" si="23"/>
        <v>96.5</v>
      </c>
      <c r="K109" s="682">
        <f t="shared" si="23"/>
        <v>96</v>
      </c>
      <c r="L109" s="682">
        <f t="shared" si="23"/>
        <v>95.5</v>
      </c>
      <c r="M109" s="682">
        <f t="shared" si="23"/>
        <v>95</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0</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0</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0</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19" t="str">
        <f t="shared" si="25"/>
        <v>(含)-</v>
      </c>
      <c r="K118" s="3119" t="str">
        <f t="shared" si="25"/>
        <v>(含)-</v>
      </c>
      <c r="L118" s="3120" t="str">
        <f t="shared" si="25"/>
        <v>(含)-</v>
      </c>
      <c r="M118" s="3121"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50000</v>
      </c>
      <c r="E119" s="733">
        <v>100000</v>
      </c>
      <c r="F119" s="733">
        <v>150000</v>
      </c>
      <c r="G119" s="733"/>
      <c r="H119" s="733"/>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103</v>
      </c>
      <c r="E120" s="729">
        <v>106</v>
      </c>
      <c r="F120" s="729">
        <v>109</v>
      </c>
      <c r="G120" s="729"/>
      <c r="H120" s="729"/>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87" t="s">
        <v>3081</v>
      </c>
      <c r="D121" s="721"/>
      <c r="E121" s="721"/>
      <c r="F121" s="721"/>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2429</v>
      </c>
      <c r="C125" s="1378" t="s">
        <v>3083</v>
      </c>
      <c r="D125" s="1378" t="s">
        <v>3085</v>
      </c>
      <c r="E125" s="1378" t="s">
        <v>3086</v>
      </c>
      <c r="F125" s="1378" t="s">
        <v>3087</v>
      </c>
      <c r="G125" s="1378" t="s">
        <v>3089</v>
      </c>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99.5</v>
      </c>
      <c r="E126" s="682">
        <f t="shared" ref="E126:M126" si="28">D126-$K43</f>
        <v>99</v>
      </c>
      <c r="F126" s="682">
        <f t="shared" si="28"/>
        <v>98.5</v>
      </c>
      <c r="G126" s="682">
        <f t="shared" si="28"/>
        <v>98</v>
      </c>
      <c r="H126" s="682">
        <f t="shared" si="28"/>
        <v>97.5</v>
      </c>
      <c r="I126" s="682">
        <f t="shared" si="28"/>
        <v>97</v>
      </c>
      <c r="J126" s="682">
        <f t="shared" si="28"/>
        <v>96.5</v>
      </c>
      <c r="K126" s="682">
        <f t="shared" si="28"/>
        <v>96</v>
      </c>
      <c r="L126" s="682">
        <f t="shared" si="28"/>
        <v>95.5</v>
      </c>
      <c r="M126" s="683">
        <f t="shared" si="28"/>
        <v>95</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85" t="s">
        <v>3091</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0</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0</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0</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c r="A3" s="1383" t="s">
        <v>1686</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86" t="s">
        <v>523</v>
      </c>
      <c r="D6" s="3387"/>
      <c r="E6" s="3411" t="s">
        <v>524</v>
      </c>
      <c r="F6" s="3412"/>
      <c r="G6" s="3386" t="s">
        <v>525</v>
      </c>
      <c r="H6" s="3387"/>
      <c r="I6" s="3386" t="s">
        <v>526</v>
      </c>
      <c r="J6" s="3387"/>
      <c r="K6" s="517" t="s">
        <v>527</v>
      </c>
      <c r="L6" s="2137"/>
      <c r="M6" s="2138"/>
      <c r="N6" s="2138"/>
      <c r="O6" s="2138"/>
      <c r="P6" s="3388" t="s">
        <v>528</v>
      </c>
      <c r="Q6" s="3389"/>
      <c r="R6" s="3374" t="s">
        <v>524</v>
      </c>
      <c r="S6" s="3375"/>
      <c r="T6" s="3374" t="s">
        <v>525</v>
      </c>
      <c r="U6" s="3375"/>
      <c r="V6" s="3394" t="s">
        <v>526</v>
      </c>
      <c r="W6" s="3394"/>
      <c r="X6" s="1570"/>
      <c r="Y6" s="3374" t="s">
        <v>528</v>
      </c>
      <c r="Z6" s="3375"/>
      <c r="AA6" s="3369" t="s">
        <v>524</v>
      </c>
      <c r="AB6" s="3370" t="s">
        <v>525</v>
      </c>
      <c r="AC6" s="3369" t="s">
        <v>526</v>
      </c>
    </row>
    <row r="7" spans="1:29" ht="15">
      <c r="A7" s="518"/>
      <c r="B7" s="519"/>
      <c r="C7" s="3399" t="s">
        <v>2933</v>
      </c>
      <c r="D7" s="3398"/>
      <c r="E7" s="3413" t="s">
        <v>2934</v>
      </c>
      <c r="F7" s="3414"/>
      <c r="G7" s="3399" t="s">
        <v>2935</v>
      </c>
      <c r="H7" s="3398"/>
      <c r="I7" s="3399" t="s">
        <v>2936</v>
      </c>
      <c r="J7" s="3398"/>
      <c r="K7" s="517"/>
      <c r="L7" s="2137"/>
      <c r="M7" s="2138"/>
      <c r="N7" s="2138"/>
      <c r="O7" s="2138"/>
      <c r="P7" s="3390"/>
      <c r="Q7" s="3391"/>
      <c r="R7" s="3376"/>
      <c r="S7" s="3377"/>
      <c r="T7" s="3376"/>
      <c r="U7" s="3377"/>
      <c r="V7" s="3394"/>
      <c r="W7" s="3394"/>
      <c r="X7" s="1570"/>
      <c r="Y7" s="3376"/>
      <c r="Z7" s="3377"/>
      <c r="AA7" s="3370"/>
      <c r="AB7" s="3370"/>
      <c r="AC7" s="3370"/>
    </row>
    <row r="8" spans="1:29" ht="15.75" thickBot="1">
      <c r="A8" s="520"/>
      <c r="B8" s="521"/>
      <c r="C8" s="3395" t="s">
        <v>2937</v>
      </c>
      <c r="D8" s="3396"/>
      <c r="E8" s="3415" t="s">
        <v>2937</v>
      </c>
      <c r="F8" s="3416"/>
      <c r="G8" s="3395" t="s">
        <v>2937</v>
      </c>
      <c r="H8" s="3396"/>
      <c r="I8" s="3395" t="s">
        <v>2937</v>
      </c>
      <c r="J8" s="3396"/>
      <c r="K8" s="517" t="s">
        <v>529</v>
      </c>
      <c r="L8" s="2137"/>
      <c r="M8" s="2138"/>
      <c r="N8" s="2138"/>
      <c r="O8" s="2138"/>
      <c r="P8" s="3392"/>
      <c r="Q8" s="3393"/>
      <c r="R8" s="3376"/>
      <c r="S8" s="3377"/>
      <c r="T8" s="3378"/>
      <c r="U8" s="3379"/>
      <c r="V8" s="3394"/>
      <c r="W8" s="3394"/>
      <c r="X8" s="1570"/>
      <c r="Y8" s="3378"/>
      <c r="Z8" s="3379"/>
      <c r="AA8" s="3371"/>
      <c r="AB8" s="3371"/>
      <c r="AC8" s="3371"/>
    </row>
    <row r="9" spans="1:29" s="1223" customFormat="1" ht="15.75" thickBot="1">
      <c r="A9" s="2941"/>
      <c r="B9" s="2948"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72" t="s">
        <v>531</v>
      </c>
      <c r="Q9" s="3381"/>
      <c r="R9" s="1571" t="s">
        <v>8</v>
      </c>
      <c r="S9" s="1572">
        <f t="shared" ref="S9:S17" si="0">F9</f>
        <v>0</v>
      </c>
      <c r="T9" s="1571" t="s">
        <v>8</v>
      </c>
      <c r="U9" s="1572">
        <f t="shared" ref="U9:U17" si="1">H9</f>
        <v>0</v>
      </c>
      <c r="V9" s="1571" t="s">
        <v>8</v>
      </c>
      <c r="W9" s="1572">
        <f t="shared" ref="W9:W17" si="2">J9</f>
        <v>0</v>
      </c>
      <c r="X9" s="1573"/>
      <c r="Y9" s="3372" t="s">
        <v>531</v>
      </c>
      <c r="Z9" s="3373"/>
      <c r="AA9" s="1574" t="e">
        <f>D9/F9</f>
        <v>#DIV/0!</v>
      </c>
      <c r="AB9" s="1574" t="e">
        <f>D9/H9</f>
        <v>#DIV/0!</v>
      </c>
      <c r="AC9" s="1574" t="e">
        <f>D9/J9</f>
        <v>#DIV/0!</v>
      </c>
    </row>
    <row r="10" spans="1:29" s="1223"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72" t="s">
        <v>534</v>
      </c>
      <c r="Q10" s="3373"/>
      <c r="R10" s="1571" t="s">
        <v>8</v>
      </c>
      <c r="S10" s="1572">
        <f t="shared" si="0"/>
        <v>0</v>
      </c>
      <c r="T10" s="1571" t="s">
        <v>8</v>
      </c>
      <c r="U10" s="1572">
        <f t="shared" si="1"/>
        <v>0</v>
      </c>
      <c r="V10" s="1571" t="s">
        <v>8</v>
      </c>
      <c r="W10" s="1572">
        <f t="shared" si="2"/>
        <v>0</v>
      </c>
      <c r="X10" s="1573"/>
      <c r="Y10" s="3372" t="s">
        <v>534</v>
      </c>
      <c r="Z10" s="3373"/>
      <c r="AA10" s="1574" t="e">
        <f t="shared" ref="AA10:AA42" si="3">D10/F10</f>
        <v>#DIV/0!</v>
      </c>
      <c r="AB10" s="1574" t="e">
        <f t="shared" ref="AB10:AB42" si="4">D10/H10</f>
        <v>#DIV/0!</v>
      </c>
      <c r="AC10" s="1574" t="e">
        <f t="shared" ref="AC10:AC42" si="5">D10/J10</f>
        <v>#DIV/0!</v>
      </c>
    </row>
    <row r="11" spans="1:29" s="1223" customFormat="1" ht="15">
      <c r="A11" s="2943"/>
      <c r="B11" s="2950" t="s">
        <v>2764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80" t="s">
        <v>536</v>
      </c>
      <c r="Q11" s="1154" t="str">
        <f t="shared" ref="Q11:Q17" si="6">B11</f>
        <v>用途</v>
      </c>
      <c r="R11" s="1571" t="s">
        <v>8</v>
      </c>
      <c r="S11" s="1572">
        <f t="shared" si="0"/>
        <v>100</v>
      </c>
      <c r="T11" s="1571" t="s">
        <v>8</v>
      </c>
      <c r="U11" s="1572">
        <f t="shared" si="1"/>
        <v>100</v>
      </c>
      <c r="V11" s="1571" t="s">
        <v>8</v>
      </c>
      <c r="W11" s="1572">
        <f t="shared" si="2"/>
        <v>100</v>
      </c>
      <c r="X11" s="1573"/>
      <c r="Y11" s="3337" t="s">
        <v>537</v>
      </c>
      <c r="Z11" s="1153" t="str">
        <f t="shared" ref="Z11:Z17" si="7">Q11</f>
        <v>用途</v>
      </c>
      <c r="AA11" s="1574">
        <f t="shared" si="3"/>
        <v>1</v>
      </c>
      <c r="AB11" s="1574">
        <f t="shared" si="4"/>
        <v>1</v>
      </c>
      <c r="AC11" s="1574">
        <f t="shared" si="5"/>
        <v>1</v>
      </c>
    </row>
    <row r="12" spans="1:29" s="1341" customFormat="1" ht="27">
      <c r="A12" s="2944"/>
      <c r="B12" s="2949" t="s">
        <v>2765</v>
      </c>
      <c r="C12" s="531"/>
      <c r="D12" s="255">
        <v>100</v>
      </c>
      <c r="E12" s="531"/>
      <c r="F12" s="255">
        <f>ROUND(100/'数据-取费表'!G16,0)</f>
        <v>106</v>
      </c>
      <c r="G12" s="531"/>
      <c r="H12" s="255">
        <f>ROUND(100/'数据-取费表'!G16,0)</f>
        <v>106</v>
      </c>
      <c r="I12" s="531"/>
      <c r="J12" s="255">
        <f>ROUND(100/'数据-取费表'!G16,0)</f>
        <v>106</v>
      </c>
      <c r="K12" s="534"/>
      <c r="L12" s="2142"/>
      <c r="M12" s="2182"/>
      <c r="N12" s="2182"/>
      <c r="O12" s="2143"/>
      <c r="P12" s="3380"/>
      <c r="Q12" s="1154" t="str">
        <f t="shared" si="6"/>
        <v>土地使用年限（年）</v>
      </c>
      <c r="R12" s="1571" t="s">
        <v>8</v>
      </c>
      <c r="S12" s="1572">
        <f t="shared" si="0"/>
        <v>106</v>
      </c>
      <c r="T12" s="1571" t="s">
        <v>8</v>
      </c>
      <c r="U12" s="1572">
        <f t="shared" si="1"/>
        <v>106</v>
      </c>
      <c r="V12" s="1571" t="s">
        <v>8</v>
      </c>
      <c r="W12" s="1572">
        <f t="shared" si="2"/>
        <v>106</v>
      </c>
      <c r="X12" s="1573"/>
      <c r="Y12" s="3337"/>
      <c r="Z12" s="1153" t="str">
        <f t="shared" si="7"/>
        <v>土地使用年限（年）</v>
      </c>
      <c r="AA12" s="1574">
        <f t="shared" si="3"/>
        <v>0.94339622641509435</v>
      </c>
      <c r="AB12" s="1574">
        <f t="shared" si="4"/>
        <v>0.94339622641509435</v>
      </c>
      <c r="AC12" s="1574">
        <f t="shared" si="5"/>
        <v>0.94339622641509435</v>
      </c>
    </row>
    <row r="13" spans="1:29" ht="15">
      <c r="A13" s="2945"/>
      <c r="B13" s="2949"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80"/>
      <c r="Q13" s="1154" t="str">
        <f t="shared" si="6"/>
        <v>容积率</v>
      </c>
      <c r="R13" s="1571" t="s">
        <v>8</v>
      </c>
      <c r="S13" s="1572" t="e">
        <f t="shared" si="0"/>
        <v>#N/A</v>
      </c>
      <c r="T13" s="1571" t="s">
        <v>8</v>
      </c>
      <c r="U13" s="1572" t="e">
        <f t="shared" si="1"/>
        <v>#N/A</v>
      </c>
      <c r="V13" s="1571" t="s">
        <v>8</v>
      </c>
      <c r="W13" s="1572" t="e">
        <f t="shared" si="2"/>
        <v>#N/A</v>
      </c>
      <c r="X13" s="1573"/>
      <c r="Y13" s="3337"/>
      <c r="Z13" s="1153" t="str">
        <f t="shared" si="7"/>
        <v>容积率</v>
      </c>
      <c r="AA13" s="1574" t="e">
        <f t="shared" si="3"/>
        <v>#N/A</v>
      </c>
      <c r="AB13" s="1574" t="e">
        <f t="shared" si="4"/>
        <v>#N/A</v>
      </c>
      <c r="AC13" s="1574"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80"/>
      <c r="Q14" s="1154">
        <f t="shared" si="6"/>
        <v>111</v>
      </c>
      <c r="R14" s="1571" t="s">
        <v>8</v>
      </c>
      <c r="S14" s="1572">
        <f t="shared" si="0"/>
        <v>100</v>
      </c>
      <c r="T14" s="1571" t="s">
        <v>8</v>
      </c>
      <c r="U14" s="1572">
        <f t="shared" si="1"/>
        <v>100</v>
      </c>
      <c r="V14" s="1571" t="s">
        <v>8</v>
      </c>
      <c r="W14" s="1572">
        <f t="shared" si="2"/>
        <v>100</v>
      </c>
      <c r="X14" s="1573"/>
      <c r="Y14" s="3337"/>
      <c r="Z14" s="1153">
        <f t="shared" si="7"/>
        <v>111</v>
      </c>
      <c r="AA14" s="1574">
        <f>D14/F14</f>
        <v>1</v>
      </c>
      <c r="AB14" s="1574">
        <f>D14/H14</f>
        <v>1</v>
      </c>
      <c r="AC14" s="1574">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80"/>
      <c r="Q15" s="1154">
        <f t="shared" si="6"/>
        <v>111</v>
      </c>
      <c r="R15" s="1571" t="s">
        <v>8</v>
      </c>
      <c r="S15" s="1572">
        <f t="shared" si="0"/>
        <v>100</v>
      </c>
      <c r="T15" s="1571" t="s">
        <v>8</v>
      </c>
      <c r="U15" s="1572">
        <f t="shared" si="1"/>
        <v>100</v>
      </c>
      <c r="V15" s="1571" t="s">
        <v>8</v>
      </c>
      <c r="W15" s="1572">
        <f t="shared" si="2"/>
        <v>100</v>
      </c>
      <c r="X15" s="1573"/>
      <c r="Y15" s="3337"/>
      <c r="Z15" s="1153">
        <f t="shared" si="7"/>
        <v>111</v>
      </c>
      <c r="AA15" s="1574">
        <f t="shared" si="3"/>
        <v>1</v>
      </c>
      <c r="AB15" s="1574">
        <f t="shared" si="4"/>
        <v>1</v>
      </c>
      <c r="AC15" s="1574">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80"/>
      <c r="Q16" s="1154">
        <f t="shared" si="6"/>
        <v>111</v>
      </c>
      <c r="R16" s="1571" t="s">
        <v>8</v>
      </c>
      <c r="S16" s="1572">
        <f t="shared" si="0"/>
        <v>100</v>
      </c>
      <c r="T16" s="1571" t="s">
        <v>8</v>
      </c>
      <c r="U16" s="1572">
        <f t="shared" si="1"/>
        <v>100</v>
      </c>
      <c r="V16" s="1571" t="s">
        <v>8</v>
      </c>
      <c r="W16" s="1572">
        <f t="shared" si="2"/>
        <v>100</v>
      </c>
      <c r="X16" s="1573"/>
      <c r="Y16" s="3337"/>
      <c r="Z16" s="1153">
        <f t="shared" si="7"/>
        <v>111</v>
      </c>
      <c r="AA16" s="1574">
        <f t="shared" si="3"/>
        <v>1</v>
      </c>
      <c r="AB16" s="1574">
        <f t="shared" si="4"/>
        <v>1</v>
      </c>
      <c r="AC16" s="1574">
        <f t="shared" si="5"/>
        <v>1</v>
      </c>
    </row>
    <row r="17" spans="1:29" ht="57">
      <c r="A17" s="2939" t="s">
        <v>2762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82" t="s">
        <v>541</v>
      </c>
      <c r="Q17" s="1575" t="str">
        <f t="shared" si="6"/>
        <v>产业集聚程度</v>
      </c>
      <c r="R17" s="1576" t="s">
        <v>8</v>
      </c>
      <c r="S17" s="1577">
        <f t="shared" si="0"/>
        <v>100</v>
      </c>
      <c r="T17" s="1576" t="s">
        <v>8</v>
      </c>
      <c r="U17" s="1577">
        <f t="shared" si="1"/>
        <v>100</v>
      </c>
      <c r="V17" s="1576" t="s">
        <v>8</v>
      </c>
      <c r="W17" s="1577">
        <f t="shared" si="2"/>
        <v>100</v>
      </c>
      <c r="X17" s="1570"/>
      <c r="Y17" s="3382"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83"/>
      <c r="Q18" s="1575"/>
      <c r="R18" s="1576"/>
      <c r="S18" s="1577"/>
      <c r="T18" s="1576"/>
      <c r="U18" s="1577"/>
      <c r="V18" s="1576"/>
      <c r="W18" s="1577"/>
      <c r="X18" s="1570"/>
      <c r="Y18" s="3383"/>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83"/>
      <c r="Q19" s="1575" t="str">
        <f>B19</f>
        <v>交通便捷度</v>
      </c>
      <c r="R19" s="1576" t="s">
        <v>8</v>
      </c>
      <c r="S19" s="1577">
        <f>F19</f>
        <v>100</v>
      </c>
      <c r="T19" s="1576" t="s">
        <v>8</v>
      </c>
      <c r="U19" s="1577">
        <f>H19</f>
        <v>100</v>
      </c>
      <c r="V19" s="1576" t="s">
        <v>8</v>
      </c>
      <c r="W19" s="1577">
        <f>J19</f>
        <v>100</v>
      </c>
      <c r="X19" s="1570"/>
      <c r="Y19" s="3383"/>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6"/>
      <c r="M20" s="2138"/>
      <c r="N20" s="2138"/>
      <c r="O20" s="2145"/>
      <c r="P20" s="3383"/>
      <c r="Q20" s="1575"/>
      <c r="R20" s="1576"/>
      <c r="S20" s="1577"/>
      <c r="T20" s="1576"/>
      <c r="U20" s="1577"/>
      <c r="V20" s="1576"/>
      <c r="W20" s="1577"/>
      <c r="X20" s="1570"/>
      <c r="Y20" s="3383"/>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83"/>
      <c r="Q21" s="1575" t="str">
        <f t="shared" ref="Q21:Q35" si="8">B21</f>
        <v>区域土地利用方向</v>
      </c>
      <c r="R21" s="1576" t="s">
        <v>8</v>
      </c>
      <c r="S21" s="1577">
        <f>F21</f>
        <v>100</v>
      </c>
      <c r="T21" s="1576" t="s">
        <v>8</v>
      </c>
      <c r="U21" s="1577">
        <f>H21</f>
        <v>100</v>
      </c>
      <c r="V21" s="1576" t="s">
        <v>8</v>
      </c>
      <c r="W21" s="1577">
        <f>J21</f>
        <v>100</v>
      </c>
      <c r="X21" s="1570"/>
      <c r="Y21" s="3383"/>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6"/>
      <c r="M22" s="2138"/>
      <c r="N22" s="2138"/>
      <c r="O22" s="2145"/>
      <c r="P22" s="3383"/>
      <c r="Q22" s="1575"/>
      <c r="R22" s="1576"/>
      <c r="S22" s="1577"/>
      <c r="T22" s="1576"/>
      <c r="U22" s="1577"/>
      <c r="V22" s="1576"/>
      <c r="W22" s="1577"/>
      <c r="X22" s="1570"/>
      <c r="Y22" s="3383"/>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83"/>
      <c r="Q23" s="1575" t="str">
        <f t="shared" si="8"/>
        <v>环境状况</v>
      </c>
      <c r="R23" s="1576" t="s">
        <v>8</v>
      </c>
      <c r="S23" s="1577">
        <f>F23</f>
        <v>100</v>
      </c>
      <c r="T23" s="1576" t="s">
        <v>8</v>
      </c>
      <c r="U23" s="1577">
        <f>H23</f>
        <v>100</v>
      </c>
      <c r="V23" s="1576" t="s">
        <v>8</v>
      </c>
      <c r="W23" s="1577">
        <f>J23</f>
        <v>100</v>
      </c>
      <c r="X23" s="1570"/>
      <c r="Y23" s="3383"/>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83"/>
      <c r="Q24" s="1575"/>
      <c r="R24" s="1576"/>
      <c r="S24" s="1577"/>
      <c r="T24" s="1576"/>
      <c r="U24" s="1577"/>
      <c r="V24" s="1576"/>
      <c r="W24" s="1577"/>
      <c r="X24" s="1570"/>
      <c r="Y24" s="3383"/>
      <c r="Z24" s="1578"/>
      <c r="AA24" s="1579">
        <v>1</v>
      </c>
      <c r="AB24" s="1579">
        <v>1</v>
      </c>
      <c r="AC24" s="1579">
        <v>1</v>
      </c>
    </row>
    <row r="25" spans="1:29" s="1223" customFormat="1" ht="42.75">
      <c r="A25" s="580"/>
      <c r="B25" s="2621"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83"/>
      <c r="Q25" s="1154" t="str">
        <f t="shared" si="8"/>
        <v>公共配套设施</v>
      </c>
      <c r="R25" s="1571" t="s">
        <v>8</v>
      </c>
      <c r="S25" s="1572">
        <f>F25</f>
        <v>100</v>
      </c>
      <c r="T25" s="1571" t="s">
        <v>8</v>
      </c>
      <c r="U25" s="1572">
        <f>H25</f>
        <v>100</v>
      </c>
      <c r="V25" s="1571" t="s">
        <v>8</v>
      </c>
      <c r="W25" s="1572">
        <f>J25</f>
        <v>100</v>
      </c>
      <c r="X25" s="1573"/>
      <c r="Y25" s="3383"/>
      <c r="Z25" s="1153" t="str">
        <f>Q25</f>
        <v>公共配套设施</v>
      </c>
      <c r="AA25" s="1579">
        <f>D25/F25</f>
        <v>1</v>
      </c>
      <c r="AB25" s="1579">
        <f>D25/H25</f>
        <v>1</v>
      </c>
      <c r="AC25" s="1579">
        <f>D25/J25</f>
        <v>1</v>
      </c>
    </row>
    <row r="26" spans="1:29" s="1223" customFormat="1" ht="15">
      <c r="A26" s="580"/>
      <c r="B26" s="598"/>
      <c r="C26" s="2620"/>
      <c r="D26" s="558"/>
      <c r="E26" s="557"/>
      <c r="F26" s="558"/>
      <c r="G26" s="557"/>
      <c r="H26" s="558"/>
      <c r="I26" s="579"/>
      <c r="J26" s="558"/>
      <c r="K26" s="534"/>
      <c r="L26" s="2139"/>
      <c r="M26" s="2140"/>
      <c r="N26" s="2140"/>
      <c r="O26" s="2141"/>
      <c r="P26" s="3383"/>
      <c r="Q26" s="1154"/>
      <c r="R26" s="1571"/>
      <c r="S26" s="1572"/>
      <c r="T26" s="1571"/>
      <c r="U26" s="1572"/>
      <c r="V26" s="1571"/>
      <c r="W26" s="1572"/>
      <c r="X26" s="1573"/>
      <c r="Y26" s="3383"/>
      <c r="Z26" s="1153"/>
      <c r="AA26" s="1574">
        <v>1</v>
      </c>
      <c r="AB26" s="1574">
        <v>1</v>
      </c>
      <c r="AC26" s="1574">
        <v>1</v>
      </c>
    </row>
    <row r="27" spans="1:29" s="1223" customFormat="1" ht="28.5">
      <c r="A27" s="580"/>
      <c r="B27" s="2621"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83"/>
      <c r="Q27" s="2606" t="str">
        <f t="shared" ref="Q27" si="9">B27</f>
        <v>基础设施水平</v>
      </c>
      <c r="R27" s="1571" t="s">
        <v>8</v>
      </c>
      <c r="S27" s="1572">
        <f>F27</f>
        <v>100</v>
      </c>
      <c r="T27" s="1571" t="s">
        <v>8</v>
      </c>
      <c r="U27" s="1572">
        <f>H27</f>
        <v>100</v>
      </c>
      <c r="V27" s="1571" t="s">
        <v>8</v>
      </c>
      <c r="W27" s="1572">
        <f>J27</f>
        <v>100</v>
      </c>
      <c r="X27" s="1573"/>
      <c r="Y27" s="3383"/>
      <c r="Z27" s="2603" t="str">
        <f>Q27</f>
        <v>基础设施水平</v>
      </c>
      <c r="AA27" s="1579">
        <f>D27/F27</f>
        <v>1</v>
      </c>
      <c r="AB27" s="1579">
        <f>D27/H27</f>
        <v>1</v>
      </c>
      <c r="AC27" s="1579">
        <f>D27/J27</f>
        <v>1</v>
      </c>
    </row>
    <row r="28" spans="1:29" s="1223" customFormat="1" ht="15">
      <c r="A28" s="580"/>
      <c r="B28" s="598"/>
      <c r="C28" s="2620"/>
      <c r="D28" s="558"/>
      <c r="E28" s="582"/>
      <c r="F28" s="558"/>
      <c r="G28" s="582"/>
      <c r="H28" s="558"/>
      <c r="I28" s="582"/>
      <c r="J28" s="558"/>
      <c r="K28" s="534"/>
      <c r="L28" s="2139"/>
      <c r="M28" s="2140"/>
      <c r="N28" s="2140"/>
      <c r="O28" s="2141"/>
      <c r="P28" s="3383"/>
      <c r="Q28" s="2606"/>
      <c r="R28" s="1571"/>
      <c r="S28" s="1572"/>
      <c r="T28" s="1571"/>
      <c r="U28" s="1572"/>
      <c r="V28" s="1571"/>
      <c r="W28" s="1572"/>
      <c r="X28" s="1573"/>
      <c r="Y28" s="3383"/>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83"/>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3"/>
      <c r="Z29" s="1578" t="str">
        <f t="shared" ref="Z29:Z42" si="13">Q29</f>
        <v>临街状况</v>
      </c>
      <c r="AA29" s="1579">
        <f t="shared" si="3"/>
        <v>1</v>
      </c>
      <c r="AB29" s="1579">
        <f t="shared" si="4"/>
        <v>1</v>
      </c>
      <c r="AC29" s="1579">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83"/>
      <c r="Q30" s="1575" t="str">
        <f t="shared" si="8"/>
        <v>毗邻道路的类型与等级</v>
      </c>
      <c r="R30" s="1576" t="s">
        <v>8</v>
      </c>
      <c r="S30" s="1577">
        <f t="shared" si="10"/>
        <v>100</v>
      </c>
      <c r="T30" s="1576" t="s">
        <v>8</v>
      </c>
      <c r="U30" s="1577">
        <f t="shared" si="11"/>
        <v>100</v>
      </c>
      <c r="V30" s="1576" t="s">
        <v>8</v>
      </c>
      <c r="W30" s="1577">
        <f t="shared" si="12"/>
        <v>100</v>
      </c>
      <c r="X30" s="1570"/>
      <c r="Y30" s="3383"/>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83"/>
      <c r="Q31" s="1575"/>
      <c r="R31" s="1576"/>
      <c r="S31" s="1577"/>
      <c r="T31" s="1576"/>
      <c r="U31" s="1577"/>
      <c r="V31" s="1576"/>
      <c r="W31" s="1577"/>
      <c r="X31" s="1570"/>
      <c r="Y31" s="3383"/>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83"/>
      <c r="Q32" s="1575" t="str">
        <f t="shared" si="8"/>
        <v>土地级别</v>
      </c>
      <c r="R32" s="1576" t="s">
        <v>8</v>
      </c>
      <c r="S32" s="1577">
        <f t="shared" si="10"/>
        <v>100</v>
      </c>
      <c r="T32" s="1576" t="s">
        <v>8</v>
      </c>
      <c r="U32" s="1577">
        <f t="shared" si="11"/>
        <v>100</v>
      </c>
      <c r="V32" s="1576" t="s">
        <v>8</v>
      </c>
      <c r="W32" s="1577">
        <f t="shared" si="12"/>
        <v>100</v>
      </c>
      <c r="X32" s="1570"/>
      <c r="Y32" s="3383"/>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83"/>
      <c r="Q33" s="1575">
        <f t="shared" si="8"/>
        <v>111</v>
      </c>
      <c r="R33" s="1576" t="s">
        <v>8</v>
      </c>
      <c r="S33" s="1577">
        <f t="shared" si="10"/>
        <v>100</v>
      </c>
      <c r="T33" s="1576" t="s">
        <v>8</v>
      </c>
      <c r="U33" s="1577">
        <f t="shared" si="11"/>
        <v>100</v>
      </c>
      <c r="V33" s="1576" t="s">
        <v>8</v>
      </c>
      <c r="W33" s="1577">
        <f t="shared" si="12"/>
        <v>100</v>
      </c>
      <c r="X33" s="1570"/>
      <c r="Y33" s="3383"/>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84" t="s">
        <v>551</v>
      </c>
      <c r="Q34" s="1575">
        <f t="shared" si="8"/>
        <v>111</v>
      </c>
      <c r="R34" s="1576" t="s">
        <v>8</v>
      </c>
      <c r="S34" s="1577">
        <f t="shared" si="10"/>
        <v>100</v>
      </c>
      <c r="T34" s="1576" t="s">
        <v>8</v>
      </c>
      <c r="U34" s="1577">
        <f t="shared" si="11"/>
        <v>100</v>
      </c>
      <c r="V34" s="1576" t="s">
        <v>8</v>
      </c>
      <c r="W34" s="1577">
        <f t="shared" si="12"/>
        <v>100</v>
      </c>
      <c r="X34" s="1570"/>
      <c r="Y34" s="3385" t="s">
        <v>551</v>
      </c>
      <c r="Z34" s="1578">
        <f t="shared" si="13"/>
        <v>111</v>
      </c>
      <c r="AA34" s="1579">
        <f t="shared" si="3"/>
        <v>1</v>
      </c>
      <c r="AB34" s="1579">
        <f t="shared" si="4"/>
        <v>1</v>
      </c>
      <c r="AC34" s="1579">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85"/>
      <c r="Q35" s="1575">
        <f t="shared" si="8"/>
        <v>111</v>
      </c>
      <c r="R35" s="1580" t="s">
        <v>8</v>
      </c>
      <c r="S35" s="1581">
        <f t="shared" si="10"/>
        <v>100</v>
      </c>
      <c r="T35" s="1580" t="s">
        <v>8</v>
      </c>
      <c r="U35" s="1581">
        <f t="shared" si="11"/>
        <v>100</v>
      </c>
      <c r="V35" s="1580" t="s">
        <v>8</v>
      </c>
      <c r="W35" s="1581">
        <f t="shared" si="12"/>
        <v>100</v>
      </c>
      <c r="X35" s="1582"/>
      <c r="Y35" s="3385"/>
      <c r="Z35" s="1583">
        <f t="shared" si="13"/>
        <v>111</v>
      </c>
      <c r="AA35" s="1579">
        <f t="shared" si="3"/>
        <v>1</v>
      </c>
      <c r="AB35" s="1579">
        <f t="shared" si="4"/>
        <v>1</v>
      </c>
      <c r="AC35" s="1579">
        <f t="shared" si="5"/>
        <v>1</v>
      </c>
    </row>
    <row r="36" spans="1:29" ht="15">
      <c r="A36" s="2937"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85"/>
      <c r="Q36" s="1575" t="str">
        <f>B36</f>
        <v>宗地面积</v>
      </c>
      <c r="R36" s="1576" t="s">
        <v>8</v>
      </c>
      <c r="S36" s="1577" t="e">
        <f t="shared" si="10"/>
        <v>#N/A</v>
      </c>
      <c r="T36" s="1576" t="s">
        <v>8</v>
      </c>
      <c r="U36" s="1577" t="e">
        <f t="shared" si="11"/>
        <v>#N/A</v>
      </c>
      <c r="V36" s="1576" t="s">
        <v>8</v>
      </c>
      <c r="W36" s="1577" t="e">
        <f t="shared" si="12"/>
        <v>#N/A</v>
      </c>
      <c r="X36" s="1570"/>
      <c r="Y36" s="3385"/>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85"/>
      <c r="Q37" s="1575" t="str">
        <f t="shared" ref="Q37:Q42" si="14">B37</f>
        <v>宗地形状</v>
      </c>
      <c r="R37" s="1576" t="s">
        <v>8</v>
      </c>
      <c r="S37" s="1577">
        <f t="shared" si="10"/>
        <v>100</v>
      </c>
      <c r="T37" s="1576" t="s">
        <v>8</v>
      </c>
      <c r="U37" s="1577">
        <f t="shared" si="11"/>
        <v>100</v>
      </c>
      <c r="V37" s="1576" t="s">
        <v>8</v>
      </c>
      <c r="W37" s="1577">
        <f t="shared" si="12"/>
        <v>100</v>
      </c>
      <c r="X37" s="1570"/>
      <c r="Y37" s="3385"/>
      <c r="Z37" s="1578" t="str">
        <f t="shared" si="13"/>
        <v>宗地形状</v>
      </c>
      <c r="AA37" s="1579">
        <f t="shared" si="3"/>
        <v>1</v>
      </c>
      <c r="AB37" s="1579">
        <f t="shared" si="4"/>
        <v>1</v>
      </c>
      <c r="AC37" s="1579">
        <f t="shared" si="5"/>
        <v>1</v>
      </c>
    </row>
    <row r="38" spans="1:29" s="1223" customFormat="1" ht="15">
      <c r="A38" s="603"/>
      <c r="B38" s="1899"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85"/>
      <c r="Q38" s="1575" t="str">
        <f t="shared" si="14"/>
        <v>宗地开发程度</v>
      </c>
      <c r="R38" s="1571" t="s">
        <v>8</v>
      </c>
      <c r="S38" s="1572">
        <f t="shared" si="10"/>
        <v>100</v>
      </c>
      <c r="T38" s="1571" t="s">
        <v>8</v>
      </c>
      <c r="U38" s="1572">
        <f t="shared" si="11"/>
        <v>100</v>
      </c>
      <c r="V38" s="1571" t="s">
        <v>8</v>
      </c>
      <c r="W38" s="1572">
        <f t="shared" si="12"/>
        <v>100</v>
      </c>
      <c r="X38" s="1573"/>
      <c r="Y38" s="3385"/>
      <c r="Z38" s="1153"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85" t="s">
        <v>602</v>
      </c>
      <c r="Q39" s="1575" t="str">
        <f t="shared" si="14"/>
        <v>工程地质条件</v>
      </c>
      <c r="R39" s="1576" t="s">
        <v>8</v>
      </c>
      <c r="S39" s="1577">
        <f t="shared" si="10"/>
        <v>100</v>
      </c>
      <c r="T39" s="1576" t="s">
        <v>8</v>
      </c>
      <c r="U39" s="1577">
        <f t="shared" si="11"/>
        <v>100</v>
      </c>
      <c r="V39" s="1576" t="s">
        <v>8</v>
      </c>
      <c r="W39" s="1577">
        <f t="shared" si="12"/>
        <v>100</v>
      </c>
      <c r="X39" s="1570"/>
      <c r="Y39" s="3385"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85"/>
      <c r="Q40" s="1575">
        <f t="shared" si="14"/>
        <v>111</v>
      </c>
      <c r="R40" s="1576" t="s">
        <v>8</v>
      </c>
      <c r="S40" s="1577">
        <f t="shared" si="10"/>
        <v>100</v>
      </c>
      <c r="T40" s="1576" t="s">
        <v>8</v>
      </c>
      <c r="U40" s="1577">
        <f t="shared" si="11"/>
        <v>100</v>
      </c>
      <c r="V40" s="1576" t="s">
        <v>8</v>
      </c>
      <c r="W40" s="1577">
        <f t="shared" si="12"/>
        <v>100</v>
      </c>
      <c r="X40" s="1570"/>
      <c r="Y40" s="3385"/>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85"/>
      <c r="Q41" s="1575">
        <f t="shared" si="14"/>
        <v>111</v>
      </c>
      <c r="R41" s="1576" t="s">
        <v>8</v>
      </c>
      <c r="S41" s="1577">
        <f t="shared" si="10"/>
        <v>100</v>
      </c>
      <c r="T41" s="1576" t="s">
        <v>8</v>
      </c>
      <c r="U41" s="1577">
        <f t="shared" si="11"/>
        <v>100</v>
      </c>
      <c r="V41" s="1576" t="s">
        <v>8</v>
      </c>
      <c r="W41" s="1577">
        <f t="shared" si="12"/>
        <v>100</v>
      </c>
      <c r="X41" s="1570"/>
      <c r="Y41" s="3385"/>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85"/>
      <c r="Q42" s="1575">
        <f t="shared" si="14"/>
        <v>111</v>
      </c>
      <c r="R42" s="1580" t="s">
        <v>8</v>
      </c>
      <c r="S42" s="1581">
        <f t="shared" si="10"/>
        <v>100</v>
      </c>
      <c r="T42" s="1580" t="s">
        <v>8</v>
      </c>
      <c r="U42" s="1581">
        <f t="shared" si="11"/>
        <v>100</v>
      </c>
      <c r="V42" s="1580" t="s">
        <v>8</v>
      </c>
      <c r="W42" s="1581">
        <f t="shared" si="12"/>
        <v>100</v>
      </c>
      <c r="X42" s="1582"/>
      <c r="Y42" s="3385"/>
      <c r="Z42" s="1583">
        <f t="shared" si="13"/>
        <v>111</v>
      </c>
      <c r="AA42" s="1579">
        <f t="shared" si="3"/>
        <v>1</v>
      </c>
      <c r="AB42" s="1579">
        <f t="shared" si="4"/>
        <v>1</v>
      </c>
      <c r="AC42" s="1579">
        <f t="shared" si="5"/>
        <v>1</v>
      </c>
    </row>
    <row r="43" spans="1:29" ht="15">
      <c r="A43" s="610" t="s">
        <v>557</v>
      </c>
      <c r="B43" s="611" t="s">
        <v>2938</v>
      </c>
      <c r="C43" s="612" t="s">
        <v>1</v>
      </c>
      <c r="D43" s="613"/>
      <c r="E43" s="614"/>
      <c r="F43" s="615"/>
      <c r="G43" s="616"/>
      <c r="H43" s="617"/>
      <c r="I43" s="614"/>
      <c r="J43" s="617"/>
      <c r="K43" s="1343"/>
      <c r="L43" s="2148"/>
      <c r="M43" s="2138"/>
      <c r="N43" s="2138"/>
      <c r="O43" s="2149"/>
      <c r="P43" s="3380" t="str">
        <f>A43</f>
        <v>成交单价</v>
      </c>
      <c r="Q43" s="3380"/>
      <c r="R43" s="3394">
        <f>E43</f>
        <v>0</v>
      </c>
      <c r="S43" s="3394"/>
      <c r="T43" s="3394">
        <f>G43</f>
        <v>0</v>
      </c>
      <c r="U43" s="3394"/>
      <c r="V43" s="3394">
        <f>I43</f>
        <v>0</v>
      </c>
      <c r="W43" s="3394"/>
      <c r="X43" s="1562"/>
      <c r="Y43" s="1584"/>
      <c r="Z43" s="1562"/>
      <c r="AA43" s="1562"/>
      <c r="AB43" s="1562"/>
      <c r="AC43" s="1562"/>
    </row>
    <row r="44" spans="1:29" ht="15.75" thickBot="1">
      <c r="A44" s="618" t="s">
        <v>2701</v>
      </c>
      <c r="B44" s="619"/>
      <c r="C44" s="620" t="e">
        <f>R45</f>
        <v>#DIV/0!</v>
      </c>
      <c r="D44" s="621"/>
      <c r="E44" s="620" t="e">
        <f>R44</f>
        <v>#DIV/0!</v>
      </c>
      <c r="F44" s="622"/>
      <c r="G44" s="623" t="e">
        <f>T44</f>
        <v>#DIV/0!</v>
      </c>
      <c r="H44" s="621"/>
      <c r="I44" s="620" t="e">
        <f>V44</f>
        <v>#DIV/0!</v>
      </c>
      <c r="J44" s="621"/>
      <c r="K44" s="1344"/>
      <c r="L44" s="2148"/>
      <c r="M44" s="2138"/>
      <c r="N44" s="2138"/>
      <c r="O44" s="2149"/>
      <c r="P44" s="3380" t="str">
        <f>A44</f>
        <v>比较价格（元/平方米）</v>
      </c>
      <c r="Q44" s="3380"/>
      <c r="R44" s="3405" t="e">
        <f>ROUND(PRODUCT(R43,AA9:AA42),0)</f>
        <v>#DIV/0!</v>
      </c>
      <c r="S44" s="3405"/>
      <c r="T44" s="3405" t="e">
        <f>ROUND(PRODUCT(T43,AB9:AB42),0)</f>
        <v>#DIV/0!</v>
      </c>
      <c r="U44" s="3405"/>
      <c r="V44" s="3405" t="e">
        <f>ROUND(PRODUCT(V43,AC9:AC42),0)</f>
        <v>#DIV/0!</v>
      </c>
      <c r="W44" s="3405"/>
      <c r="X44" s="1562"/>
      <c r="Y44" s="1562"/>
      <c r="Z44" s="1562"/>
      <c r="AA44" s="1562"/>
      <c r="AB44" s="1562"/>
      <c r="AC44" s="1562"/>
    </row>
    <row r="45" spans="1:29" ht="15.75" thickBot="1">
      <c r="A45" s="624" t="s">
        <v>2939</v>
      </c>
      <c r="B45" s="625"/>
      <c r="C45" s="626" t="e">
        <f>R45</f>
        <v>#DIV/0!</v>
      </c>
      <c r="D45" s="626"/>
      <c r="E45" s="626"/>
      <c r="F45" s="626"/>
      <c r="G45" s="626"/>
      <c r="H45" s="626"/>
      <c r="I45" s="626"/>
      <c r="J45" s="626"/>
      <c r="K45" s="1345"/>
      <c r="L45" s="2148"/>
      <c r="M45" s="2138"/>
      <c r="N45" s="2138"/>
      <c r="O45" s="2149"/>
      <c r="P45" s="3402" t="str">
        <f>A45</f>
        <v>估价对象XX用房的比较价格（楼面单价，元/平方米）</v>
      </c>
      <c r="Q45" s="3403"/>
      <c r="R45" s="3404" t="e">
        <f>ROUND(AVERAGE(R44:V44),0)</f>
        <v>#DIV/0!</v>
      </c>
      <c r="S45" s="3404"/>
      <c r="T45" s="3404"/>
      <c r="U45" s="3404"/>
      <c r="V45" s="3404"/>
      <c r="W45" s="3404"/>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1725</v>
      </c>
      <c r="D52" s="2231" t="s">
        <v>2296</v>
      </c>
      <c r="E52" s="634" t="s">
        <v>563</v>
      </c>
      <c r="F52" s="1955" t="s">
        <v>564</v>
      </c>
      <c r="G52" s="3406" t="s">
        <v>2287</v>
      </c>
      <c r="H52" s="3407"/>
      <c r="I52" s="1956" t="s">
        <v>1948</v>
      </c>
      <c r="J52" s="1558">
        <f>项目基本情况!F41</f>
        <v>0</v>
      </c>
      <c r="K52" s="2158" t="s">
        <v>1724</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234518.9</v>
      </c>
      <c r="F53" s="1954" t="e">
        <f t="shared" ref="F53:F62" si="15">ROUND(B53*E53/10000,0)</f>
        <v>#DIV/0!</v>
      </c>
      <c r="G53" s="3408"/>
      <c r="H53" s="3409"/>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10" t="s">
        <v>2288</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10"/>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10"/>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10"/>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2331</v>
      </c>
      <c r="B58" s="641" t="e">
        <f t="shared" si="17"/>
        <v>#DIV/0!</v>
      </c>
      <c r="C58" s="381">
        <f t="shared" si="16"/>
        <v>0.25</v>
      </c>
      <c r="D58" s="2233">
        <v>0.25</v>
      </c>
      <c r="E58" s="644">
        <f>'数据-汇总表'!E11</f>
        <v>452.28</v>
      </c>
      <c r="F58" s="1954" t="e">
        <f t="shared" si="15"/>
        <v>#DIV/0!</v>
      </c>
      <c r="G58" s="1960" t="s">
        <v>2289</v>
      </c>
      <c r="H58" s="1959" t="str">
        <f>项目基本情况!C43</f>
        <v>五级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0.25</v>
      </c>
      <c r="D59" s="2233">
        <v>0.25</v>
      </c>
      <c r="E59" s="644">
        <f>'数据-汇总表'!E12</f>
        <v>20759.810000000005</v>
      </c>
      <c r="F59" s="1954" t="e">
        <f t="shared" si="15"/>
        <v>#DIV/0!</v>
      </c>
      <c r="G59" s="1950" t="s">
        <v>1678</v>
      </c>
      <c r="H59" s="1958" t="str">
        <f>IF(G59="商业",项目基本情况!B43,IF(G59="办公",项目基本情况!C43,IF(G59="住宅",项目基本情况!D43,项目基本情况!E43)))</f>
        <v>五级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0.2</v>
      </c>
      <c r="D60" s="2233">
        <v>0.25</v>
      </c>
      <c r="E60" s="644">
        <f>'数据-汇总表'!E13</f>
        <v>31012.010000000002</v>
      </c>
      <c r="F60" s="1954" t="e">
        <f t="shared" si="15"/>
        <v>#DIV/0!</v>
      </c>
      <c r="G60" s="1950" t="s">
        <v>923</v>
      </c>
      <c r="H60" s="1958" t="str">
        <f>IF(G60="商业",项目基本情况!B43,IF(G60="办公",项目基本情况!C43,IF(G60="住宅",项目基本情况!D43,项目基本情况!E43)))</f>
        <v>五级</v>
      </c>
      <c r="I60" s="1957">
        <f>SUMIF(修正!$A$45:$A$56,H60,修正!H45:H56)</f>
        <v>0.2</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2288</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0.2</v>
      </c>
      <c r="D62" s="2233">
        <v>0.25</v>
      </c>
      <c r="E62" s="644">
        <f>'数据-汇总表'!E15</f>
        <v>0</v>
      </c>
      <c r="F62" s="1954" t="e">
        <f t="shared" si="15"/>
        <v>#DIV/0!</v>
      </c>
      <c r="G62" s="1961" t="s">
        <v>2289</v>
      </c>
      <c r="H62" s="1962" t="str">
        <f>项目基本情况!C43</f>
        <v>五级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2297</v>
      </c>
      <c r="E63" s="646">
        <f>IF(B43="楼面地价",SUM(E53:E62),'数据-汇总表'!D3)</f>
        <v>97801.4</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2017-11-1</v>
      </c>
      <c r="D65" s="2829">
        <f>EDATE(C65,-3)</f>
        <v>42948</v>
      </c>
      <c r="E65" s="2829">
        <f t="shared" ref="E65:N65" si="18">EDATE(D65,-3)</f>
        <v>42856</v>
      </c>
      <c r="F65" s="2829">
        <f t="shared" si="18"/>
        <v>42767</v>
      </c>
      <c r="G65" s="2829">
        <f t="shared" si="18"/>
        <v>42675</v>
      </c>
      <c r="H65" s="2829">
        <f t="shared" si="18"/>
        <v>42583</v>
      </c>
      <c r="I65" s="2829">
        <f t="shared" si="18"/>
        <v>42491</v>
      </c>
      <c r="J65" s="2829">
        <f t="shared" si="18"/>
        <v>42401</v>
      </c>
      <c r="K65" s="2829">
        <f t="shared" si="18"/>
        <v>42309</v>
      </c>
      <c r="L65" s="2829">
        <f t="shared" si="18"/>
        <v>42217</v>
      </c>
      <c r="M65" s="2829">
        <f t="shared" si="18"/>
        <v>42125</v>
      </c>
      <c r="N65" s="2829">
        <f t="shared" si="18"/>
        <v>42036</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50" customFormat="1" ht="15">
      <c r="A67" s="2596" t="s">
        <v>2539</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28" t="s">
        <v>2657</v>
      </c>
      <c r="B68" s="482" t="str">
        <f>"北京市平均增长率"&amp;TEXT(基准地价!P24,"0.00%")</f>
        <v>北京市平均增长率1.39%</v>
      </c>
      <c r="C68" s="897">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2556</v>
      </c>
      <c r="C95" s="2626" t="s">
        <v>2557</v>
      </c>
      <c r="D95" s="2626" t="s">
        <v>2558</v>
      </c>
      <c r="E95" s="2626" t="s">
        <v>2559</v>
      </c>
      <c r="F95" s="2626" t="s">
        <v>2560</v>
      </c>
      <c r="G95" s="2626" t="s">
        <v>2561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2429</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2" customFormat="1" ht="19.5" customHeight="1">
      <c r="A18" s="3417" t="s">
        <v>1008</v>
      </c>
      <c r="B18" s="1157" t="s">
        <v>1447</v>
      </c>
      <c r="C18" s="1134" t="s">
        <v>1448</v>
      </c>
      <c r="D18" s="1135"/>
      <c r="E18" s="1157">
        <v>1</v>
      </c>
      <c r="F18" s="1136" t="s">
        <v>1449</v>
      </c>
      <c r="G18" s="1137"/>
      <c r="H18" s="1108"/>
      <c r="I18" s="1108"/>
    </row>
    <row r="19" spans="1:9" s="1602" customFormat="1" ht="19.5" customHeight="1">
      <c r="A19" s="3417"/>
      <c r="B19" s="3417" t="s">
        <v>1450</v>
      </c>
      <c r="C19" s="1134" t="s">
        <v>1451</v>
      </c>
      <c r="D19" s="1135"/>
      <c r="E19" s="1157">
        <v>0.9</v>
      </c>
      <c r="F19" s="1136" t="s">
        <v>1452</v>
      </c>
      <c r="G19" s="1137"/>
      <c r="H19" s="1108"/>
      <c r="I19" s="1108"/>
    </row>
    <row r="20" spans="1:9" s="1602" customFormat="1" ht="19.5" customHeight="1">
      <c r="A20" s="3417"/>
      <c r="B20" s="3417"/>
      <c r="C20" s="1134" t="s">
        <v>1453</v>
      </c>
      <c r="D20" s="1135"/>
      <c r="E20" s="1157">
        <v>1.1000000000000001</v>
      </c>
      <c r="F20" s="1136" t="s">
        <v>1454</v>
      </c>
      <c r="G20" s="1137"/>
      <c r="H20" s="1108"/>
      <c r="I20" s="1108"/>
    </row>
    <row r="21" spans="1:9" s="1602" customFormat="1" ht="19.5" customHeight="1">
      <c r="A21" s="3417"/>
      <c r="B21" s="3417"/>
      <c r="C21" s="1134" t="s">
        <v>1455</v>
      </c>
      <c r="D21" s="1135"/>
      <c r="E21" s="1157">
        <v>0.8</v>
      </c>
      <c r="F21" s="1136" t="s">
        <v>1456</v>
      </c>
      <c r="G21" s="1137"/>
      <c r="H21" s="1108"/>
      <c r="I21" s="1108"/>
    </row>
    <row r="22" spans="1:9" s="1602" customFormat="1" ht="19.5" customHeight="1">
      <c r="A22" s="3417"/>
      <c r="B22" s="3417"/>
      <c r="C22" s="1134" t="s">
        <v>1457</v>
      </c>
      <c r="D22" s="1135"/>
      <c r="E22" s="1157">
        <v>0.5</v>
      </c>
      <c r="F22" s="1136"/>
      <c r="G22" s="1137"/>
      <c r="H22" s="1108"/>
      <c r="I22" s="1108"/>
    </row>
    <row r="23" spans="1:9" s="1602" customFormat="1" ht="19.5" customHeight="1">
      <c r="A23" s="3417" t="s">
        <v>1030</v>
      </c>
      <c r="B23" s="1157" t="s">
        <v>1447</v>
      </c>
      <c r="C23" s="1134" t="s">
        <v>1458</v>
      </c>
      <c r="D23" s="1135"/>
      <c r="E23" s="1157">
        <v>1</v>
      </c>
      <c r="F23" s="1136" t="s">
        <v>1459</v>
      </c>
      <c r="G23" s="1137"/>
      <c r="H23" s="1108"/>
      <c r="I23" s="1108"/>
    </row>
    <row r="24" spans="1:9" s="1602" customFormat="1" ht="19.5" customHeight="1">
      <c r="A24" s="3417"/>
      <c r="B24" s="3417" t="s">
        <v>1450</v>
      </c>
      <c r="C24" s="1134" t="s">
        <v>1460</v>
      </c>
      <c r="D24" s="1135"/>
      <c r="E24" s="1157">
        <v>0.5</v>
      </c>
      <c r="F24" s="1136"/>
      <c r="G24" s="1137"/>
      <c r="H24" s="1108"/>
      <c r="I24" s="1108"/>
    </row>
    <row r="25" spans="1:9" s="1602" customFormat="1" ht="19.5" customHeight="1">
      <c r="A25" s="3417"/>
      <c r="B25" s="3417"/>
      <c r="C25" s="1134" t="s">
        <v>1461</v>
      </c>
      <c r="D25" s="1135"/>
      <c r="E25" s="1157">
        <v>1.1000000000000001</v>
      </c>
      <c r="F25" s="1136"/>
      <c r="G25" s="1137"/>
      <c r="H25" s="1108"/>
      <c r="I25" s="1108"/>
    </row>
    <row r="26" spans="1:9" s="1602" customFormat="1" ht="19.5" customHeight="1">
      <c r="A26" s="3417"/>
      <c r="B26" s="3417"/>
      <c r="C26" s="1134" t="s">
        <v>1462</v>
      </c>
      <c r="D26" s="1135"/>
      <c r="E26" s="1157">
        <v>1.1000000000000001</v>
      </c>
      <c r="F26" s="1136"/>
      <c r="G26" s="1137"/>
      <c r="H26" s="1108"/>
      <c r="I26" s="1108"/>
    </row>
    <row r="27" spans="1:9" s="1602" customFormat="1" ht="19.5" customHeight="1">
      <c r="A27" s="3417"/>
      <c r="B27" s="3417"/>
      <c r="C27" s="1134" t="s">
        <v>1463</v>
      </c>
      <c r="D27" s="1135"/>
      <c r="E27" s="1157">
        <v>0.9</v>
      </c>
      <c r="F27" s="1136" t="s">
        <v>1464</v>
      </c>
      <c r="G27" s="1137"/>
      <c r="H27" s="1108"/>
      <c r="I27" s="1108"/>
    </row>
    <row r="28" spans="1:9" s="1602" customFormat="1" ht="19.5" customHeight="1">
      <c r="A28" s="3417"/>
      <c r="B28" s="3417"/>
      <c r="C28" s="1134" t="s">
        <v>1465</v>
      </c>
      <c r="D28" s="1135"/>
      <c r="E28" s="1157">
        <v>0.9</v>
      </c>
      <c r="F28" s="1136" t="s">
        <v>1466</v>
      </c>
      <c r="G28" s="1137"/>
      <c r="H28" s="1108"/>
      <c r="I28" s="1108"/>
    </row>
    <row r="29" spans="1:9" s="1602" customFormat="1" ht="19.5" customHeight="1">
      <c r="A29" s="3417"/>
      <c r="B29" s="3417"/>
      <c r="C29" s="1134" t="s">
        <v>1467</v>
      </c>
      <c r="D29" s="1135"/>
      <c r="E29" s="1157">
        <v>0.9</v>
      </c>
      <c r="F29" s="1136" t="s">
        <v>1468</v>
      </c>
      <c r="G29" s="1137"/>
      <c r="H29" s="1108"/>
      <c r="I29" s="1108"/>
    </row>
    <row r="30" spans="1:9" s="1602" customFormat="1" ht="19.5" customHeight="1">
      <c r="A30" s="3417"/>
      <c r="B30" s="3417"/>
      <c r="C30" s="1134" t="s">
        <v>1469</v>
      </c>
      <c r="D30" s="1135"/>
      <c r="E30" s="1157">
        <v>0.9</v>
      </c>
      <c r="F30" s="1136" t="s">
        <v>1470</v>
      </c>
      <c r="G30" s="1137"/>
      <c r="H30" s="1108"/>
      <c r="I30" s="1108"/>
    </row>
    <row r="31" spans="1:9" s="1602" customFormat="1" ht="19.5" customHeight="1">
      <c r="A31" s="3417"/>
      <c r="B31" s="3417"/>
      <c r="C31" s="1134" t="s">
        <v>1471</v>
      </c>
      <c r="D31" s="1135"/>
      <c r="E31" s="1157">
        <v>0.8</v>
      </c>
      <c r="F31" s="1136" t="s">
        <v>1472</v>
      </c>
      <c r="G31" s="1137"/>
      <c r="H31" s="1108"/>
      <c r="I31" s="1108"/>
    </row>
    <row r="32" spans="1:9" s="1602" customFormat="1" ht="19.5" customHeight="1">
      <c r="A32" s="3417"/>
      <c r="B32" s="3417"/>
      <c r="C32" s="1134" t="s">
        <v>1473</v>
      </c>
      <c r="D32" s="1135"/>
      <c r="E32" s="1157">
        <v>0.8</v>
      </c>
      <c r="F32" s="1136" t="s">
        <v>1474</v>
      </c>
      <c r="G32" s="1137"/>
      <c r="H32" s="1108"/>
      <c r="I32" s="1108"/>
    </row>
    <row r="33" spans="1:9" s="1602" customFormat="1" ht="19.5" customHeight="1">
      <c r="A33" s="3417" t="s">
        <v>1475</v>
      </c>
      <c r="B33" s="1157" t="s">
        <v>1447</v>
      </c>
      <c r="C33" s="1134" t="s">
        <v>1476</v>
      </c>
      <c r="D33" s="1135"/>
      <c r="E33" s="1157">
        <v>1</v>
      </c>
      <c r="F33" s="1136" t="s">
        <v>1477</v>
      </c>
      <c r="G33" s="1137"/>
      <c r="H33" s="1108"/>
      <c r="I33" s="1108"/>
    </row>
    <row r="34" spans="1:9" s="1602" customFormat="1" ht="19.5" customHeight="1">
      <c r="A34" s="3417"/>
      <c r="B34" s="1157" t="s">
        <v>1450</v>
      </c>
      <c r="C34" s="1134" t="s">
        <v>1478</v>
      </c>
      <c r="D34" s="1135"/>
      <c r="E34" s="1157">
        <v>1.5</v>
      </c>
      <c r="F34" s="1136" t="s">
        <v>1479</v>
      </c>
      <c r="G34" s="1137"/>
      <c r="H34" s="1108"/>
      <c r="I34" s="1108"/>
    </row>
    <row r="35" spans="1:9" s="1602" customFormat="1" ht="19.5" customHeight="1">
      <c r="A35" s="3417" t="s">
        <v>1433</v>
      </c>
      <c r="B35" s="1157" t="s">
        <v>1447</v>
      </c>
      <c r="C35" s="1134" t="s">
        <v>1480</v>
      </c>
      <c r="D35" s="1135"/>
      <c r="E35" s="1157">
        <v>1</v>
      </c>
      <c r="F35" s="1136" t="s">
        <v>1481</v>
      </c>
      <c r="G35" s="1137"/>
      <c r="H35" s="1108"/>
      <c r="I35" s="1108"/>
    </row>
    <row r="36" spans="1:9" s="1602" customFormat="1" ht="19.5" customHeight="1">
      <c r="A36" s="3417"/>
      <c r="B36" s="3417" t="s">
        <v>1450</v>
      </c>
      <c r="C36" s="1134" t="s">
        <v>1482</v>
      </c>
      <c r="D36" s="1135"/>
      <c r="E36" s="1157">
        <v>1</v>
      </c>
      <c r="F36" s="1136" t="s">
        <v>1483</v>
      </c>
      <c r="G36" s="1137"/>
      <c r="H36" s="1108"/>
      <c r="I36" s="1108"/>
    </row>
    <row r="37" spans="1:9" s="1602" customFormat="1" ht="19.5" customHeight="1">
      <c r="A37" s="3417"/>
      <c r="B37" s="3417"/>
      <c r="C37" s="1134" t="s">
        <v>1484</v>
      </c>
      <c r="D37" s="1135"/>
      <c r="E37" s="1157">
        <v>1.5</v>
      </c>
      <c r="F37" s="1136" t="s">
        <v>1485</v>
      </c>
      <c r="G37" s="1137"/>
      <c r="H37" s="1108"/>
      <c r="I37" s="1108"/>
    </row>
    <row r="38" spans="1:9" s="1602" customFormat="1" ht="19.5" customHeight="1">
      <c r="A38" s="3417"/>
      <c r="B38" s="3417"/>
      <c r="C38" s="1134" t="s">
        <v>1486</v>
      </c>
      <c r="D38" s="1135"/>
      <c r="E38" s="1157">
        <v>1</v>
      </c>
      <c r="F38" s="1136" t="s">
        <v>1487</v>
      </c>
      <c r="G38" s="1137"/>
      <c r="H38" s="1108"/>
      <c r="I38" s="1108"/>
    </row>
    <row r="39" spans="1:9" s="1602" customFormat="1" ht="19.5" customHeight="1">
      <c r="A39" s="3417"/>
      <c r="B39" s="3417"/>
      <c r="C39" s="1134" t="s">
        <v>1488</v>
      </c>
      <c r="D39" s="1135"/>
      <c r="E39" s="1157">
        <v>1</v>
      </c>
      <c r="F39" s="1136" t="s">
        <v>1489</v>
      </c>
      <c r="G39" s="1137"/>
      <c r="H39" s="1108"/>
      <c r="I39" s="1108"/>
    </row>
    <row r="40" spans="1:9" s="1602" customFormat="1" ht="19.5" customHeight="1">
      <c r="A40" s="1603" t="s">
        <v>1490</v>
      </c>
      <c r="B40" s="1603"/>
      <c r="C40" s="1603"/>
      <c r="D40" s="1603"/>
      <c r="E40" s="1603"/>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17" t="s">
        <v>1502</v>
      </c>
      <c r="C61" s="1071" t="s">
        <v>1503</v>
      </c>
      <c r="D61" s="1071" t="s">
        <v>1504</v>
      </c>
      <c r="E61" s="1142">
        <v>0.5</v>
      </c>
      <c r="F61" s="1157">
        <v>80</v>
      </c>
      <c r="H61" s="1108">
        <f>SUMIF(C59:C119,基准地价!C8,E59:E119)</f>
        <v>0</v>
      </c>
    </row>
    <row r="62" spans="1:8" s="1108" customFormat="1" ht="24">
      <c r="A62" s="1157">
        <v>2</v>
      </c>
      <c r="B62" s="3417"/>
      <c r="C62" s="1071" t="s">
        <v>1505</v>
      </c>
      <c r="D62" s="1071" t="s">
        <v>1506</v>
      </c>
      <c r="E62" s="1142">
        <v>0.5</v>
      </c>
      <c r="F62" s="1157">
        <v>80</v>
      </c>
    </row>
    <row r="63" spans="1:8" s="1108" customFormat="1" ht="36">
      <c r="A63" s="1157">
        <v>3</v>
      </c>
      <c r="B63" s="3417"/>
      <c r="C63" s="1071" t="s">
        <v>1507</v>
      </c>
      <c r="D63" s="1071" t="s">
        <v>1508</v>
      </c>
      <c r="E63" s="1142">
        <v>0.5</v>
      </c>
      <c r="F63" s="1157">
        <v>80</v>
      </c>
    </row>
    <row r="64" spans="1:8" s="1108" customFormat="1" ht="36">
      <c r="A64" s="1157">
        <v>4</v>
      </c>
      <c r="B64" s="3417"/>
      <c r="C64" s="1071" t="s">
        <v>1509</v>
      </c>
      <c r="D64" s="1071" t="s">
        <v>1510</v>
      </c>
      <c r="E64" s="1142">
        <v>0.4</v>
      </c>
      <c r="F64" s="1157">
        <v>60</v>
      </c>
    </row>
    <row r="65" spans="1:6" s="1108" customFormat="1" ht="36">
      <c r="A65" s="1157">
        <v>5</v>
      </c>
      <c r="B65" s="3417"/>
      <c r="C65" s="1071" t="s">
        <v>1511</v>
      </c>
      <c r="D65" s="1071" t="s">
        <v>1512</v>
      </c>
      <c r="E65" s="1142">
        <v>0.2</v>
      </c>
      <c r="F65" s="1157">
        <v>30</v>
      </c>
    </row>
    <row r="66" spans="1:6" s="1108" customFormat="1" ht="36">
      <c r="A66" s="1157">
        <v>6</v>
      </c>
      <c r="B66" s="3417"/>
      <c r="C66" s="1071" t="s">
        <v>1513</v>
      </c>
      <c r="D66" s="1071" t="s">
        <v>1514</v>
      </c>
      <c r="E66" s="1142">
        <v>0.3</v>
      </c>
      <c r="F66" s="1157">
        <v>50</v>
      </c>
    </row>
    <row r="67" spans="1:6" s="1108" customFormat="1" ht="36">
      <c r="A67" s="1157">
        <v>7</v>
      </c>
      <c r="B67" s="3417"/>
      <c r="C67" s="1071" t="s">
        <v>1515</v>
      </c>
      <c r="D67" s="1071" t="s">
        <v>1516</v>
      </c>
      <c r="E67" s="1142">
        <v>0.2</v>
      </c>
      <c r="F67" s="1157">
        <v>30</v>
      </c>
    </row>
    <row r="68" spans="1:6" s="1108" customFormat="1" ht="36">
      <c r="A68" s="1157">
        <v>8</v>
      </c>
      <c r="B68" s="3417"/>
      <c r="C68" s="1071" t="s">
        <v>1517</v>
      </c>
      <c r="D68" s="1071" t="s">
        <v>1518</v>
      </c>
      <c r="E68" s="1142">
        <v>0.2</v>
      </c>
      <c r="F68" s="1157">
        <v>30</v>
      </c>
    </row>
    <row r="69" spans="1:6" s="1108" customFormat="1" ht="36">
      <c r="A69" s="1157">
        <v>9</v>
      </c>
      <c r="B69" s="3417"/>
      <c r="C69" s="1071" t="s">
        <v>1519</v>
      </c>
      <c r="D69" s="1071" t="s">
        <v>1520</v>
      </c>
      <c r="E69" s="1142">
        <v>0.2</v>
      </c>
      <c r="F69" s="1157">
        <v>30</v>
      </c>
    </row>
    <row r="70" spans="1:6" s="1108" customFormat="1" ht="48">
      <c r="A70" s="1157">
        <v>10</v>
      </c>
      <c r="B70" s="3417"/>
      <c r="C70" s="1071" t="s">
        <v>1521</v>
      </c>
      <c r="D70" s="1071" t="s">
        <v>1522</v>
      </c>
      <c r="E70" s="1142">
        <v>0.2</v>
      </c>
      <c r="F70" s="1157">
        <v>30</v>
      </c>
    </row>
    <row r="71" spans="1:6" s="1108" customFormat="1" ht="48">
      <c r="A71" s="1157">
        <v>11</v>
      </c>
      <c r="B71" s="3417"/>
      <c r="C71" s="1071" t="s">
        <v>1523</v>
      </c>
      <c r="D71" s="1071" t="s">
        <v>1524</v>
      </c>
      <c r="E71" s="1142">
        <v>0.2</v>
      </c>
      <c r="F71" s="1157">
        <v>30</v>
      </c>
    </row>
    <row r="72" spans="1:6" s="1108" customFormat="1" ht="36">
      <c r="A72" s="1157">
        <v>12</v>
      </c>
      <c r="B72" s="3417"/>
      <c r="C72" s="1071" t="s">
        <v>1525</v>
      </c>
      <c r="D72" s="1071" t="s">
        <v>1526</v>
      </c>
      <c r="E72" s="1142">
        <v>0.5</v>
      </c>
      <c r="F72" s="1157">
        <v>80</v>
      </c>
    </row>
    <row r="73" spans="1:6" s="1108" customFormat="1" ht="24">
      <c r="A73" s="1157">
        <v>13</v>
      </c>
      <c r="B73" s="3417"/>
      <c r="C73" s="1071" t="s">
        <v>1527</v>
      </c>
      <c r="D73" s="1071" t="s">
        <v>1528</v>
      </c>
      <c r="E73" s="1142">
        <v>0.4</v>
      </c>
      <c r="F73" s="1157">
        <v>60</v>
      </c>
    </row>
    <row r="74" spans="1:6" s="1108" customFormat="1" ht="24">
      <c r="A74" s="1157">
        <v>14</v>
      </c>
      <c r="B74" s="3417"/>
      <c r="C74" s="1071" t="s">
        <v>1529</v>
      </c>
      <c r="D74" s="1071" t="s">
        <v>1530</v>
      </c>
      <c r="E74" s="1142">
        <v>0.2</v>
      </c>
      <c r="F74" s="1157">
        <v>30</v>
      </c>
    </row>
    <row r="75" spans="1:6" s="1108" customFormat="1" ht="24">
      <c r="A75" s="1157">
        <v>15</v>
      </c>
      <c r="B75" s="3417"/>
      <c r="C75" s="1071" t="s">
        <v>1531</v>
      </c>
      <c r="D75" s="1071" t="s">
        <v>1532</v>
      </c>
      <c r="E75" s="1142">
        <v>0.2</v>
      </c>
      <c r="F75" s="1157">
        <v>30</v>
      </c>
    </row>
    <row r="76" spans="1:6" s="1108" customFormat="1" ht="24">
      <c r="A76" s="1157">
        <v>16</v>
      </c>
      <c r="B76" s="3417" t="s">
        <v>1533</v>
      </c>
      <c r="C76" s="1071" t="s">
        <v>1534</v>
      </c>
      <c r="D76" s="1071" t="s">
        <v>1535</v>
      </c>
      <c r="E76" s="1142">
        <v>0.5</v>
      </c>
      <c r="F76" s="1157">
        <v>80</v>
      </c>
    </row>
    <row r="77" spans="1:6" s="1108" customFormat="1" ht="24">
      <c r="A77" s="1157">
        <v>17</v>
      </c>
      <c r="B77" s="3417"/>
      <c r="C77" s="1071" t="s">
        <v>1536</v>
      </c>
      <c r="D77" s="1071" t="s">
        <v>1537</v>
      </c>
      <c r="E77" s="1142">
        <v>0.5</v>
      </c>
      <c r="F77" s="1157">
        <v>80</v>
      </c>
    </row>
    <row r="78" spans="1:6" s="1108" customFormat="1" ht="24">
      <c r="A78" s="1157">
        <v>18</v>
      </c>
      <c r="B78" s="3417"/>
      <c r="C78" s="1071" t="s">
        <v>1538</v>
      </c>
      <c r="D78" s="1071" t="s">
        <v>1539</v>
      </c>
      <c r="E78" s="1142">
        <v>0.2</v>
      </c>
      <c r="F78" s="1157">
        <v>30</v>
      </c>
    </row>
    <row r="79" spans="1:6" s="1108" customFormat="1" ht="24">
      <c r="A79" s="1157">
        <v>19</v>
      </c>
      <c r="B79" s="3417"/>
      <c r="C79" s="1071" t="s">
        <v>1540</v>
      </c>
      <c r="D79" s="1071" t="s">
        <v>1541</v>
      </c>
      <c r="E79" s="1142">
        <v>0.5</v>
      </c>
      <c r="F79" s="1157">
        <v>80</v>
      </c>
    </row>
    <row r="80" spans="1:6" s="1108" customFormat="1" ht="36">
      <c r="A80" s="1157">
        <v>20</v>
      </c>
      <c r="B80" s="3417"/>
      <c r="C80" s="1071" t="s">
        <v>1542</v>
      </c>
      <c r="D80" s="1071" t="s">
        <v>1543</v>
      </c>
      <c r="E80" s="1142">
        <v>0.2</v>
      </c>
      <c r="F80" s="1157">
        <v>30</v>
      </c>
    </row>
    <row r="81" spans="1:6" s="1108" customFormat="1" ht="36">
      <c r="A81" s="1157">
        <v>21</v>
      </c>
      <c r="B81" s="3417"/>
      <c r="C81" s="1071" t="s">
        <v>1544</v>
      </c>
      <c r="D81" s="1071" t="s">
        <v>1545</v>
      </c>
      <c r="E81" s="1142">
        <v>0.2</v>
      </c>
      <c r="F81" s="1157">
        <v>30</v>
      </c>
    </row>
    <row r="82" spans="1:6" s="1108" customFormat="1" ht="48">
      <c r="A82" s="1157">
        <v>22</v>
      </c>
      <c r="B82" s="3417"/>
      <c r="C82" s="1071" t="s">
        <v>1546</v>
      </c>
      <c r="D82" s="1071" t="s">
        <v>1547</v>
      </c>
      <c r="E82" s="1142">
        <v>0.2</v>
      </c>
      <c r="F82" s="1157">
        <v>30</v>
      </c>
    </row>
    <row r="83" spans="1:6" s="1108" customFormat="1" ht="48">
      <c r="A83" s="1157">
        <v>23</v>
      </c>
      <c r="B83" s="3417"/>
      <c r="C83" s="1071" t="s">
        <v>1548</v>
      </c>
      <c r="D83" s="1071" t="s">
        <v>1549</v>
      </c>
      <c r="E83" s="1142">
        <v>0.2</v>
      </c>
      <c r="F83" s="1157">
        <v>30</v>
      </c>
    </row>
    <row r="84" spans="1:6" s="1108" customFormat="1" ht="36">
      <c r="A84" s="1157">
        <v>24</v>
      </c>
      <c r="B84" s="3417"/>
      <c r="C84" s="1071" t="s">
        <v>1550</v>
      </c>
      <c r="D84" s="1071" t="s">
        <v>1551</v>
      </c>
      <c r="E84" s="1142">
        <v>0.2</v>
      </c>
      <c r="F84" s="1157">
        <v>30</v>
      </c>
    </row>
    <row r="85" spans="1:6" s="1108" customFormat="1" ht="36">
      <c r="A85" s="1157">
        <v>25</v>
      </c>
      <c r="B85" s="3417"/>
      <c r="C85" s="1071" t="s">
        <v>1552</v>
      </c>
      <c r="D85" s="1071" t="s">
        <v>1553</v>
      </c>
      <c r="E85" s="1142">
        <v>0.5</v>
      </c>
      <c r="F85" s="1157">
        <v>80</v>
      </c>
    </row>
    <row r="86" spans="1:6" s="1108" customFormat="1" ht="36">
      <c r="A86" s="1157">
        <v>26</v>
      </c>
      <c r="B86" s="3417"/>
      <c r="C86" s="1071" t="s">
        <v>1554</v>
      </c>
      <c r="D86" s="1071" t="s">
        <v>1555</v>
      </c>
      <c r="E86" s="1142">
        <v>0.2</v>
      </c>
      <c r="F86" s="1157">
        <v>30</v>
      </c>
    </row>
    <row r="87" spans="1:6" s="1108" customFormat="1" ht="36">
      <c r="A87" s="1157">
        <v>27</v>
      </c>
      <c r="B87" s="3417"/>
      <c r="C87" s="1071" t="s">
        <v>1556</v>
      </c>
      <c r="D87" s="1071" t="s">
        <v>1557</v>
      </c>
      <c r="E87" s="1142">
        <v>0.2</v>
      </c>
      <c r="F87" s="1157">
        <v>30</v>
      </c>
    </row>
    <row r="88" spans="1:6" s="1108" customFormat="1" ht="36">
      <c r="A88" s="1157">
        <v>28</v>
      </c>
      <c r="B88" s="3417"/>
      <c r="C88" s="1071" t="s">
        <v>1558</v>
      </c>
      <c r="D88" s="1071" t="s">
        <v>1559</v>
      </c>
      <c r="E88" s="1142">
        <v>0.2</v>
      </c>
      <c r="F88" s="1157">
        <v>30</v>
      </c>
    </row>
    <row r="89" spans="1:6" s="1108" customFormat="1" ht="24">
      <c r="A89" s="1157">
        <v>29</v>
      </c>
      <c r="B89" s="3417"/>
      <c r="C89" s="1071" t="s">
        <v>1560</v>
      </c>
      <c r="D89" s="1071" t="s">
        <v>1561</v>
      </c>
      <c r="E89" s="1142">
        <v>0.2</v>
      </c>
      <c r="F89" s="1157">
        <v>30</v>
      </c>
    </row>
    <row r="90" spans="1:6" s="1108" customFormat="1" ht="24">
      <c r="A90" s="1157">
        <v>30</v>
      </c>
      <c r="B90" s="3417"/>
      <c r="C90" s="1071" t="s">
        <v>1562</v>
      </c>
      <c r="D90" s="1071" t="s">
        <v>1563</v>
      </c>
      <c r="E90" s="1142">
        <v>0.2</v>
      </c>
      <c r="F90" s="1157">
        <v>30</v>
      </c>
    </row>
    <row r="91" spans="1:6" s="1108" customFormat="1" ht="36">
      <c r="A91" s="1157">
        <v>31</v>
      </c>
      <c r="B91" s="3417"/>
      <c r="C91" s="1071" t="s">
        <v>1564</v>
      </c>
      <c r="D91" s="1071" t="s">
        <v>1565</v>
      </c>
      <c r="E91" s="1142">
        <v>0.2</v>
      </c>
      <c r="F91" s="1157">
        <v>30</v>
      </c>
    </row>
    <row r="92" spans="1:6" s="1108" customFormat="1" ht="24">
      <c r="A92" s="1157">
        <v>32</v>
      </c>
      <c r="B92" s="3417" t="s">
        <v>1566</v>
      </c>
      <c r="C92" s="1157" t="s">
        <v>1567</v>
      </c>
      <c r="D92" s="1071" t="s">
        <v>1568</v>
      </c>
      <c r="E92" s="1142">
        <v>0.2</v>
      </c>
      <c r="F92" s="1157">
        <v>30</v>
      </c>
    </row>
    <row r="93" spans="1:6" s="1108" customFormat="1" ht="36">
      <c r="A93" s="1157">
        <v>33</v>
      </c>
      <c r="B93" s="3417"/>
      <c r="C93" s="1157" t="s">
        <v>1569</v>
      </c>
      <c r="D93" s="1071" t="s">
        <v>1570</v>
      </c>
      <c r="E93" s="1142">
        <v>0.2</v>
      </c>
      <c r="F93" s="1157">
        <v>30</v>
      </c>
    </row>
    <row r="94" spans="1:6" s="1108" customFormat="1" ht="48">
      <c r="A94" s="1157">
        <v>34</v>
      </c>
      <c r="B94" s="3417"/>
      <c r="C94" s="1157" t="s">
        <v>1571</v>
      </c>
      <c r="D94" s="1071" t="s">
        <v>1572</v>
      </c>
      <c r="E94" s="1142">
        <v>0.2</v>
      </c>
      <c r="F94" s="1157">
        <v>30</v>
      </c>
    </row>
    <row r="95" spans="1:6" s="1108" customFormat="1" ht="36">
      <c r="A95" s="1157">
        <v>35</v>
      </c>
      <c r="B95" s="3417"/>
      <c r="C95" s="1157" t="s">
        <v>1573</v>
      </c>
      <c r="D95" s="1071" t="s">
        <v>1574</v>
      </c>
      <c r="E95" s="1142">
        <v>0.2</v>
      </c>
      <c r="F95" s="1157">
        <v>30</v>
      </c>
    </row>
    <row r="96" spans="1:6" s="1108" customFormat="1" ht="48">
      <c r="A96" s="1157">
        <v>36</v>
      </c>
      <c r="B96" s="3417"/>
      <c r="C96" s="1071" t="s">
        <v>1575</v>
      </c>
      <c r="D96" s="1071" t="s">
        <v>1576</v>
      </c>
      <c r="E96" s="1142">
        <v>0.2</v>
      </c>
      <c r="F96" s="1157">
        <v>30</v>
      </c>
    </row>
    <row r="97" spans="1:6" s="1108" customFormat="1" ht="36">
      <c r="A97" s="1157">
        <v>37</v>
      </c>
      <c r="B97" s="3417"/>
      <c r="C97" s="1157" t="s">
        <v>1577</v>
      </c>
      <c r="D97" s="1071" t="s">
        <v>1578</v>
      </c>
      <c r="E97" s="1142">
        <v>0.2</v>
      </c>
      <c r="F97" s="1157">
        <v>30</v>
      </c>
    </row>
    <row r="98" spans="1:6" s="1108" customFormat="1" ht="36">
      <c r="A98" s="1157">
        <v>38</v>
      </c>
      <c r="B98" s="3417"/>
      <c r="C98" s="1157" t="s">
        <v>1579</v>
      </c>
      <c r="D98" s="1071" t="s">
        <v>1580</v>
      </c>
      <c r="E98" s="1142">
        <v>0.2</v>
      </c>
      <c r="F98" s="1157">
        <v>30</v>
      </c>
    </row>
    <row r="99" spans="1:6" s="1108" customFormat="1" ht="36">
      <c r="A99" s="1157">
        <v>39</v>
      </c>
      <c r="B99" s="3417" t="s">
        <v>1581</v>
      </c>
      <c r="C99" s="1157" t="s">
        <v>1582</v>
      </c>
      <c r="D99" s="1071" t="s">
        <v>1583</v>
      </c>
      <c r="E99" s="1142">
        <v>0.3</v>
      </c>
      <c r="F99" s="1157">
        <v>50</v>
      </c>
    </row>
    <row r="100" spans="1:6" s="1108" customFormat="1" ht="24">
      <c r="A100" s="1157">
        <v>40</v>
      </c>
      <c r="B100" s="3417"/>
      <c r="C100" s="1157" t="s">
        <v>1584</v>
      </c>
      <c r="D100" s="1071" t="s">
        <v>1585</v>
      </c>
      <c r="E100" s="1142">
        <v>0.2</v>
      </c>
      <c r="F100" s="1157">
        <v>30</v>
      </c>
    </row>
    <row r="101" spans="1:6" s="1108" customFormat="1" ht="36">
      <c r="A101" s="1157">
        <v>41</v>
      </c>
      <c r="B101" s="3417"/>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17" t="s">
        <v>1596</v>
      </c>
      <c r="C105" s="1157" t="s">
        <v>1597</v>
      </c>
      <c r="D105" s="1071" t="s">
        <v>1598</v>
      </c>
      <c r="E105" s="1142">
        <v>0.2</v>
      </c>
      <c r="F105" s="1157">
        <v>30</v>
      </c>
    </row>
    <row r="106" spans="1:6" s="1108" customFormat="1" ht="36">
      <c r="A106" s="1157">
        <v>46</v>
      </c>
      <c r="B106" s="3417"/>
      <c r="C106" s="1157" t="s">
        <v>1599</v>
      </c>
      <c r="D106" s="1071" t="s">
        <v>1600</v>
      </c>
      <c r="E106" s="1142">
        <v>0.2</v>
      </c>
      <c r="F106" s="1157">
        <v>30</v>
      </c>
    </row>
    <row r="107" spans="1:6" s="1108" customFormat="1" ht="36">
      <c r="A107" s="1157">
        <v>47</v>
      </c>
      <c r="B107" s="3417" t="s">
        <v>1601</v>
      </c>
      <c r="C107" s="1157" t="s">
        <v>1602</v>
      </c>
      <c r="D107" s="1071" t="s">
        <v>1603</v>
      </c>
      <c r="E107" s="1142">
        <v>0.3</v>
      </c>
      <c r="F107" s="1157">
        <v>50</v>
      </c>
    </row>
    <row r="108" spans="1:6" s="1108" customFormat="1" ht="36">
      <c r="A108" s="1157">
        <v>48</v>
      </c>
      <c r="B108" s="3417"/>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17" t="s">
        <v>1612</v>
      </c>
      <c r="C111" s="1157" t="s">
        <v>1613</v>
      </c>
      <c r="D111" s="1071" t="s">
        <v>1614</v>
      </c>
      <c r="E111" s="1142">
        <v>0.2</v>
      </c>
      <c r="F111" s="1157">
        <v>30</v>
      </c>
    </row>
    <row r="112" spans="1:6" s="1108" customFormat="1" ht="24">
      <c r="A112" s="1157">
        <v>52</v>
      </c>
      <c r="B112" s="3417"/>
      <c r="C112" s="1157" t="s">
        <v>1615</v>
      </c>
      <c r="D112" s="1071" t="s">
        <v>1616</v>
      </c>
      <c r="E112" s="1142">
        <v>0.2</v>
      </c>
      <c r="F112" s="1157">
        <v>30</v>
      </c>
    </row>
    <row r="113" spans="1:14" s="1108" customFormat="1" ht="24">
      <c r="A113" s="1157">
        <v>53</v>
      </c>
      <c r="B113" s="3417"/>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17" t="s">
        <v>1625</v>
      </c>
      <c r="C116" s="1157" t="s">
        <v>1626</v>
      </c>
      <c r="D116" s="1071" t="s">
        <v>1627</v>
      </c>
      <c r="E116" s="1142">
        <v>0.2</v>
      </c>
      <c r="F116" s="1157">
        <v>30</v>
      </c>
    </row>
    <row r="117" spans="1:14" ht="36">
      <c r="A117" s="1157">
        <v>57</v>
      </c>
      <c r="B117" s="3417"/>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18" t="s">
        <v>1634</v>
      </c>
      <c r="B121" s="3418"/>
      <c r="C121" s="3418"/>
      <c r="D121" s="3418"/>
      <c r="E121" s="3418"/>
      <c r="F121" s="3418"/>
      <c r="G121" s="3418"/>
      <c r="H121" s="3418"/>
      <c r="I121" s="3418"/>
      <c r="J121" s="341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9" t="s">
        <v>1040</v>
      </c>
      <c r="B1" s="3419"/>
      <c r="C1" s="3419"/>
      <c r="D1" s="3419"/>
      <c r="E1" s="3419"/>
      <c r="F1" s="3419"/>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20" t="s">
        <v>1053</v>
      </c>
      <c r="B2" s="3420"/>
      <c r="C2" s="3420"/>
      <c r="D2" s="3420"/>
      <c r="E2" s="3420"/>
      <c r="F2" s="3420"/>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21"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22"/>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12900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2426</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2427</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1.0133000000000001</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23" t="s">
        <v>2082</v>
      </c>
      <c r="B1" s="3423"/>
    </row>
    <row r="2" spans="1:6" ht="14.25" thickBot="1">
      <c r="A2" s="1855"/>
      <c r="B2" s="1855"/>
    </row>
    <row r="3" spans="1:6" ht="14.25" thickBot="1">
      <c r="A3" s="1855"/>
      <c r="B3" s="1855"/>
      <c r="C3" s="1856" t="s">
        <v>2083</v>
      </c>
      <c r="D3" s="1856" t="s">
        <v>2084</v>
      </c>
      <c r="E3" s="1856" t="s">
        <v>2085</v>
      </c>
      <c r="F3" s="1856" t="s">
        <v>2086</v>
      </c>
    </row>
    <row r="4" spans="1:6" ht="14.25" thickBot="1">
      <c r="A4" s="1857" t="s">
        <v>2087</v>
      </c>
      <c r="B4" s="1858" t="s">
        <v>2088</v>
      </c>
      <c r="C4" s="1856"/>
      <c r="D4" s="1856"/>
      <c r="E4" s="1856"/>
      <c r="F4" s="1856"/>
    </row>
    <row r="5" spans="1:6" ht="14.25" thickBot="1">
      <c r="A5" s="1859" t="s">
        <v>2089</v>
      </c>
      <c r="B5" s="1860" t="s">
        <v>2090</v>
      </c>
      <c r="C5" s="1861">
        <v>8.8999999999999996E-2</v>
      </c>
      <c r="D5" s="1861">
        <v>7.3999999999999996E-2</v>
      </c>
      <c r="E5" s="1861">
        <v>7.4999999999999997E-2</v>
      </c>
      <c r="F5" s="1862">
        <v>0.1</v>
      </c>
    </row>
    <row r="6" spans="1:6" ht="14.25" thickBot="1">
      <c r="A6" s="1859" t="s">
        <v>1097</v>
      </c>
      <c r="B6" s="1863" t="s">
        <v>2091</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2092</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2093</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2094</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2095</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2096</v>
      </c>
      <c r="C72" s="1873"/>
      <c r="D72" s="1873"/>
      <c r="E72" s="1873"/>
      <c r="F72" s="1865">
        <v>0.05</v>
      </c>
    </row>
    <row r="73" spans="1:6" ht="14.25" thickBot="1">
      <c r="A73" s="1859" t="s">
        <v>925</v>
      </c>
      <c r="B73" s="1863" t="s">
        <v>2097</v>
      </c>
      <c r="C73" s="1873"/>
      <c r="D73" s="1873"/>
      <c r="E73" s="1873"/>
      <c r="F73" s="1865">
        <v>0.05</v>
      </c>
    </row>
    <row r="74" spans="1:6" ht="14.25" thickBot="1">
      <c r="A74" s="1859" t="s">
        <v>925</v>
      </c>
      <c r="B74" s="1863" t="s">
        <v>2098</v>
      </c>
      <c r="C74" s="1873"/>
      <c r="D74" s="1873"/>
      <c r="E74" s="1873"/>
      <c r="F74" s="1865">
        <v>0.05</v>
      </c>
    </row>
    <row r="75" spans="1:6" ht="14.25" thickBot="1">
      <c r="A75" s="1867" t="s">
        <v>925</v>
      </c>
      <c r="B75" s="1874" t="s">
        <v>2099</v>
      </c>
      <c r="C75" s="1870"/>
      <c r="D75" s="1870"/>
      <c r="E75" s="1870"/>
      <c r="F75" s="1875">
        <v>0.05</v>
      </c>
    </row>
    <row r="76" spans="1:6" ht="14.25" thickBot="1">
      <c r="A76" s="1859" t="s">
        <v>1408</v>
      </c>
      <c r="B76" s="1860" t="s">
        <v>2100</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2101</v>
      </c>
      <c r="C102" s="1873"/>
      <c r="D102" s="1873"/>
      <c r="E102" s="1873"/>
      <c r="F102" s="1865">
        <v>0.05</v>
      </c>
    </row>
    <row r="103" spans="1:6" ht="24.75" thickBot="1">
      <c r="A103" s="1859" t="s">
        <v>1408</v>
      </c>
      <c r="B103" s="1863" t="s">
        <v>2102</v>
      </c>
      <c r="C103" s="1873"/>
      <c r="D103" s="1873"/>
      <c r="E103" s="1873"/>
      <c r="F103" s="1865">
        <v>0.05</v>
      </c>
    </row>
    <row r="104" spans="1:6" ht="14.25" thickBot="1">
      <c r="A104" s="1859" t="s">
        <v>1408</v>
      </c>
      <c r="B104" s="1863" t="s">
        <v>2103</v>
      </c>
      <c r="C104" s="1873"/>
      <c r="D104" s="1873"/>
      <c r="E104" s="1873"/>
      <c r="F104" s="1865">
        <v>0.05</v>
      </c>
    </row>
    <row r="105" spans="1:6" ht="14.25" thickBot="1">
      <c r="A105" s="1859" t="s">
        <v>1408</v>
      </c>
      <c r="B105" s="1863" t="s">
        <v>2104</v>
      </c>
      <c r="C105" s="1873"/>
      <c r="D105" s="1873"/>
      <c r="E105" s="1873"/>
      <c r="F105" s="1865">
        <v>0.05</v>
      </c>
    </row>
    <row r="106" spans="1:6" ht="14.25" thickBot="1">
      <c r="A106" s="1859" t="s">
        <v>1408</v>
      </c>
      <c r="B106" s="1863" t="s">
        <v>2105</v>
      </c>
      <c r="C106" s="1873"/>
      <c r="D106" s="1873"/>
      <c r="E106" s="1873"/>
      <c r="F106" s="1865">
        <v>0.05</v>
      </c>
    </row>
    <row r="107" spans="1:6" ht="24.75" thickBot="1">
      <c r="A107" s="1859" t="s">
        <v>1408</v>
      </c>
      <c r="B107" s="1863" t="s">
        <v>2106</v>
      </c>
      <c r="C107" s="1873"/>
      <c r="D107" s="1873"/>
      <c r="E107" s="1873"/>
      <c r="F107" s="1865">
        <v>0.05</v>
      </c>
    </row>
    <row r="108" spans="1:6" ht="24.75" thickBot="1">
      <c r="A108" s="1859" t="s">
        <v>1408</v>
      </c>
      <c r="B108" s="1863" t="s">
        <v>2107</v>
      </c>
      <c r="C108" s="1873"/>
      <c r="D108" s="1873"/>
      <c r="E108" s="1873"/>
      <c r="F108" s="1865">
        <v>0.05</v>
      </c>
    </row>
    <row r="109" spans="1:6" ht="24.75" thickBot="1">
      <c r="A109" s="1867" t="s">
        <v>1408</v>
      </c>
      <c r="B109" s="1874" t="s">
        <v>2108</v>
      </c>
      <c r="C109" s="1870"/>
      <c r="D109" s="1870"/>
      <c r="E109" s="1870"/>
      <c r="F109" s="1875">
        <v>0.05</v>
      </c>
    </row>
    <row r="110" spans="1:6" ht="14.25" thickBot="1">
      <c r="A110" s="1859" t="s">
        <v>1410</v>
      </c>
      <c r="B110" s="1860" t="s">
        <v>2109</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2110</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2111</v>
      </c>
      <c r="C138" s="1864">
        <v>0.105</v>
      </c>
      <c r="D138" s="1864">
        <v>0.125</v>
      </c>
      <c r="E138" s="1864">
        <v>0.112</v>
      </c>
      <c r="F138" s="1872"/>
    </row>
    <row r="139" spans="1:6" ht="14.25" thickBot="1">
      <c r="A139" s="1859" t="s">
        <v>1410</v>
      </c>
      <c r="B139" s="1863" t="s">
        <v>2112</v>
      </c>
      <c r="C139" s="1864">
        <v>0.127</v>
      </c>
      <c r="D139" s="1864">
        <v>0.127</v>
      </c>
      <c r="E139" s="1864">
        <v>0.122</v>
      </c>
      <c r="F139" s="1865">
        <v>0.13</v>
      </c>
    </row>
    <row r="140" spans="1:6" ht="14.25" thickBot="1">
      <c r="A140" s="1859" t="s">
        <v>1410</v>
      </c>
      <c r="B140" s="1863" t="s">
        <v>2113</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2114</v>
      </c>
      <c r="C144" s="1877">
        <v>0.126</v>
      </c>
      <c r="D144" s="1877">
        <v>0.126</v>
      </c>
      <c r="E144" s="1877">
        <v>0.121</v>
      </c>
      <c r="F144" s="1872"/>
    </row>
    <row r="145" spans="1:6" ht="14.25" thickBot="1">
      <c r="A145" s="1867" t="s">
        <v>1410</v>
      </c>
      <c r="B145" s="1878" t="s">
        <v>2115</v>
      </c>
      <c r="C145" s="1879"/>
      <c r="D145" s="1879"/>
      <c r="E145" s="1879"/>
      <c r="F145" s="1880">
        <v>0.05</v>
      </c>
    </row>
    <row r="146" spans="1:6" ht="24.75" thickBot="1">
      <c r="A146" s="1881" t="s">
        <v>1410</v>
      </c>
      <c r="B146" s="1866" t="s">
        <v>2116</v>
      </c>
      <c r="C146" s="1873"/>
      <c r="D146" s="1873"/>
      <c r="E146" s="1873"/>
      <c r="F146" s="1882">
        <v>0.05</v>
      </c>
    </row>
    <row r="147" spans="1:6" ht="24.75" thickBot="1">
      <c r="A147" s="1859" t="s">
        <v>1410</v>
      </c>
      <c r="B147" s="1863" t="s">
        <v>2117</v>
      </c>
      <c r="C147" s="1873"/>
      <c r="D147" s="1873"/>
      <c r="E147" s="1873"/>
      <c r="F147" s="1865">
        <v>0.05</v>
      </c>
    </row>
    <row r="148" spans="1:6" ht="24.75" thickBot="1">
      <c r="A148" s="1859" t="s">
        <v>1410</v>
      </c>
      <c r="B148" s="1863" t="s">
        <v>2118</v>
      </c>
      <c r="C148" s="1873"/>
      <c r="D148" s="1873"/>
      <c r="E148" s="1873"/>
      <c r="F148" s="1865">
        <v>0.05</v>
      </c>
    </row>
    <row r="149" spans="1:6" ht="24.75" thickBot="1">
      <c r="A149" s="1859" t="s">
        <v>1410</v>
      </c>
      <c r="B149" s="1863" t="s">
        <v>2119</v>
      </c>
      <c r="C149" s="1873"/>
      <c r="D149" s="1873"/>
      <c r="E149" s="1873"/>
      <c r="F149" s="1865">
        <v>0.05</v>
      </c>
    </row>
    <row r="150" spans="1:6" ht="24.75" thickBot="1">
      <c r="A150" s="1859" t="s">
        <v>1410</v>
      </c>
      <c r="B150" s="1863" t="s">
        <v>2120</v>
      </c>
      <c r="C150" s="1873"/>
      <c r="D150" s="1873"/>
      <c r="E150" s="1873"/>
      <c r="F150" s="1865">
        <v>0.05</v>
      </c>
    </row>
    <row r="151" spans="1:6" ht="24.75" thickBot="1">
      <c r="A151" s="1859" t="s">
        <v>1410</v>
      </c>
      <c r="B151" s="1863" t="s">
        <v>2121</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2122</v>
      </c>
      <c r="C153" s="1873"/>
      <c r="D153" s="1873"/>
      <c r="E153" s="1873"/>
      <c r="F153" s="1865">
        <v>0.05</v>
      </c>
    </row>
    <row r="154" spans="1:6" ht="14.25" thickBot="1">
      <c r="A154" s="1859" t="s">
        <v>1410</v>
      </c>
      <c r="B154" s="1863" t="s">
        <v>2123</v>
      </c>
      <c r="C154" s="1873"/>
      <c r="D154" s="1873"/>
      <c r="E154" s="1873"/>
      <c r="F154" s="1865">
        <v>0.05</v>
      </c>
    </row>
    <row r="155" spans="1:6" ht="24.75" thickBot="1">
      <c r="A155" s="1859" t="s">
        <v>1410</v>
      </c>
      <c r="B155" s="1863" t="s">
        <v>2124</v>
      </c>
      <c r="C155" s="1873"/>
      <c r="D155" s="1873"/>
      <c r="E155" s="1873"/>
      <c r="F155" s="1865">
        <v>0.05</v>
      </c>
    </row>
    <row r="156" spans="1:6" ht="24.75" thickBot="1">
      <c r="A156" s="1859" t="s">
        <v>1410</v>
      </c>
      <c r="B156" s="1863" t="s">
        <v>2125</v>
      </c>
      <c r="C156" s="1873"/>
      <c r="D156" s="1873"/>
      <c r="E156" s="1873"/>
      <c r="F156" s="1865">
        <v>0.05</v>
      </c>
    </row>
    <row r="157" spans="1:6" ht="14.25" thickBot="1">
      <c r="A157" s="1867" t="s">
        <v>1410</v>
      </c>
      <c r="B157" s="1874" t="s">
        <v>2126</v>
      </c>
      <c r="C157" s="1870"/>
      <c r="D157" s="1870"/>
      <c r="E157" s="1870"/>
      <c r="F157" s="1875">
        <v>0.05</v>
      </c>
    </row>
    <row r="158" spans="1:6" ht="14.25" thickBot="1">
      <c r="A158" s="1859" t="s">
        <v>1412</v>
      </c>
      <c r="B158" s="1860" t="s">
        <v>2127</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2128</v>
      </c>
      <c r="C171" s="1864">
        <v>0.127</v>
      </c>
      <c r="D171" s="1864">
        <v>0.126</v>
      </c>
      <c r="E171" s="1864">
        <v>0.126</v>
      </c>
      <c r="F171" s="1865">
        <v>0.11799999999999999</v>
      </c>
    </row>
    <row r="172" spans="1:6" ht="14.25" thickBot="1">
      <c r="A172" s="1859" t="s">
        <v>1412</v>
      </c>
      <c r="B172" s="1863" t="s">
        <v>2129</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2130</v>
      </c>
      <c r="C174" s="1864">
        <v>0.13</v>
      </c>
      <c r="D174" s="1864">
        <v>0.13</v>
      </c>
      <c r="E174" s="1864">
        <v>0.13</v>
      </c>
      <c r="F174" s="1865">
        <v>0.13</v>
      </c>
    </row>
    <row r="175" spans="1:6" ht="14.25" thickBot="1">
      <c r="A175" s="1859" t="s">
        <v>1412</v>
      </c>
      <c r="B175" s="1863" t="s">
        <v>2131</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2132</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2133</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2134</v>
      </c>
      <c r="C185" s="1864">
        <v>0.127</v>
      </c>
      <c r="D185" s="1864">
        <v>0.127</v>
      </c>
      <c r="E185" s="1864">
        <v>0.128</v>
      </c>
      <c r="F185" s="1865">
        <v>0.13</v>
      </c>
    </row>
    <row r="186" spans="1:6" ht="24.75" thickBot="1">
      <c r="A186" s="1859" t="s">
        <v>1412</v>
      </c>
      <c r="B186" s="1863" t="s">
        <v>2135</v>
      </c>
      <c r="C186" s="1873"/>
      <c r="D186" s="1873"/>
      <c r="E186" s="1873"/>
      <c r="F186" s="1865">
        <v>0.05</v>
      </c>
    </row>
    <row r="187" spans="1:6" ht="14.25" thickBot="1">
      <c r="A187" s="1859" t="s">
        <v>1412</v>
      </c>
      <c r="B187" s="1863" t="s">
        <v>2136</v>
      </c>
      <c r="C187" s="1873"/>
      <c r="D187" s="1873"/>
      <c r="E187" s="1873"/>
      <c r="F187" s="1865">
        <v>0.05</v>
      </c>
    </row>
    <row r="188" spans="1:6" ht="14.25" thickBot="1">
      <c r="A188" s="1859" t="s">
        <v>1412</v>
      </c>
      <c r="B188" s="1863" t="s">
        <v>2137</v>
      </c>
      <c r="C188" s="1873"/>
      <c r="D188" s="1873"/>
      <c r="E188" s="1873"/>
      <c r="F188" s="1865">
        <v>0.05</v>
      </c>
    </row>
    <row r="189" spans="1:6" ht="24.75" thickBot="1">
      <c r="A189" s="1859" t="s">
        <v>1412</v>
      </c>
      <c r="B189" s="1863" t="s">
        <v>2138</v>
      </c>
      <c r="C189" s="1873"/>
      <c r="D189" s="1873"/>
      <c r="E189" s="1873"/>
      <c r="F189" s="1865">
        <v>0.05</v>
      </c>
    </row>
    <row r="190" spans="1:6" ht="24.75" thickBot="1">
      <c r="A190" s="1859" t="s">
        <v>1412</v>
      </c>
      <c r="B190" s="1863" t="s">
        <v>2139</v>
      </c>
      <c r="C190" s="1873"/>
      <c r="D190" s="1873"/>
      <c r="E190" s="1873"/>
      <c r="F190" s="1865">
        <v>0.05</v>
      </c>
    </row>
    <row r="191" spans="1:6" ht="24.75" thickBot="1">
      <c r="A191" s="1859" t="s">
        <v>1412</v>
      </c>
      <c r="B191" s="1863" t="s">
        <v>2140</v>
      </c>
      <c r="C191" s="1873"/>
      <c r="D191" s="1873"/>
      <c r="E191" s="1873"/>
      <c r="F191" s="1865">
        <v>0.05</v>
      </c>
    </row>
    <row r="192" spans="1:6" ht="24.75" thickBot="1">
      <c r="A192" s="1859" t="s">
        <v>1412</v>
      </c>
      <c r="B192" s="1863" t="s">
        <v>2141</v>
      </c>
      <c r="C192" s="1873"/>
      <c r="D192" s="1873"/>
      <c r="E192" s="1873"/>
      <c r="F192" s="1865">
        <v>0.05</v>
      </c>
    </row>
    <row r="193" spans="1:6" ht="24.75" thickBot="1">
      <c r="A193" s="1859" t="s">
        <v>1412</v>
      </c>
      <c r="B193" s="1863" t="s">
        <v>2142</v>
      </c>
      <c r="C193" s="1873"/>
      <c r="D193" s="1873"/>
      <c r="E193" s="1873"/>
      <c r="F193" s="1865">
        <v>0.05</v>
      </c>
    </row>
    <row r="194" spans="1:6" ht="24.75" thickBot="1">
      <c r="A194" s="1859" t="s">
        <v>1412</v>
      </c>
      <c r="B194" s="1863" t="s">
        <v>2143</v>
      </c>
      <c r="C194" s="1873"/>
      <c r="D194" s="1873"/>
      <c r="E194" s="1873"/>
      <c r="F194" s="1865">
        <v>0.05</v>
      </c>
    </row>
    <row r="195" spans="1:6" ht="14.25" thickBot="1">
      <c r="A195" s="1859" t="s">
        <v>1412</v>
      </c>
      <c r="B195" s="1863" t="s">
        <v>2144</v>
      </c>
      <c r="C195" s="1873"/>
      <c r="D195" s="1873"/>
      <c r="E195" s="1873"/>
      <c r="F195" s="1865">
        <v>0.05</v>
      </c>
    </row>
    <row r="196" spans="1:6" ht="24.75" thickBot="1">
      <c r="A196" s="1859" t="s">
        <v>1412</v>
      </c>
      <c r="B196" s="1863" t="s">
        <v>2145</v>
      </c>
      <c r="C196" s="1873"/>
      <c r="D196" s="1873"/>
      <c r="E196" s="1873"/>
      <c r="F196" s="1865">
        <v>0.05</v>
      </c>
    </row>
    <row r="197" spans="1:6" ht="24.75" thickBot="1">
      <c r="A197" s="1859" t="s">
        <v>1412</v>
      </c>
      <c r="B197" s="1863" t="s">
        <v>2146</v>
      </c>
      <c r="C197" s="1873"/>
      <c r="D197" s="1873"/>
      <c r="E197" s="1873"/>
      <c r="F197" s="1865">
        <v>0.05</v>
      </c>
    </row>
    <row r="198" spans="1:6" ht="24.75" thickBot="1">
      <c r="A198" s="1859" t="s">
        <v>1412</v>
      </c>
      <c r="B198" s="1863" t="s">
        <v>2147</v>
      </c>
      <c r="C198" s="1873"/>
      <c r="D198" s="1873"/>
      <c r="E198" s="1873"/>
      <c r="F198" s="1865">
        <v>0.05</v>
      </c>
    </row>
    <row r="199" spans="1:6" ht="24.75" thickBot="1">
      <c r="A199" s="1859" t="s">
        <v>1412</v>
      </c>
      <c r="B199" s="1863" t="s">
        <v>2148</v>
      </c>
      <c r="C199" s="1873"/>
      <c r="D199" s="1873"/>
      <c r="E199" s="1873"/>
      <c r="F199" s="1865">
        <v>0.05</v>
      </c>
    </row>
    <row r="200" spans="1:6" ht="24.75" thickBot="1">
      <c r="A200" s="1859" t="s">
        <v>1412</v>
      </c>
      <c r="B200" s="1863" t="s">
        <v>2149</v>
      </c>
      <c r="C200" s="1873"/>
      <c r="D200" s="1873"/>
      <c r="E200" s="1873"/>
      <c r="F200" s="1865">
        <v>0.05</v>
      </c>
    </row>
    <row r="201" spans="1:6" ht="24.75" thickBot="1">
      <c r="A201" s="1859" t="s">
        <v>1412</v>
      </c>
      <c r="B201" s="1863" t="s">
        <v>2150</v>
      </c>
      <c r="C201" s="1873"/>
      <c r="D201" s="1873"/>
      <c r="E201" s="1873"/>
      <c r="F201" s="1865">
        <v>0.05</v>
      </c>
    </row>
    <row r="202" spans="1:6" ht="24.75" thickBot="1">
      <c r="A202" s="1859" t="s">
        <v>1412</v>
      </c>
      <c r="B202" s="1863" t="s">
        <v>2151</v>
      </c>
      <c r="C202" s="1873"/>
      <c r="D202" s="1873"/>
      <c r="E202" s="1873"/>
      <c r="F202" s="1865">
        <v>0.05</v>
      </c>
    </row>
    <row r="203" spans="1:6" ht="24.75" thickBot="1">
      <c r="A203" s="1859" t="s">
        <v>1412</v>
      </c>
      <c r="B203" s="1863" t="s">
        <v>2152</v>
      </c>
      <c r="C203" s="1873"/>
      <c r="D203" s="1873"/>
      <c r="E203" s="1873"/>
      <c r="F203" s="1865">
        <v>0.05</v>
      </c>
    </row>
    <row r="204" spans="1:6" ht="14.25" thickBot="1">
      <c r="A204" s="1859" t="s">
        <v>1412</v>
      </c>
      <c r="B204" s="1863" t="s">
        <v>2153</v>
      </c>
      <c r="C204" s="1873"/>
      <c r="D204" s="1873"/>
      <c r="E204" s="1873"/>
      <c r="F204" s="1865">
        <v>0.05</v>
      </c>
    </row>
    <row r="205" spans="1:6" ht="14.25" thickBot="1">
      <c r="A205" s="1867" t="s">
        <v>1412</v>
      </c>
      <c r="B205" s="1874" t="s">
        <v>2154</v>
      </c>
      <c r="C205" s="1870"/>
      <c r="D205" s="1870"/>
      <c r="E205" s="1870"/>
      <c r="F205" s="1875">
        <v>0.05</v>
      </c>
    </row>
    <row r="206" spans="1:6" ht="14.25" thickBot="1">
      <c r="A206" s="1859" t="s">
        <v>1414</v>
      </c>
      <c r="B206" s="1860" t="s">
        <v>2155</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2156</v>
      </c>
      <c r="C210" s="1864">
        <v>0.15</v>
      </c>
      <c r="D210" s="1864">
        <v>0.15</v>
      </c>
      <c r="E210" s="1864">
        <v>0.15</v>
      </c>
      <c r="F210" s="1865">
        <v>0.13800000000000001</v>
      </c>
    </row>
    <row r="211" spans="1:6" ht="14.25" thickBot="1">
      <c r="A211" s="1859" t="s">
        <v>1414</v>
      </c>
      <c r="B211" s="1863" t="s">
        <v>2157</v>
      </c>
      <c r="C211" s="1864">
        <v>0.13700000000000001</v>
      </c>
      <c r="D211" s="1864">
        <v>0.13500000000000001</v>
      </c>
      <c r="E211" s="1864">
        <v>0.13600000000000001</v>
      </c>
      <c r="F211" s="1865">
        <v>0.1</v>
      </c>
    </row>
    <row r="212" spans="1:6" ht="14.25" thickBot="1">
      <c r="A212" s="1859" t="s">
        <v>1414</v>
      </c>
      <c r="B212" s="1863" t="s">
        <v>2158</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2159</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2160</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2161</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2162</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2163</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2164</v>
      </c>
      <c r="C231" s="1864">
        <v>0.128</v>
      </c>
      <c r="D231" s="1864">
        <v>0.125</v>
      </c>
      <c r="E231" s="1864">
        <v>0.13200000000000001</v>
      </c>
      <c r="F231" s="1872"/>
    </row>
    <row r="232" spans="1:6" ht="14.25" thickBot="1">
      <c r="A232" s="1859" t="s">
        <v>1414</v>
      </c>
      <c r="B232" s="1863" t="s">
        <v>2165</v>
      </c>
      <c r="C232" s="1864">
        <v>0.14499999999999999</v>
      </c>
      <c r="D232" s="1864">
        <v>0.14399999999999999</v>
      </c>
      <c r="E232" s="1864">
        <v>0.14599999999999999</v>
      </c>
      <c r="F232" s="1865">
        <v>0.13800000000000001</v>
      </c>
    </row>
    <row r="233" spans="1:6" ht="14.25" thickBot="1">
      <c r="A233" s="1859" t="s">
        <v>1414</v>
      </c>
      <c r="B233" s="1863" t="s">
        <v>2166</v>
      </c>
      <c r="C233" s="1864">
        <v>0.14499999999999999</v>
      </c>
      <c r="D233" s="1864">
        <v>0.14299999999999999</v>
      </c>
      <c r="E233" s="1864">
        <v>0.14199999999999999</v>
      </c>
      <c r="F233" s="1872"/>
    </row>
    <row r="234" spans="1:6" ht="14.25" thickBot="1">
      <c r="A234" s="1859" t="s">
        <v>1414</v>
      </c>
      <c r="B234" s="1863" t="s">
        <v>2167</v>
      </c>
      <c r="C234" s="1864">
        <v>0.14000000000000001</v>
      </c>
      <c r="D234" s="1864">
        <v>0.14000000000000001</v>
      </c>
      <c r="E234" s="1864">
        <v>0.14399999999999999</v>
      </c>
      <c r="F234" s="1872"/>
    </row>
    <row r="235" spans="1:6" ht="14.25" thickBot="1">
      <c r="A235" s="1859" t="s">
        <v>1414</v>
      </c>
      <c r="B235" s="1863" t="s">
        <v>2168</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2169</v>
      </c>
      <c r="C237" s="1873"/>
      <c r="D237" s="1873"/>
      <c r="E237" s="1873"/>
      <c r="F237" s="1865">
        <v>0.05</v>
      </c>
    </row>
    <row r="238" spans="1:6" ht="24.75" thickBot="1">
      <c r="A238" s="1859" t="s">
        <v>1414</v>
      </c>
      <c r="B238" s="1863" t="s">
        <v>2170</v>
      </c>
      <c r="C238" s="1873"/>
      <c r="D238" s="1873"/>
      <c r="E238" s="1873"/>
      <c r="F238" s="1865">
        <v>0.05</v>
      </c>
    </row>
    <row r="239" spans="1:6" ht="24.75" thickBot="1">
      <c r="A239" s="1859" t="s">
        <v>1414</v>
      </c>
      <c r="B239" s="1863" t="s">
        <v>2171</v>
      </c>
      <c r="C239" s="1873"/>
      <c r="D239" s="1873"/>
      <c r="E239" s="1873"/>
      <c r="F239" s="1865">
        <v>0.05</v>
      </c>
    </row>
    <row r="240" spans="1:6" ht="24.75" thickBot="1">
      <c r="A240" s="1859" t="s">
        <v>1414</v>
      </c>
      <c r="B240" s="1863" t="s">
        <v>2172</v>
      </c>
      <c r="C240" s="1873"/>
      <c r="D240" s="1873"/>
      <c r="E240" s="1873"/>
      <c r="F240" s="1865">
        <v>0.05</v>
      </c>
    </row>
    <row r="241" spans="1:6" ht="24.75" thickBot="1">
      <c r="A241" s="1859" t="s">
        <v>1414</v>
      </c>
      <c r="B241" s="1863" t="s">
        <v>2173</v>
      </c>
      <c r="C241" s="1873"/>
      <c r="D241" s="1873"/>
      <c r="E241" s="1873"/>
      <c r="F241" s="1865">
        <v>0.05</v>
      </c>
    </row>
    <row r="242" spans="1:6" ht="24.75" thickBot="1">
      <c r="A242" s="1859" t="s">
        <v>1414</v>
      </c>
      <c r="B242" s="1863" t="s">
        <v>2174</v>
      </c>
      <c r="C242" s="1873"/>
      <c r="D242" s="1873"/>
      <c r="E242" s="1873"/>
      <c r="F242" s="1865">
        <v>0.05</v>
      </c>
    </row>
    <row r="243" spans="1:6" ht="24.75" thickBot="1">
      <c r="A243" s="1859" t="s">
        <v>1414</v>
      </c>
      <c r="B243" s="1863" t="s">
        <v>2175</v>
      </c>
      <c r="C243" s="1873"/>
      <c r="D243" s="1873"/>
      <c r="E243" s="1873"/>
      <c r="F243" s="1865">
        <v>0.05</v>
      </c>
    </row>
    <row r="244" spans="1:6" ht="24.75" thickBot="1">
      <c r="A244" s="1867" t="s">
        <v>1414</v>
      </c>
      <c r="B244" s="1874" t="s">
        <v>2176</v>
      </c>
      <c r="C244" s="1870"/>
      <c r="D244" s="1870"/>
      <c r="E244" s="1870"/>
      <c r="F244" s="1875">
        <v>0.05</v>
      </c>
    </row>
    <row r="245" spans="1:6" ht="14.25" thickBot="1">
      <c r="A245" s="1859" t="s">
        <v>1416</v>
      </c>
      <c r="B245" s="1860" t="s">
        <v>2177</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2178</v>
      </c>
      <c r="C247" s="1864">
        <v>0.15</v>
      </c>
      <c r="D247" s="1864">
        <v>0.15</v>
      </c>
      <c r="E247" s="1864">
        <v>0.15</v>
      </c>
      <c r="F247" s="1865">
        <v>0.15</v>
      </c>
    </row>
    <row r="248" spans="1:6" ht="14.25" thickBot="1">
      <c r="A248" s="1859" t="s">
        <v>1416</v>
      </c>
      <c r="B248" s="1863" t="s">
        <v>2179</v>
      </c>
      <c r="C248" s="1864">
        <v>0.15</v>
      </c>
      <c r="D248" s="1864">
        <v>0.15</v>
      </c>
      <c r="E248" s="1864">
        <v>0.15</v>
      </c>
      <c r="F248" s="1865">
        <v>0.14000000000000001</v>
      </c>
    </row>
    <row r="249" spans="1:6" ht="14.25" thickBot="1">
      <c r="A249" s="1859" t="s">
        <v>1416</v>
      </c>
      <c r="B249" s="1863" t="s">
        <v>2180</v>
      </c>
      <c r="C249" s="1864">
        <v>0.15</v>
      </c>
      <c r="D249" s="1864">
        <v>0.14899999999999999</v>
      </c>
      <c r="E249" s="1864">
        <v>0.15</v>
      </c>
      <c r="F249" s="1865">
        <v>0.1</v>
      </c>
    </row>
    <row r="250" spans="1:6" ht="14.25" thickBot="1">
      <c r="A250" s="1859" t="s">
        <v>1416</v>
      </c>
      <c r="B250" s="1863" t="s">
        <v>2181</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2182</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2183</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2184</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2185</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2186</v>
      </c>
      <c r="C273" s="1864">
        <v>0.14199999999999999</v>
      </c>
      <c r="D273" s="1864">
        <v>0.14299999999999999</v>
      </c>
      <c r="E273" s="1864">
        <v>0.15</v>
      </c>
      <c r="F273" s="1865">
        <v>0.1</v>
      </c>
    </row>
    <row r="274" spans="1:6" ht="14.25" thickBot="1">
      <c r="A274" s="1859" t="s">
        <v>1416</v>
      </c>
      <c r="B274" s="1863" t="s">
        <v>2187</v>
      </c>
      <c r="C274" s="1864">
        <v>0.14799999999999999</v>
      </c>
      <c r="D274" s="1864">
        <v>0.14799999999999999</v>
      </c>
      <c r="E274" s="1864">
        <v>0.15</v>
      </c>
      <c r="F274" s="1865">
        <v>6.7000000000000004E-2</v>
      </c>
    </row>
    <row r="275" spans="1:6" ht="14.25" thickBot="1">
      <c r="A275" s="1859" t="s">
        <v>1416</v>
      </c>
      <c r="B275" s="1863" t="s">
        <v>2188</v>
      </c>
      <c r="C275" s="1864">
        <v>0.15</v>
      </c>
      <c r="D275" s="1864">
        <v>0.15</v>
      </c>
      <c r="E275" s="1864">
        <v>0.15</v>
      </c>
      <c r="F275" s="1865">
        <v>0.15</v>
      </c>
    </row>
    <row r="276" spans="1:6" ht="14.25" thickBot="1">
      <c r="A276" s="1859" t="s">
        <v>1416</v>
      </c>
      <c r="B276" s="1863" t="s">
        <v>2189</v>
      </c>
      <c r="C276" s="1864">
        <v>0.14499999999999999</v>
      </c>
      <c r="D276" s="1864">
        <v>0.14299999999999999</v>
      </c>
      <c r="E276" s="1864">
        <v>0.15</v>
      </c>
      <c r="F276" s="1865">
        <v>5.8999999999999997E-2</v>
      </c>
    </row>
    <row r="277" spans="1:6" ht="14.25" thickBot="1">
      <c r="A277" s="1859" t="s">
        <v>1416</v>
      </c>
      <c r="B277" s="1863" t="s">
        <v>2190</v>
      </c>
      <c r="C277" s="1864">
        <v>0.15</v>
      </c>
      <c r="D277" s="1864">
        <v>0.15</v>
      </c>
      <c r="E277" s="1864">
        <v>0.15</v>
      </c>
      <c r="F277" s="1865">
        <v>0.121</v>
      </c>
    </row>
    <row r="278" spans="1:6" ht="14.25" thickBot="1">
      <c r="A278" s="1859" t="s">
        <v>1416</v>
      </c>
      <c r="B278" s="1863" t="s">
        <v>2191</v>
      </c>
      <c r="C278" s="1864">
        <v>0.15</v>
      </c>
      <c r="D278" s="1864">
        <v>0.15</v>
      </c>
      <c r="E278" s="1864">
        <v>0.15</v>
      </c>
      <c r="F278" s="1865">
        <v>0.13800000000000001</v>
      </c>
    </row>
    <row r="279" spans="1:6" ht="24.75" thickBot="1">
      <c r="A279" s="1859" t="s">
        <v>1416</v>
      </c>
      <c r="B279" s="1863" t="s">
        <v>2192</v>
      </c>
      <c r="C279" s="1873"/>
      <c r="D279" s="1873"/>
      <c r="E279" s="1873"/>
      <c r="F279" s="1865">
        <v>0.05</v>
      </c>
    </row>
    <row r="280" spans="1:6" ht="24.75" thickBot="1">
      <c r="A280" s="1859" t="s">
        <v>1416</v>
      </c>
      <c r="B280" s="1863" t="s">
        <v>2193</v>
      </c>
      <c r="C280" s="1873"/>
      <c r="D280" s="1873"/>
      <c r="E280" s="1873"/>
      <c r="F280" s="1865">
        <v>0.05</v>
      </c>
    </row>
    <row r="281" spans="1:6" ht="24.75" thickBot="1">
      <c r="A281" s="1859" t="s">
        <v>1416</v>
      </c>
      <c r="B281" s="1863" t="s">
        <v>2194</v>
      </c>
      <c r="C281" s="1873"/>
      <c r="D281" s="1873"/>
      <c r="E281" s="1873"/>
      <c r="F281" s="1865">
        <v>0.05</v>
      </c>
    </row>
    <row r="282" spans="1:6" ht="24.75" thickBot="1">
      <c r="A282" s="1859" t="s">
        <v>1416</v>
      </c>
      <c r="B282" s="1863" t="s">
        <v>2195</v>
      </c>
      <c r="C282" s="1873"/>
      <c r="D282" s="1873"/>
      <c r="E282" s="1873"/>
      <c r="F282" s="1865">
        <v>0.05</v>
      </c>
    </row>
    <row r="283" spans="1:6" ht="24.75" thickBot="1">
      <c r="A283" s="1859" t="s">
        <v>1416</v>
      </c>
      <c r="B283" s="1863" t="s">
        <v>2196</v>
      </c>
      <c r="C283" s="1873"/>
      <c r="D283" s="1873"/>
      <c r="E283" s="1873"/>
      <c r="F283" s="1865">
        <v>0.05</v>
      </c>
    </row>
    <row r="284" spans="1:6" ht="24.75" thickBot="1">
      <c r="A284" s="1859" t="s">
        <v>1416</v>
      </c>
      <c r="B284" s="1863" t="s">
        <v>2197</v>
      </c>
      <c r="C284" s="1873"/>
      <c r="D284" s="1873"/>
      <c r="E284" s="1873"/>
      <c r="F284" s="1865">
        <v>0.05</v>
      </c>
    </row>
    <row r="285" spans="1:6" ht="24.75" thickBot="1">
      <c r="A285" s="1859" t="s">
        <v>1416</v>
      </c>
      <c r="B285" s="1863" t="s">
        <v>2198</v>
      </c>
      <c r="C285" s="1873"/>
      <c r="D285" s="1873"/>
      <c r="E285" s="1873"/>
      <c r="F285" s="1865">
        <v>0.05</v>
      </c>
    </row>
    <row r="286" spans="1:6" ht="24.75" thickBot="1">
      <c r="A286" s="1859" t="s">
        <v>1416</v>
      </c>
      <c r="B286" s="1863" t="s">
        <v>2199</v>
      </c>
      <c r="C286" s="1873"/>
      <c r="D286" s="1873"/>
      <c r="E286" s="1873"/>
      <c r="F286" s="1865">
        <v>0.05</v>
      </c>
    </row>
    <row r="287" spans="1:6" ht="24.75" thickBot="1">
      <c r="A287" s="1859" t="s">
        <v>1416</v>
      </c>
      <c r="B287" s="1863" t="s">
        <v>2200</v>
      </c>
      <c r="C287" s="1873"/>
      <c r="D287" s="1873"/>
      <c r="E287" s="1873"/>
      <c r="F287" s="1865">
        <v>0.05</v>
      </c>
    </row>
    <row r="288" spans="1:6" ht="24.75" thickBot="1">
      <c r="A288" s="1859" t="s">
        <v>1416</v>
      </c>
      <c r="B288" s="1863" t="s">
        <v>2201</v>
      </c>
      <c r="C288" s="1873"/>
      <c r="D288" s="1873"/>
      <c r="E288" s="1873"/>
      <c r="F288" s="1865">
        <v>0.05</v>
      </c>
    </row>
    <row r="289" spans="1:6" ht="24.75" thickBot="1">
      <c r="A289" s="1867" t="s">
        <v>1416</v>
      </c>
      <c r="B289" s="1874" t="s">
        <v>2202</v>
      </c>
      <c r="C289" s="1870"/>
      <c r="D289" s="1870"/>
      <c r="E289" s="1870"/>
      <c r="F289" s="1875">
        <v>0.05</v>
      </c>
    </row>
    <row r="290" spans="1:6" ht="14.25" thickBot="1">
      <c r="A290" s="1859" t="s">
        <v>1420</v>
      </c>
      <c r="B290" s="1860" t="s">
        <v>2203</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2204</v>
      </c>
      <c r="C292" s="1864">
        <v>0.15</v>
      </c>
      <c r="D292" s="1864">
        <v>0.15</v>
      </c>
      <c r="E292" s="1864">
        <v>0.15</v>
      </c>
      <c r="F292" s="1865">
        <v>0.14699999999999999</v>
      </c>
    </row>
    <row r="293" spans="1:6" ht="14.25" thickBot="1">
      <c r="A293" s="1859" t="s">
        <v>1420</v>
      </c>
      <c r="B293" s="1863" t="s">
        <v>2205</v>
      </c>
      <c r="C293" s="1873"/>
      <c r="D293" s="1873"/>
      <c r="E293" s="1873"/>
      <c r="F293" s="1865">
        <v>0.1</v>
      </c>
    </row>
    <row r="294" spans="1:6" ht="14.25" thickBot="1">
      <c r="A294" s="1859" t="s">
        <v>1420</v>
      </c>
      <c r="B294" s="1863" t="s">
        <v>2206</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2207</v>
      </c>
      <c r="C296" s="1864">
        <v>0.15</v>
      </c>
      <c r="D296" s="1864">
        <v>0.15</v>
      </c>
      <c r="E296" s="1864">
        <v>0.15</v>
      </c>
      <c r="F296" s="1865">
        <v>0.15</v>
      </c>
    </row>
    <row r="297" spans="1:6" ht="14.25" thickBot="1">
      <c r="A297" s="1859" t="s">
        <v>1420</v>
      </c>
      <c r="B297" s="1863" t="s">
        <v>2208</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2209</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2210</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2211</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2212</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2213</v>
      </c>
      <c r="C310" s="1864">
        <v>0.15</v>
      </c>
      <c r="D310" s="1864">
        <v>0.15</v>
      </c>
      <c r="E310" s="1864">
        <v>0.15</v>
      </c>
      <c r="F310" s="1865">
        <v>0.13700000000000001</v>
      </c>
    </row>
    <row r="311" spans="1:6" ht="14.25" thickBot="1">
      <c r="A311" s="1859" t="s">
        <v>1420</v>
      </c>
      <c r="B311" s="1863" t="s">
        <v>2214</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2215</v>
      </c>
      <c r="C313" s="1864">
        <v>0.15</v>
      </c>
      <c r="D313" s="1864">
        <v>0.15</v>
      </c>
      <c r="E313" s="1864">
        <v>0.15</v>
      </c>
      <c r="F313" s="1865">
        <v>0.15</v>
      </c>
    </row>
    <row r="314" spans="1:6" ht="24.75" thickBot="1">
      <c r="A314" s="1859" t="s">
        <v>1420</v>
      </c>
      <c r="B314" s="1863" t="s">
        <v>2216</v>
      </c>
      <c r="C314" s="1873"/>
      <c r="D314" s="1873"/>
      <c r="E314" s="1873"/>
      <c r="F314" s="1865">
        <v>0.05</v>
      </c>
    </row>
    <row r="315" spans="1:6" ht="24.75" thickBot="1">
      <c r="A315" s="1859" t="s">
        <v>1420</v>
      </c>
      <c r="B315" s="1863" t="s">
        <v>2217</v>
      </c>
      <c r="C315" s="1873"/>
      <c r="D315" s="1873"/>
      <c r="E315" s="1873"/>
      <c r="F315" s="1865">
        <v>0.05</v>
      </c>
    </row>
    <row r="316" spans="1:6" ht="24.75" thickBot="1">
      <c r="A316" s="1867" t="s">
        <v>1420</v>
      </c>
      <c r="B316" s="1874" t="s">
        <v>2218</v>
      </c>
      <c r="C316" s="1870"/>
      <c r="D316" s="1870"/>
      <c r="E316" s="1870"/>
      <c r="F316" s="1875">
        <v>0.05</v>
      </c>
    </row>
    <row r="317" spans="1:6" ht="14.25" thickBot="1">
      <c r="A317" s="1859" t="s">
        <v>2219</v>
      </c>
      <c r="B317" s="1860" t="s">
        <v>2220</v>
      </c>
      <c r="C317" s="1861">
        <v>0.15</v>
      </c>
      <c r="D317" s="1861">
        <v>0.15</v>
      </c>
      <c r="E317" s="1861">
        <v>0.15</v>
      </c>
      <c r="F317" s="1862">
        <v>0.15</v>
      </c>
    </row>
    <row r="318" spans="1:6" ht="14.25" thickBot="1">
      <c r="A318" s="1859" t="s">
        <v>2219</v>
      </c>
      <c r="B318" s="1863" t="s">
        <v>2221</v>
      </c>
      <c r="C318" s="1864">
        <v>0.107</v>
      </c>
      <c r="D318" s="1864">
        <v>0.11</v>
      </c>
      <c r="E318" s="1864">
        <v>0.112</v>
      </c>
      <c r="F318" s="1872"/>
    </row>
    <row r="319" spans="1:6" ht="14.25" thickBot="1">
      <c r="A319" s="1859" t="s">
        <v>2219</v>
      </c>
      <c r="B319" s="1863" t="s">
        <v>2222</v>
      </c>
      <c r="C319" s="1864">
        <v>0.15</v>
      </c>
      <c r="D319" s="1864">
        <v>0.15</v>
      </c>
      <c r="E319" s="1864">
        <v>0.15</v>
      </c>
      <c r="F319" s="1865">
        <v>0.15</v>
      </c>
    </row>
    <row r="320" spans="1:6" ht="14.25" thickBot="1">
      <c r="A320" s="1859" t="s">
        <v>2219</v>
      </c>
      <c r="B320" s="1863" t="s">
        <v>1108</v>
      </c>
      <c r="C320" s="1864">
        <v>0.15</v>
      </c>
      <c r="D320" s="1864">
        <v>0.15</v>
      </c>
      <c r="E320" s="1864">
        <v>0.15</v>
      </c>
      <c r="F320" s="1872"/>
    </row>
    <row r="321" spans="1:6" ht="14.25" thickBot="1">
      <c r="A321" s="1859" t="s">
        <v>2219</v>
      </c>
      <c r="B321" s="1863" t="s">
        <v>2223</v>
      </c>
      <c r="C321" s="1864">
        <v>0.15</v>
      </c>
      <c r="D321" s="1864">
        <v>0.15</v>
      </c>
      <c r="E321" s="1864">
        <v>0.15</v>
      </c>
      <c r="F321" s="1872"/>
    </row>
    <row r="322" spans="1:6" ht="14.25" thickBot="1">
      <c r="A322" s="1859" t="s">
        <v>2219</v>
      </c>
      <c r="B322" s="1863" t="s">
        <v>2224</v>
      </c>
      <c r="C322" s="1864">
        <v>0.15</v>
      </c>
      <c r="D322" s="1864">
        <v>0.15</v>
      </c>
      <c r="E322" s="1864">
        <v>0.15</v>
      </c>
      <c r="F322" s="1865">
        <v>0.15</v>
      </c>
    </row>
    <row r="323" spans="1:6" ht="14.25" thickBot="1">
      <c r="A323" s="1859" t="s">
        <v>2219</v>
      </c>
      <c r="B323" s="1863" t="s">
        <v>2225</v>
      </c>
      <c r="C323" s="1864">
        <v>0.15</v>
      </c>
      <c r="D323" s="1864">
        <v>0.15</v>
      </c>
      <c r="E323" s="1864">
        <v>0.15</v>
      </c>
      <c r="F323" s="1872"/>
    </row>
    <row r="324" spans="1:6" ht="14.25" thickBot="1">
      <c r="A324" s="1859" t="s">
        <v>2219</v>
      </c>
      <c r="B324" s="1863" t="s">
        <v>2226</v>
      </c>
      <c r="C324" s="1864">
        <v>0.15</v>
      </c>
      <c r="D324" s="1864">
        <v>0.15</v>
      </c>
      <c r="E324" s="1864">
        <v>0.15</v>
      </c>
      <c r="F324" s="1872"/>
    </row>
    <row r="325" spans="1:6" ht="14.25" thickBot="1">
      <c r="A325" s="1859" t="s">
        <v>2219</v>
      </c>
      <c r="B325" s="1863" t="s">
        <v>2227</v>
      </c>
      <c r="C325" s="1864">
        <v>0.15</v>
      </c>
      <c r="D325" s="1864">
        <v>0.15</v>
      </c>
      <c r="E325" s="1864">
        <v>0.15</v>
      </c>
      <c r="F325" s="1865">
        <v>0.14699999999999999</v>
      </c>
    </row>
    <row r="326" spans="1:6" ht="14.25" thickBot="1">
      <c r="A326" s="1859" t="s">
        <v>2219</v>
      </c>
      <c r="B326" s="1863" t="s">
        <v>1177</v>
      </c>
      <c r="C326" s="1864">
        <v>0.15</v>
      </c>
      <c r="D326" s="1864">
        <v>0.15</v>
      </c>
      <c r="E326" s="1864">
        <v>0.15</v>
      </c>
      <c r="F326" s="1872"/>
    </row>
    <row r="327" spans="1:6" ht="14.25" thickBot="1">
      <c r="A327" s="1859" t="s">
        <v>2219</v>
      </c>
      <c r="B327" s="1863" t="s">
        <v>2228</v>
      </c>
      <c r="C327" s="1864">
        <v>0.15</v>
      </c>
      <c r="D327" s="1864">
        <v>0.15</v>
      </c>
      <c r="E327" s="1864">
        <v>0.15</v>
      </c>
      <c r="F327" s="1865">
        <v>0.15</v>
      </c>
    </row>
    <row r="328" spans="1:6" ht="14.25" thickBot="1">
      <c r="A328" s="1859" t="s">
        <v>2219</v>
      </c>
      <c r="B328" s="1863" t="s">
        <v>1197</v>
      </c>
      <c r="C328" s="1864">
        <v>0.15</v>
      </c>
      <c r="D328" s="1864">
        <v>0.15</v>
      </c>
      <c r="E328" s="1864">
        <v>0.15</v>
      </c>
      <c r="F328" s="1865">
        <v>0.14099999999999999</v>
      </c>
    </row>
    <row r="329" spans="1:6" ht="14.25" thickBot="1">
      <c r="A329" s="1859" t="s">
        <v>2219</v>
      </c>
      <c r="B329" s="1863" t="s">
        <v>1207</v>
      </c>
      <c r="C329" s="1864">
        <v>0.15</v>
      </c>
      <c r="D329" s="1864">
        <v>0.15</v>
      </c>
      <c r="E329" s="1864">
        <v>0.15</v>
      </c>
      <c r="F329" s="1865">
        <v>0.15</v>
      </c>
    </row>
    <row r="330" spans="1:6" ht="14.25" thickBot="1">
      <c r="A330" s="1859" t="s">
        <v>2219</v>
      </c>
      <c r="B330" s="1863" t="s">
        <v>1217</v>
      </c>
      <c r="C330" s="1864">
        <v>0.15</v>
      </c>
      <c r="D330" s="1864">
        <v>0.15</v>
      </c>
      <c r="E330" s="1864">
        <v>0.15</v>
      </c>
      <c r="F330" s="1872"/>
    </row>
    <row r="331" spans="1:6" ht="14.25" thickBot="1">
      <c r="A331" s="1859" t="s">
        <v>2219</v>
      </c>
      <c r="B331" s="1863" t="s">
        <v>2229</v>
      </c>
      <c r="C331" s="1864">
        <v>0.15</v>
      </c>
      <c r="D331" s="1864">
        <v>0.15</v>
      </c>
      <c r="E331" s="1864">
        <v>0.15</v>
      </c>
      <c r="F331" s="1865">
        <v>0.15</v>
      </c>
    </row>
    <row r="332" spans="1:6" ht="14.25" thickBot="1">
      <c r="A332" s="1859" t="s">
        <v>2219</v>
      </c>
      <c r="B332" s="1863" t="s">
        <v>1237</v>
      </c>
      <c r="C332" s="1864">
        <v>0.15</v>
      </c>
      <c r="D332" s="1864">
        <v>0.15</v>
      </c>
      <c r="E332" s="1864">
        <v>0.15</v>
      </c>
      <c r="F332" s="1865">
        <v>0.15</v>
      </c>
    </row>
    <row r="333" spans="1:6" ht="14.25" thickBot="1">
      <c r="A333" s="1859" t="s">
        <v>2219</v>
      </c>
      <c r="B333" s="1863" t="s">
        <v>2230</v>
      </c>
      <c r="C333" s="1864">
        <v>0.15</v>
      </c>
      <c r="D333" s="1864">
        <v>0.15</v>
      </c>
      <c r="E333" s="1864">
        <v>0.15</v>
      </c>
      <c r="F333" s="1865">
        <v>0.14099999999999999</v>
      </c>
    </row>
    <row r="334" spans="1:6" ht="14.25" thickBot="1">
      <c r="A334" s="1859" t="s">
        <v>2219</v>
      </c>
      <c r="B334" s="1863" t="s">
        <v>1257</v>
      </c>
      <c r="C334" s="1864">
        <v>0.15</v>
      </c>
      <c r="D334" s="1864">
        <v>0.15</v>
      </c>
      <c r="E334" s="1864">
        <v>0.15</v>
      </c>
      <c r="F334" s="1865">
        <v>0.15</v>
      </c>
    </row>
    <row r="335" spans="1:6" ht="14.25" thickBot="1">
      <c r="A335" s="1859" t="s">
        <v>2219</v>
      </c>
      <c r="B335" s="1863" t="s">
        <v>1267</v>
      </c>
      <c r="C335" s="1864">
        <v>0.15</v>
      </c>
      <c r="D335" s="1864">
        <v>0.15</v>
      </c>
      <c r="E335" s="1864">
        <v>0.15</v>
      </c>
      <c r="F335" s="1872"/>
    </row>
    <row r="336" spans="1:6" ht="14.25" thickBot="1">
      <c r="A336" s="1859" t="s">
        <v>2219</v>
      </c>
      <c r="B336" s="1863" t="s">
        <v>2231</v>
      </c>
      <c r="C336" s="1864">
        <v>0.15</v>
      </c>
      <c r="D336" s="1864">
        <v>0.15</v>
      </c>
      <c r="E336" s="1864">
        <v>0.15</v>
      </c>
      <c r="F336" s="1865">
        <v>0.11799999999999999</v>
      </c>
    </row>
    <row r="337" spans="1:6" ht="14.25" thickBot="1">
      <c r="A337" s="1867" t="s">
        <v>2219</v>
      </c>
      <c r="B337" s="1874" t="s">
        <v>1285</v>
      </c>
      <c r="C337" s="1870"/>
      <c r="D337" s="1870"/>
      <c r="E337" s="1870"/>
      <c r="F337" s="1875">
        <v>0.14299999999999999</v>
      </c>
    </row>
    <row r="338" spans="1:6" ht="14.25" thickBot="1">
      <c r="A338" s="1859" t="s">
        <v>2232</v>
      </c>
      <c r="B338" s="1860" t="s">
        <v>2233</v>
      </c>
      <c r="C338" s="1861">
        <v>0.15</v>
      </c>
      <c r="D338" s="1861">
        <v>0.15</v>
      </c>
      <c r="E338" s="1861">
        <v>0.15</v>
      </c>
      <c r="F338" s="1883"/>
    </row>
    <row r="339" spans="1:6" ht="14.25" thickBot="1">
      <c r="A339" s="1859" t="s">
        <v>2232</v>
      </c>
      <c r="B339" s="1863" t="s">
        <v>2234</v>
      </c>
      <c r="C339" s="1864">
        <v>0.15</v>
      </c>
      <c r="D339" s="1864">
        <v>0.15</v>
      </c>
      <c r="E339" s="1864">
        <v>0.15</v>
      </c>
      <c r="F339" s="1872"/>
    </row>
    <row r="340" spans="1:6" ht="14.25" thickBot="1">
      <c r="A340" s="1859" t="s">
        <v>2232</v>
      </c>
      <c r="B340" s="1863" t="s">
        <v>2235</v>
      </c>
      <c r="C340" s="1864">
        <v>0.15</v>
      </c>
      <c r="D340" s="1864">
        <v>0.15</v>
      </c>
      <c r="E340" s="1864">
        <v>0.15</v>
      </c>
      <c r="F340" s="1872"/>
    </row>
    <row r="341" spans="1:6" ht="14.25" thickBot="1">
      <c r="A341" s="1859" t="s">
        <v>2236</v>
      </c>
      <c r="B341" s="1863" t="s">
        <v>2237</v>
      </c>
      <c r="C341" s="1864">
        <v>0.15</v>
      </c>
      <c r="D341" s="1864">
        <v>0.15</v>
      </c>
      <c r="E341" s="1864">
        <v>0.15</v>
      </c>
      <c r="F341" s="1865">
        <v>0.15</v>
      </c>
    </row>
    <row r="342" spans="1:6" ht="14.25" thickBot="1">
      <c r="A342" s="1859" t="s">
        <v>2232</v>
      </c>
      <c r="B342" s="1863" t="s">
        <v>2238</v>
      </c>
      <c r="C342" s="1864">
        <v>0.15</v>
      </c>
      <c r="D342" s="1864">
        <v>0.15</v>
      </c>
      <c r="E342" s="1864">
        <v>0.15</v>
      </c>
      <c r="F342" s="1865">
        <v>0.15</v>
      </c>
    </row>
    <row r="343" spans="1:6" ht="14.25" thickBot="1">
      <c r="A343" s="1859" t="s">
        <v>2232</v>
      </c>
      <c r="B343" s="1863" t="s">
        <v>2239</v>
      </c>
      <c r="C343" s="1864">
        <v>0.15</v>
      </c>
      <c r="D343" s="1864">
        <v>0.15</v>
      </c>
      <c r="E343" s="1864">
        <v>0.15</v>
      </c>
      <c r="F343" s="1865">
        <v>0.15</v>
      </c>
    </row>
    <row r="344" spans="1:6" ht="14.25" thickBot="1">
      <c r="A344" s="1867" t="s">
        <v>2232</v>
      </c>
      <c r="B344" s="1874" t="s">
        <v>2240</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2955</v>
      </c>
      <c r="B1" s="3136"/>
      <c r="C1" s="3136"/>
      <c r="D1" s="3136"/>
      <c r="E1" s="3136"/>
      <c r="F1" s="3136"/>
    </row>
    <row r="2" spans="1:6" ht="14.25">
      <c r="A2" s="3137" t="s">
        <v>2949</v>
      </c>
      <c r="B2" s="3138">
        <f ca="1">SUMIF(B7:B14,"&lt;&gt;#ref!",B7:B14)</f>
        <v>0</v>
      </c>
      <c r="C2" s="3137" t="s">
        <v>2950</v>
      </c>
      <c r="D2" s="3136"/>
      <c r="E2" s="3136"/>
      <c r="F2" s="3136"/>
    </row>
    <row r="3" spans="1:6" ht="14.25">
      <c r="A3" s="3137" t="s">
        <v>2952</v>
      </c>
      <c r="B3" s="3138" t="e">
        <f ca="1">ROUND(B2*10000/E3,0)</f>
        <v>#REF!</v>
      </c>
      <c r="C3" s="3137" t="s">
        <v>2081</v>
      </c>
      <c r="D3" s="3137" t="s">
        <v>2951</v>
      </c>
      <c r="E3" s="3138" t="e">
        <f ca="1">SUM(E7:E14)</f>
        <v>#REF!</v>
      </c>
      <c r="F3" s="3136"/>
    </row>
    <row r="4" spans="1:6" ht="14.25">
      <c r="A4" s="3137" t="s">
        <v>2959</v>
      </c>
      <c r="B4" s="3138" t="e">
        <f ca="1">ROUND(B2*10000/E4,0)</f>
        <v>#REF!</v>
      </c>
      <c r="C4" s="3137" t="s">
        <v>2081</v>
      </c>
      <c r="D4" s="3137" t="s">
        <v>2960</v>
      </c>
      <c r="E4" s="3138" t="e">
        <f ca="1">SUM(F7:F14)</f>
        <v>#REF!</v>
      </c>
      <c r="F4" s="3136"/>
    </row>
    <row r="5" spans="1:6" ht="14.25">
      <c r="A5" s="3139"/>
      <c r="B5" s="1885"/>
      <c r="C5" s="1885"/>
      <c r="D5" s="1885"/>
      <c r="E5" s="1885"/>
      <c r="F5" s="3136"/>
    </row>
    <row r="6" spans="1:6" ht="28.5">
      <c r="A6" s="3140" t="s">
        <v>2956</v>
      </c>
      <c r="B6" s="3137" t="s">
        <v>2953</v>
      </c>
      <c r="C6" s="3138"/>
      <c r="D6" s="1885"/>
      <c r="E6" s="3137" t="s">
        <v>2954</v>
      </c>
      <c r="F6" s="3137" t="s">
        <v>2958</v>
      </c>
    </row>
    <row r="7" spans="1:6" ht="14.25">
      <c r="A7" s="260" t="s">
        <v>2957</v>
      </c>
      <c r="B7" s="3141">
        <f ca="1">SUMIF(INDIRECT("'"&amp;A7&amp;"'"&amp;"!A:A"),"总价",INDIRECT("'"&amp;A7&amp;"'"&amp;"!B:B"))</f>
        <v>0</v>
      </c>
      <c r="C7" s="3137" t="s">
        <v>2950</v>
      </c>
      <c r="D7" s="1885"/>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2950</v>
      </c>
      <c r="D8" s="1885"/>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2950</v>
      </c>
      <c r="D9" s="1885"/>
      <c r="E9" s="3142" t="e">
        <f t="shared" ca="1" si="1"/>
        <v>#REF!</v>
      </c>
      <c r="F9" s="3142" t="e">
        <f t="shared" ca="1" si="2"/>
        <v>#REF!</v>
      </c>
    </row>
    <row r="10" spans="1:6" ht="14.25">
      <c r="A10" s="260"/>
      <c r="B10" s="3141" t="e">
        <f t="shared" ca="1" si="0"/>
        <v>#REF!</v>
      </c>
      <c r="C10" s="3137" t="s">
        <v>2950</v>
      </c>
      <c r="D10" s="1885"/>
      <c r="E10" s="3142" t="e">
        <f t="shared" ca="1" si="1"/>
        <v>#REF!</v>
      </c>
      <c r="F10" s="3142" t="e">
        <f t="shared" ca="1" si="2"/>
        <v>#REF!</v>
      </c>
    </row>
    <row r="11" spans="1:6" ht="14.25">
      <c r="A11" s="260"/>
      <c r="B11" s="3141" t="e">
        <f t="shared" ca="1" si="0"/>
        <v>#REF!</v>
      </c>
      <c r="C11" s="3137" t="s">
        <v>2950</v>
      </c>
      <c r="D11" s="1885"/>
      <c r="E11" s="3142" t="e">
        <f t="shared" ca="1" si="1"/>
        <v>#REF!</v>
      </c>
      <c r="F11" s="3142" t="e">
        <f t="shared" ca="1" si="2"/>
        <v>#REF!</v>
      </c>
    </row>
    <row r="12" spans="1:6" ht="14.25">
      <c r="A12" s="260"/>
      <c r="B12" s="3141" t="e">
        <f t="shared" ca="1" si="0"/>
        <v>#REF!</v>
      </c>
      <c r="C12" s="3137" t="s">
        <v>2950</v>
      </c>
      <c r="D12" s="1885"/>
      <c r="E12" s="3142" t="e">
        <f t="shared" ca="1" si="1"/>
        <v>#REF!</v>
      </c>
      <c r="F12" s="3142" t="e">
        <f t="shared" ca="1" si="2"/>
        <v>#REF!</v>
      </c>
    </row>
    <row r="13" spans="1:6" ht="14.25">
      <c r="A13" s="260"/>
      <c r="B13" s="3141" t="e">
        <f t="shared" ca="1" si="0"/>
        <v>#REF!</v>
      </c>
      <c r="C13" s="3137" t="s">
        <v>2950</v>
      </c>
      <c r="D13" s="1885"/>
      <c r="E13" s="3142" t="e">
        <f t="shared" ca="1" si="1"/>
        <v>#REF!</v>
      </c>
      <c r="F13" s="3142" t="e">
        <f t="shared" ca="1" si="2"/>
        <v>#REF!</v>
      </c>
    </row>
    <row r="14" spans="1:6" ht="14.25">
      <c r="A14" s="3135"/>
      <c r="B14" s="3141" t="e">
        <f t="shared" ca="1" si="0"/>
        <v>#REF!</v>
      </c>
      <c r="C14" s="3137" t="s">
        <v>2950</v>
      </c>
      <c r="D14" s="1885"/>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2378</v>
      </c>
      <c r="F1" s="2416">
        <f ca="1">J54</f>
        <v>0</v>
      </c>
      <c r="G1" s="777">
        <f>MATCH(C1,'数据-取费表'!A6:A16,0)+5</f>
        <v>11</v>
      </c>
      <c r="H1" s="1353"/>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4"/>
      <c r="D2" s="2059"/>
      <c r="E2" s="2060"/>
      <c r="F2" s="2060"/>
      <c r="G2" s="1593"/>
      <c r="H2" s="1366"/>
      <c r="I2" s="2061"/>
      <c r="J2" s="2061"/>
      <c r="K2" s="2062"/>
      <c r="L2" s="2061"/>
      <c r="M2" s="2061"/>
    </row>
    <row r="3" spans="1:25" ht="18" customHeight="1">
      <c r="A3" s="1648" t="s">
        <v>1687</v>
      </c>
      <c r="B3" s="1394">
        <f ca="1">ROUND(B2*10000/'数据-汇总表'!E3,0)</f>
        <v>0</v>
      </c>
      <c r="C3" s="1354"/>
      <c r="D3" s="2059"/>
      <c r="E3" s="2060"/>
      <c r="F3" s="2060"/>
      <c r="G3" s="1593"/>
      <c r="H3" s="779" t="s">
        <v>696</v>
      </c>
      <c r="I3" s="2061"/>
      <c r="J3" s="2061"/>
      <c r="K3" s="2062"/>
      <c r="L3" s="2061"/>
      <c r="M3" s="2061"/>
    </row>
    <row r="4" spans="1:25" ht="18" customHeight="1">
      <c r="A4" s="1649" t="s">
        <v>697</v>
      </c>
      <c r="B4" s="1355">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2463</v>
      </c>
      <c r="C7" s="53">
        <f ca="1">C8+C12+C14</f>
        <v>0</v>
      </c>
      <c r="D7" s="2524" t="s">
        <v>2466</v>
      </c>
      <c r="E7" s="2518"/>
      <c r="F7" s="2519"/>
      <c r="G7" s="1595"/>
      <c r="H7" s="784">
        <v>1</v>
      </c>
      <c r="I7" s="785" t="s">
        <v>2463</v>
      </c>
      <c r="J7" s="53">
        <f ca="1">J8+J12+J14</f>
        <v>0</v>
      </c>
      <c r="K7" s="2524" t="s">
        <v>2466</v>
      </c>
      <c r="L7" s="2518"/>
      <c r="M7" s="2519"/>
    </row>
    <row r="8" spans="1:25" ht="18" customHeight="1">
      <c r="A8" s="1834" t="s">
        <v>1825</v>
      </c>
      <c r="B8" s="3425" t="s">
        <v>2468</v>
      </c>
      <c r="C8" s="1829">
        <f ca="1">ROUND(F8*F10*F9*(1-F11)/10000,0)</f>
        <v>0</v>
      </c>
      <c r="D8" s="1826" t="s">
        <v>2540</v>
      </c>
      <c r="E8" s="61" t="s">
        <v>638</v>
      </c>
      <c r="F8" s="788">
        <f ca="1">INDIRECT("'数据-取费表'!u"&amp;$G$1)</f>
        <v>0</v>
      </c>
      <c r="G8" s="1595"/>
      <c r="H8" s="2532" t="s">
        <v>1825</v>
      </c>
      <c r="I8" s="3425" t="s">
        <v>2468</v>
      </c>
      <c r="J8" s="786">
        <f ca="1">ROUND(M8*M10*M9*(1-M11)/10000,0)</f>
        <v>0</v>
      </c>
      <c r="K8" s="344" t="s">
        <v>2540</v>
      </c>
      <c r="L8" s="787" t="s">
        <v>1739</v>
      </c>
      <c r="M8" s="788">
        <f ca="1">INDIRECT("'数据-取费表'!z"&amp;$G$1)</f>
        <v>0</v>
      </c>
    </row>
    <row r="9" spans="1:25" ht="18" customHeight="1">
      <c r="A9" s="2528"/>
      <c r="B9" s="3426"/>
      <c r="C9" s="1830"/>
      <c r="D9" s="1827"/>
      <c r="E9" s="61" t="s">
        <v>639</v>
      </c>
      <c r="F9" s="788">
        <f ca="1">IF(INDIRECT("'数据-取费表'!ah"&amp;$G$1)="",INDIRECT("'数据-取费表'!k"&amp;$G$1),INDIRECT("'数据-取费表'!ah"&amp;$G$1))</f>
        <v>0</v>
      </c>
      <c r="G9" s="1595"/>
      <c r="H9" s="2517"/>
      <c r="I9" s="3426"/>
      <c r="J9" s="791"/>
      <c r="K9" s="792"/>
      <c r="L9" s="787" t="s">
        <v>1740</v>
      </c>
      <c r="M9" s="788">
        <f ca="1">F9</f>
        <v>0</v>
      </c>
    </row>
    <row r="10" spans="1:25" ht="18" customHeight="1">
      <c r="A10" s="2521"/>
      <c r="B10" s="3427"/>
      <c r="C10" s="1830"/>
      <c r="D10" s="1827"/>
      <c r="E10" s="61" t="s">
        <v>640</v>
      </c>
      <c r="F10" s="788">
        <f ca="1">INDIRECT("'数据-取费表'!ai"&amp;$G$1)</f>
        <v>0</v>
      </c>
      <c r="G10" s="1595"/>
      <c r="H10" s="2517"/>
      <c r="I10" s="3427"/>
      <c r="J10" s="791"/>
      <c r="K10" s="792"/>
      <c r="L10" s="787" t="s">
        <v>1741</v>
      </c>
      <c r="M10" s="788">
        <f ca="1">INDIRECT("'数据-取费表'!ai"&amp;$G$1)</f>
        <v>0</v>
      </c>
    </row>
    <row r="11" spans="1:25" ht="18" customHeight="1">
      <c r="A11" s="789"/>
      <c r="B11" s="3428"/>
      <c r="C11" s="1830"/>
      <c r="D11" s="1827"/>
      <c r="E11" s="61" t="s">
        <v>641</v>
      </c>
      <c r="F11" s="797">
        <f ca="1">INDIRECT("'数据-取费表'!w"&amp;$G$1)</f>
        <v>0</v>
      </c>
      <c r="G11" s="1595"/>
      <c r="H11" s="2533"/>
      <c r="I11" s="3427"/>
      <c r="J11" s="791"/>
      <c r="K11" s="792"/>
      <c r="L11" s="798" t="s">
        <v>1742</v>
      </c>
      <c r="M11" s="799">
        <f ca="1">INDIRECT("'数据-取费表'!ab"&amp;$G$1)</f>
        <v>0</v>
      </c>
    </row>
    <row r="12" spans="1:25" ht="18" customHeight="1">
      <c r="A12" s="1834" t="s">
        <v>1826</v>
      </c>
      <c r="B12" s="2522" t="s">
        <v>2464</v>
      </c>
      <c r="C12" s="802">
        <f ca="1">ROUND(IF(F12="押一",F8*F10*F9/12*F13,IF(F12="押二",F8*F10*F9/12*2*F13,IF(F12="押三",F8*F10*F9/12*3*F13,C13*F13)))/10000,0)</f>
        <v>0</v>
      </c>
      <c r="D12" s="2529" t="s">
        <v>2471</v>
      </c>
      <c r="E12" s="2526" t="s">
        <v>2469</v>
      </c>
      <c r="F12" s="2649"/>
      <c r="G12" s="1595"/>
      <c r="H12" s="2589" t="s">
        <v>1826</v>
      </c>
      <c r="I12" s="2594" t="s">
        <v>2464</v>
      </c>
      <c r="J12" s="786">
        <f ca="1">ROUND(IF(M12="押一",M8*M10*M9/12*M13,IF(M12="押二",M8*M10*M9/12*2*M13,IF(M12="押三",M8*M10*M9/12*3*M13,J13*M13)))/10000,0)</f>
        <v>0</v>
      </c>
      <c r="K12" s="2529" t="s">
        <v>2471</v>
      </c>
      <c r="L12" s="2526" t="s">
        <v>2469</v>
      </c>
      <c r="M12" s="2649"/>
    </row>
    <row r="13" spans="1:25" ht="18" customHeight="1">
      <c r="A13" s="793"/>
      <c r="B13" s="2523" t="s">
        <v>2579</v>
      </c>
      <c r="C13" s="2527"/>
      <c r="D13" s="792"/>
      <c r="E13" s="2526" t="s">
        <v>2461</v>
      </c>
      <c r="F13" s="799">
        <f ca="1">'数据-取费表'!B39</f>
        <v>1.4999999999999999E-2</v>
      </c>
      <c r="G13" s="1595"/>
      <c r="H13" s="2590"/>
      <c r="I13" s="2523" t="s">
        <v>2579</v>
      </c>
      <c r="J13" s="2527"/>
      <c r="K13" s="2591"/>
      <c r="L13" s="2526" t="s">
        <v>2461</v>
      </c>
      <c r="M13" s="2520">
        <f ca="1">'数据-取费表'!B39</f>
        <v>1.4999999999999999E-2</v>
      </c>
    </row>
    <row r="14" spans="1:25" ht="18" customHeight="1" thickBot="1">
      <c r="A14" s="2565" t="s">
        <v>2473</v>
      </c>
      <c r="B14" s="2566" t="s">
        <v>2465</v>
      </c>
      <c r="C14" s="2567"/>
      <c r="D14" s="2568"/>
      <c r="E14" s="2569"/>
      <c r="F14" s="2570"/>
      <c r="G14" s="1595"/>
      <c r="H14" s="2579" t="s">
        <v>2473</v>
      </c>
      <c r="I14" s="2592" t="s">
        <v>2465</v>
      </c>
      <c r="J14" s="2593"/>
      <c r="K14" s="2568"/>
      <c r="L14" s="2569"/>
      <c r="M14" s="2582"/>
    </row>
    <row r="15" spans="1:25" ht="18" customHeight="1" thickTop="1">
      <c r="A15" s="1833" t="s">
        <v>1875</v>
      </c>
      <c r="B15" s="1831" t="s">
        <v>642</v>
      </c>
      <c r="C15" s="795">
        <f ca="1">ROUND(C31*F15,0)</f>
        <v>0</v>
      </c>
      <c r="D15" s="1838" t="s">
        <v>643</v>
      </c>
      <c r="E15" s="798" t="s">
        <v>644</v>
      </c>
      <c r="F15" s="803">
        <f ca="1">INDIRECT("'数据-取费表'!y"&amp;$G$1)</f>
        <v>0</v>
      </c>
      <c r="G15" s="1595"/>
      <c r="H15" s="1833" t="s">
        <v>1827</v>
      </c>
      <c r="I15" s="1831" t="s">
        <v>645</v>
      </c>
      <c r="J15" s="1823">
        <f ca="1">ROUND(J16*J17,0)</f>
        <v>0</v>
      </c>
      <c r="K15" s="1825" t="s">
        <v>643</v>
      </c>
      <c r="L15" s="804"/>
      <c r="M15" s="805"/>
    </row>
    <row r="16" spans="1:25" ht="18" customHeight="1">
      <c r="A16" s="806" t="s">
        <v>1876</v>
      </c>
      <c r="B16" s="787" t="s">
        <v>646</v>
      </c>
      <c r="C16" s="807">
        <f ca="1">INDIRECT("'数据-取费表'!m"&amp;$G$1)+INDIRECT("'数据-取费表'!t"&amp;$G$1)</f>
        <v>0</v>
      </c>
      <c r="D16" s="1983" t="s">
        <v>647</v>
      </c>
      <c r="E16" s="1984"/>
      <c r="F16" s="808"/>
      <c r="G16" s="1595"/>
      <c r="H16" s="806" t="s">
        <v>2072</v>
      </c>
      <c r="I16" s="2235" t="s">
        <v>2832</v>
      </c>
      <c r="J16" s="53">
        <f ca="1">C31</f>
        <v>0</v>
      </c>
      <c r="K16" s="26"/>
      <c r="L16" s="804"/>
      <c r="M16" s="805"/>
    </row>
    <row r="17" spans="1:25" s="2068" customFormat="1" ht="18" customHeight="1">
      <c r="A17" s="806" t="s">
        <v>1850</v>
      </c>
      <c r="B17" s="787" t="s">
        <v>648</v>
      </c>
      <c r="C17" s="53">
        <f ca="1">ROUND(C16*F17,0)</f>
        <v>0</v>
      </c>
      <c r="D17" s="809" t="s">
        <v>649</v>
      </c>
      <c r="E17" s="809" t="s">
        <v>650</v>
      </c>
      <c r="F17" s="810">
        <f>'数据-取费表'!B33</f>
        <v>0.05</v>
      </c>
      <c r="G17" s="1596"/>
      <c r="H17" s="806" t="s">
        <v>2073</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5"/>
      <c r="H18" s="800" t="s">
        <v>1828</v>
      </c>
      <c r="I18" s="801" t="s">
        <v>652</v>
      </c>
      <c r="J18" s="802">
        <f ca="1">ROUND(J19+J24+J25+J26,0)</f>
        <v>0</v>
      </c>
      <c r="K18" s="26" t="s">
        <v>653</v>
      </c>
      <c r="L18" s="1986"/>
      <c r="M18" s="56"/>
    </row>
    <row r="19" spans="1:25" s="2068" customFormat="1" ht="18" customHeight="1">
      <c r="A19" s="806" t="s">
        <v>1852</v>
      </c>
      <c r="B19" s="787" t="s">
        <v>654</v>
      </c>
      <c r="C19" s="53">
        <f ca="1">ROUND(F19*(INDIRECT("'数据-取费表'!k"&amp;$G$1)+INDIRECT("'数据-取费表'!S"&amp;$G$1))/10000,0)</f>
        <v>0</v>
      </c>
      <c r="D19" s="787" t="s">
        <v>655</v>
      </c>
      <c r="E19" s="787" t="s">
        <v>656</v>
      </c>
      <c r="F19" s="56">
        <f>'数据-取费表'!B35</f>
        <v>200</v>
      </c>
      <c r="G19" s="1596"/>
      <c r="H19" s="806" t="s">
        <v>2072</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1853</v>
      </c>
      <c r="B20" s="787" t="s">
        <v>660</v>
      </c>
      <c r="C20" s="53">
        <f ca="1">ROUND(C16*F20,0)</f>
        <v>0</v>
      </c>
      <c r="D20" s="787" t="s">
        <v>649</v>
      </c>
      <c r="E20" s="787" t="s">
        <v>650</v>
      </c>
      <c r="F20" s="812">
        <f>'数据-取费表'!B36</f>
        <v>1.4999999999999999E-2</v>
      </c>
      <c r="G20" s="1596"/>
      <c r="H20" s="806" t="s">
        <v>1832</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1877</v>
      </c>
      <c r="B21" s="787" t="s">
        <v>663</v>
      </c>
      <c r="C21" s="53">
        <f ca="1">SUM(C16:C20)</f>
        <v>0</v>
      </c>
      <c r="D21" s="261" t="s">
        <v>664</v>
      </c>
      <c r="E21" s="1986"/>
      <c r="F21" s="56"/>
      <c r="G21" s="1595"/>
      <c r="H21" s="1834" t="s">
        <v>1850</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1878</v>
      </c>
      <c r="B22" s="787" t="s">
        <v>667</v>
      </c>
      <c r="C22" s="53">
        <f ca="1">ROUND(C21*F22,0)</f>
        <v>0</v>
      </c>
      <c r="D22" s="815" t="s">
        <v>668</v>
      </c>
      <c r="E22" s="787" t="s">
        <v>650</v>
      </c>
      <c r="F22" s="812">
        <f>'数据-取费表'!B37</f>
        <v>0.03</v>
      </c>
      <c r="G22" s="1596"/>
      <c r="H22" s="1836" t="s">
        <v>1851</v>
      </c>
      <c r="I22" s="1826" t="s">
        <v>669</v>
      </c>
      <c r="J22" s="54">
        <f ca="1">ROUND(M22*M23/10000,0)</f>
        <v>0</v>
      </c>
      <c r="K22" s="817" t="s">
        <v>670</v>
      </c>
      <c r="L22" s="787" t="s">
        <v>671</v>
      </c>
      <c r="M22" s="643">
        <f>'数据-取费表'!B52</f>
        <v>3</v>
      </c>
      <c r="N22" s="2067"/>
      <c r="O22" s="2067"/>
      <c r="P22" s="2067"/>
      <c r="Q22" s="2067"/>
      <c r="R22" s="2067"/>
      <c r="S22" s="2067"/>
      <c r="T22" s="2067"/>
      <c r="U22" s="2067"/>
      <c r="V22" s="2067"/>
      <c r="W22" s="2067"/>
      <c r="X22" s="2067"/>
      <c r="Y22" s="2067"/>
    </row>
    <row r="23" spans="1:25" s="2068" customFormat="1" ht="18" customHeight="1">
      <c r="A23" s="806" t="s">
        <v>1879</v>
      </c>
      <c r="B23" s="787" t="s">
        <v>672</v>
      </c>
      <c r="C23" s="53" t="s">
        <v>1</v>
      </c>
      <c r="D23" s="815" t="s">
        <v>673</v>
      </c>
      <c r="E23" s="787" t="s">
        <v>674</v>
      </c>
      <c r="F23" s="812">
        <f>'数据-取费表'!B38</f>
        <v>0.03</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1880</v>
      </c>
      <c r="B24" s="787" t="s">
        <v>676</v>
      </c>
      <c r="C24" s="53"/>
      <c r="D24" s="2600" t="str">
        <f>IF(F25&lt;=1,"单利计息。","复利计息。")&amp;"建造成本、管理费用、销售费用产生的利息。"</f>
        <v>复利计息。建造成本、管理费用、销售费用产生的利息。</v>
      </c>
      <c r="E24" s="1986"/>
      <c r="F24" s="56"/>
      <c r="G24" s="1595"/>
      <c r="H24" s="1835" t="s">
        <v>2073</v>
      </c>
      <c r="I24" s="787" t="s">
        <v>677</v>
      </c>
      <c r="J24" s="53">
        <f ca="1">ROUND(J16*M24,0)</f>
        <v>0</v>
      </c>
      <c r="K24" s="1981" t="s">
        <v>678</v>
      </c>
      <c r="L24" s="787" t="s">
        <v>650</v>
      </c>
      <c r="M24" s="820">
        <f ca="1">INDIRECT("'数据-取费表'!Ak"&amp;$G$1)</f>
        <v>0</v>
      </c>
    </row>
    <row r="25" spans="1:25" s="2068" customFormat="1" ht="18" customHeight="1">
      <c r="A25" s="806" t="s">
        <v>1876</v>
      </c>
      <c r="B25" s="787" t="s">
        <v>2441</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3</v>
      </c>
      <c r="G25" s="1596"/>
      <c r="H25" s="806" t="s">
        <v>1879</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1850</v>
      </c>
      <c r="B26" s="787" t="s">
        <v>682</v>
      </c>
      <c r="C26" s="53">
        <f ca="1">ROUND(IF('数据-取费表'!B22&lt;=1,F23*F26*F25/2,F23*(POWER((1+F26),F25/2)-1)),4)</f>
        <v>2.2000000000000001E-3</v>
      </c>
      <c r="D26" s="2599" t="str">
        <f>IF(F25&lt;=1,"销售费用×利率×(建设周期÷2)","销售费用×((1+利率)^(建设周期÷2)-1)")</f>
        <v>销售费用×((1+利率)^(建设周期÷2)-1)</v>
      </c>
      <c r="E26" s="787" t="s">
        <v>683</v>
      </c>
      <c r="F26" s="822">
        <f ca="1">'数据-取费表'!B40</f>
        <v>4.7500000000000001E-2</v>
      </c>
      <c r="G26" s="1596"/>
      <c r="H26" s="806" t="s">
        <v>1880</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1882</v>
      </c>
      <c r="B27" s="787" t="s">
        <v>685</v>
      </c>
      <c r="C27" s="53"/>
      <c r="D27" s="261" t="s">
        <v>686</v>
      </c>
      <c r="E27" s="1986"/>
      <c r="F27" s="56"/>
      <c r="G27" s="1595"/>
      <c r="H27" s="800" t="s">
        <v>1829</v>
      </c>
      <c r="I27" s="3040" t="s">
        <v>2829</v>
      </c>
      <c r="J27" s="802">
        <f ca="1">J7-J18</f>
        <v>0</v>
      </c>
      <c r="K27" s="1983" t="s">
        <v>701</v>
      </c>
      <c r="L27" s="1985"/>
      <c r="M27" s="823"/>
    </row>
    <row r="28" spans="1:25" ht="18" customHeight="1">
      <c r="A28" s="806" t="s">
        <v>1876</v>
      </c>
      <c r="B28" s="787" t="s">
        <v>2442</v>
      </c>
      <c r="C28" s="53">
        <f ca="1">ROUND((C21+C22)*F28,0)</f>
        <v>0</v>
      </c>
      <c r="D28" s="815" t="s">
        <v>702</v>
      </c>
      <c r="E28" s="798" t="s">
        <v>703</v>
      </c>
      <c r="F28" s="797">
        <f ca="1">INDIRECT("'数据-取费表'!q"&amp;$G$1)</f>
        <v>0</v>
      </c>
      <c r="G28" s="1595"/>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1883</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1884</v>
      </c>
      <c r="B31" s="2569" t="s">
        <v>2830</v>
      </c>
      <c r="C31" s="2572">
        <f ca="1">ROUND((C21+C22+C25+C28)/(1-F23-C26-C29-C30),0)</f>
        <v>0</v>
      </c>
      <c r="D31" s="2573"/>
      <c r="E31" s="2574"/>
      <c r="F31" s="2575"/>
      <c r="G31" s="1596"/>
      <c r="H31" s="826" t="s">
        <v>1873</v>
      </c>
      <c r="I31" s="3041" t="s">
        <v>2831</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1877</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1876</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6"/>
      <c r="H35" s="2081"/>
      <c r="I35" s="2081"/>
      <c r="J35" s="2081"/>
      <c r="K35" s="2082"/>
      <c r="L35" s="2081"/>
      <c r="M35" s="2081"/>
    </row>
    <row r="36" spans="1:18" ht="18" customHeight="1">
      <c r="A36" s="816" t="s">
        <v>1881</v>
      </c>
      <c r="B36" s="344" t="s">
        <v>669</v>
      </c>
      <c r="C36" s="54">
        <f ca="1">ROUND(F36*F37/10000,1)</f>
        <v>0</v>
      </c>
      <c r="D36" s="817" t="s">
        <v>670</v>
      </c>
      <c r="E36" s="787" t="s">
        <v>671</v>
      </c>
      <c r="F36" s="643">
        <f>'数据-取费表'!B52</f>
        <v>3</v>
      </c>
      <c r="G36" s="2066"/>
      <c r="H36" s="2069"/>
      <c r="I36" s="3424"/>
      <c r="J36" s="2083"/>
      <c r="K36" s="2084"/>
      <c r="L36" s="2083"/>
      <c r="M36" s="2083"/>
    </row>
    <row r="37" spans="1:18" ht="18" customHeight="1">
      <c r="A37" s="818"/>
      <c r="B37" s="796"/>
      <c r="C37" s="69"/>
      <c r="D37" s="819"/>
      <c r="E37" s="787" t="s">
        <v>675</v>
      </c>
      <c r="F37" s="788">
        <f ca="1">INDIRECT("'数据-取费表'!r"&amp;$G$1)</f>
        <v>0</v>
      </c>
      <c r="G37" s="2066"/>
      <c r="H37" s="2069"/>
      <c r="I37" s="3424"/>
      <c r="J37" s="2081"/>
      <c r="K37" s="2082"/>
      <c r="L37" s="2081"/>
      <c r="M37" s="2081"/>
    </row>
    <row r="38" spans="1:18" ht="18" customHeight="1">
      <c r="A38" s="806" t="s">
        <v>1878</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1879</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1880</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1877</v>
      </c>
      <c r="B42" s="838" t="s">
        <v>694</v>
      </c>
      <c r="C42" s="832">
        <f ca="1">C7-C32</f>
        <v>0</v>
      </c>
      <c r="D42" s="1983" t="s">
        <v>695</v>
      </c>
      <c r="E42" s="1985"/>
      <c r="F42" s="823"/>
      <c r="G42" s="2066"/>
      <c r="H42" s="2066"/>
      <c r="I42" s="2066"/>
      <c r="J42" s="2066"/>
      <c r="K42" s="2087"/>
      <c r="L42" s="2066"/>
      <c r="M42" s="2066"/>
    </row>
    <row r="43" spans="1:18" ht="18" customHeight="1">
      <c r="A43" s="806" t="s">
        <v>1878</v>
      </c>
      <c r="B43" s="838" t="s">
        <v>712</v>
      </c>
      <c r="C43" s="839">
        <f ca="1">ROUND(C15*F43,0)</f>
        <v>0</v>
      </c>
      <c r="D43" s="1359" t="s">
        <v>713</v>
      </c>
      <c r="E43" s="3155" t="s">
        <v>2968</v>
      </c>
      <c r="F43" s="3156">
        <f ca="1">INDIRECT("'数据-取费表'!j"&amp;$G$1)</f>
        <v>0</v>
      </c>
      <c r="G43" s="2066"/>
      <c r="H43" s="2066"/>
      <c r="I43" s="2066"/>
      <c r="J43" s="2066"/>
      <c r="K43" s="2087"/>
      <c r="L43" s="2066"/>
      <c r="M43" s="2066"/>
    </row>
    <row r="44" spans="1:18" ht="18" customHeight="1">
      <c r="A44" s="806" t="s">
        <v>1879</v>
      </c>
      <c r="B44" s="838" t="s">
        <v>714</v>
      </c>
      <c r="C44" s="1360">
        <f ca="1">C42-C43</f>
        <v>0</v>
      </c>
      <c r="D44" s="466" t="s">
        <v>715</v>
      </c>
      <c r="E44" s="467"/>
      <c r="F44" s="468"/>
      <c r="G44" s="2066"/>
      <c r="H44" s="2066"/>
      <c r="I44" s="2066"/>
      <c r="J44" s="2066"/>
      <c r="K44" s="2087"/>
      <c r="L44" s="2066"/>
      <c r="M44" s="2066"/>
    </row>
    <row r="45" spans="1:18" ht="18" customHeight="1">
      <c r="A45" s="806" t="s">
        <v>1880</v>
      </c>
      <c r="B45" s="1359" t="s">
        <v>716</v>
      </c>
      <c r="C45" s="3066">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57" t="s">
        <v>2971</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2346</v>
      </c>
      <c r="J47" s="2383"/>
      <c r="K47" s="2384"/>
      <c r="L47" s="2385" t="str">
        <f ca="1">IF(M48="住宅",0,IF(L49&gt;J52,L61,J61))</f>
        <v>0</v>
      </c>
      <c r="O47" s="2422" t="s">
        <v>2414</v>
      </c>
      <c r="P47" s="1595"/>
      <c r="Q47" s="1607"/>
      <c r="R47" s="1595"/>
    </row>
    <row r="48" spans="1:18" s="2063" customFormat="1" ht="18" customHeight="1" thickBot="1">
      <c r="A48" s="2088"/>
      <c r="C48" s="2091"/>
      <c r="D48" s="2092"/>
      <c r="E48" s="2092"/>
      <c r="F48" s="2093"/>
      <c r="G48" s="2094"/>
      <c r="I48" s="2386" t="s">
        <v>2347</v>
      </c>
      <c r="J48" s="2391"/>
      <c r="K48" s="2392" t="s">
        <v>2353</v>
      </c>
      <c r="L48" s="2393">
        <f ca="1">INDIRECT("'数据-取费表'!d"&amp;$G$1)</f>
        <v>0</v>
      </c>
      <c r="M48" s="3152" t="str">
        <f>IF(ISNUMBER(FIND("住宅",C1)),"住宅","非住宅")</f>
        <v>非住宅</v>
      </c>
      <c r="O48" s="2423" t="s">
        <v>2379</v>
      </c>
      <c r="P48" s="2424" t="s">
        <v>2380</v>
      </c>
      <c r="Q48" s="2425" t="s">
        <v>2381</v>
      </c>
      <c r="R48" s="2424" t="s">
        <v>2382</v>
      </c>
    </row>
    <row r="49" spans="1:18" s="2063" customFormat="1" ht="18" customHeight="1" thickBot="1">
      <c r="A49" s="2088"/>
      <c r="D49" s="2095"/>
      <c r="E49" s="2096"/>
      <c r="F49" s="2093"/>
      <c r="G49" s="2094"/>
      <c r="H49" s="2097"/>
      <c r="I49" s="2387" t="s">
        <v>2348</v>
      </c>
      <c r="J49" s="2394"/>
      <c r="K49" s="2395" t="s">
        <v>2355</v>
      </c>
      <c r="L49" s="2396">
        <f ca="1">INDIRECT("'数据-取费表'!f"&amp;$G$1)</f>
        <v>0</v>
      </c>
      <c r="O49" s="2426" t="s">
        <v>2383</v>
      </c>
      <c r="P49" s="2427" t="s">
        <v>2409</v>
      </c>
      <c r="Q49" s="2428">
        <f ca="1">C41+J31</f>
        <v>0</v>
      </c>
      <c r="R49" s="2427" t="s">
        <v>2384</v>
      </c>
    </row>
    <row r="50" spans="1:18" s="2063" customFormat="1" ht="18" customHeight="1" thickBot="1">
      <c r="A50" s="2088"/>
      <c r="D50" s="2098"/>
      <c r="E50" s="2098"/>
      <c r="F50" s="2092"/>
      <c r="G50" s="2099"/>
      <c r="H50" s="2097"/>
      <c r="I50" s="2387" t="s">
        <v>2349</v>
      </c>
      <c r="J50" s="2397"/>
      <c r="K50" s="2398" t="s">
        <v>2356</v>
      </c>
      <c r="L50" s="2399"/>
      <c r="O50" s="2426" t="s">
        <v>2385</v>
      </c>
      <c r="P50" s="2427" t="s">
        <v>2410</v>
      </c>
      <c r="Q50" s="2428" t="str">
        <f ca="1">J61</f>
        <v>0</v>
      </c>
      <c r="R50" s="2427" t="s">
        <v>2386</v>
      </c>
    </row>
    <row r="51" spans="1:18" s="2063" customFormat="1" ht="18" customHeight="1" thickBot="1">
      <c r="A51" s="2100"/>
      <c r="D51" s="2098"/>
      <c r="E51" s="2098"/>
      <c r="F51" s="2089"/>
      <c r="H51" s="2097"/>
      <c r="I51" s="2387" t="s">
        <v>2350</v>
      </c>
      <c r="J51" s="2400">
        <f>SUMPRODUCT((I64:I66=J48)*(J63:L63=J49)*(J64:L66))</f>
        <v>0</v>
      </c>
      <c r="K51" s="2398" t="s">
        <v>2357</v>
      </c>
      <c r="L51" s="2399"/>
      <c r="O51" s="2429" t="s">
        <v>2387</v>
      </c>
      <c r="P51" s="2427" t="s">
        <v>2411</v>
      </c>
      <c r="Q51" s="2428">
        <f ca="1">C31</f>
        <v>0</v>
      </c>
      <c r="R51" s="2427" t="s">
        <v>2384</v>
      </c>
    </row>
    <row r="52" spans="1:18" s="2063" customFormat="1" ht="18" customHeight="1" thickBot="1">
      <c r="A52" s="2100"/>
      <c r="F52" s="2089"/>
      <c r="I52" s="2388" t="s">
        <v>2351</v>
      </c>
      <c r="J52" s="2401">
        <f>IF(J50="",J51,J50+J51-YEAR('数据-取费表'!B3))</f>
        <v>0</v>
      </c>
      <c r="K52" s="2387" t="s">
        <v>2358</v>
      </c>
      <c r="L52" s="2402">
        <f ca="1">ROUND(-PV(INDIRECT("'数据-取费表'!h"&amp;$G$1),L49,(C40-C14*J36),0),0)</f>
        <v>0</v>
      </c>
      <c r="O52" s="2429" t="s">
        <v>2388</v>
      </c>
      <c r="P52" s="2427" t="s">
        <v>2389</v>
      </c>
      <c r="Q52" s="2430" t="e">
        <f ca="1">J59</f>
        <v>#VALUE!</v>
      </c>
      <c r="R52" s="2431"/>
    </row>
    <row r="53" spans="1:18" s="2063" customFormat="1" ht="18" customHeight="1" thickBot="1">
      <c r="A53" s="2100"/>
      <c r="F53" s="2089"/>
      <c r="I53" s="2389" t="s">
        <v>2425</v>
      </c>
      <c r="J53" s="2403"/>
      <c r="K53" s="2389" t="s">
        <v>2424</v>
      </c>
      <c r="L53" s="2403"/>
      <c r="O53" s="2429" t="s">
        <v>2390</v>
      </c>
      <c r="P53" s="2427" t="s">
        <v>2391</v>
      </c>
      <c r="Q53" s="2430">
        <f>J53</f>
        <v>0</v>
      </c>
      <c r="R53" s="2431"/>
    </row>
    <row r="54" spans="1:18" s="2063" customFormat="1" ht="43.5" thickBot="1">
      <c r="A54" s="2100"/>
      <c r="I54" s="2390" t="s">
        <v>2352</v>
      </c>
      <c r="J54" s="2404">
        <f ca="1">IF(M48="住宅",J52,IF(J52&gt;L49,L49-'数据-取费表'!B25,J52))</f>
        <v>0</v>
      </c>
      <c r="K54" s="3429"/>
      <c r="L54" s="3430"/>
      <c r="O54" s="2429" t="s">
        <v>2392</v>
      </c>
      <c r="P54" s="2427" t="s">
        <v>2393</v>
      </c>
      <c r="Q54" s="2428">
        <f ca="1">J54</f>
        <v>0</v>
      </c>
      <c r="R54" s="2427" t="s">
        <v>2394</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2395</v>
      </c>
      <c r="P55" s="2427" t="s">
        <v>2412</v>
      </c>
      <c r="Q55" s="2428">
        <f ca="1">Q49+Q50</f>
        <v>0</v>
      </c>
      <c r="R55" s="2431" t="s">
        <v>2396</v>
      </c>
    </row>
    <row r="56" spans="1:18" s="2063" customFormat="1" ht="16.5" thickBot="1">
      <c r="A56" s="2100"/>
      <c r="B56" s="2101"/>
      <c r="C56" s="2101"/>
      <c r="I56" s="3129" t="s">
        <v>2359</v>
      </c>
      <c r="J56" s="3153" t="e">
        <f ca="1">ROUND(IF(J48="钢混",J58/J51,1-(1-2%)*(J51-J58)/J51),3)</f>
        <v>#VALUE!</v>
      </c>
      <c r="K56" s="2405" t="s">
        <v>2360</v>
      </c>
      <c r="L56" s="2406"/>
      <c r="O56" s="2432" t="s">
        <v>2415</v>
      </c>
      <c r="P56" s="1595"/>
      <c r="Q56" s="1607"/>
      <c r="R56" s="1595"/>
    </row>
    <row r="57" spans="1:18" s="2063" customFormat="1" ht="43.5" thickBot="1">
      <c r="A57" s="2100"/>
      <c r="B57" s="2101"/>
      <c r="C57" s="2101"/>
      <c r="I57" s="2407" t="s">
        <v>2361</v>
      </c>
      <c r="J57" s="3152" t="s">
        <v>1679</v>
      </c>
      <c r="K57" s="2387" t="s">
        <v>2366</v>
      </c>
      <c r="L57" s="2396">
        <f ca="1">IF(L49&lt;J52,"——",L49-J52)</f>
        <v>0</v>
      </c>
      <c r="O57" s="2423" t="s">
        <v>2379</v>
      </c>
      <c r="P57" s="2424" t="s">
        <v>2380</v>
      </c>
      <c r="Q57" s="2425" t="s">
        <v>2381</v>
      </c>
      <c r="R57" s="2424" t="s">
        <v>2382</v>
      </c>
    </row>
    <row r="58" spans="1:18" s="2063" customFormat="1" ht="29.25" thickBot="1">
      <c r="A58" s="2100"/>
      <c r="B58" s="2101"/>
      <c r="C58" s="2101"/>
      <c r="I58" s="2408" t="s">
        <v>2362</v>
      </c>
      <c r="J58" s="2410" t="str">
        <f ca="1">IF(OR(M48="住宅",J52&lt;L49,J57="是"),"——",J52-L49)</f>
        <v>——</v>
      </c>
      <c r="K58" s="2387" t="s">
        <v>2367</v>
      </c>
      <c r="L58" s="2396">
        <f ca="1">IF(L49&lt;J52,"——",IF(L56="比较法",L50,IF(L56="基准地价",L51,L52)))</f>
        <v>0</v>
      </c>
      <c r="O58" s="2426" t="s">
        <v>2383</v>
      </c>
      <c r="P58" s="2427" t="s">
        <v>2409</v>
      </c>
      <c r="Q58" s="2428">
        <f ca="1">C41+J31</f>
        <v>0</v>
      </c>
      <c r="R58" s="2427" t="s">
        <v>2384</v>
      </c>
    </row>
    <row r="59" spans="1:18" s="2063" customFormat="1" ht="29.25" thickBot="1">
      <c r="A59" s="2100"/>
      <c r="B59" s="2101"/>
      <c r="C59" s="2101"/>
      <c r="I59" s="2408" t="s">
        <v>2363</v>
      </c>
      <c r="J59" s="3154" t="e">
        <f ca="1">IF(J56&lt;0.4,0.4,J56)</f>
        <v>#VALUE!</v>
      </c>
      <c r="K59" s="2387" t="s">
        <v>2368</v>
      </c>
      <c r="L59" s="2396">
        <f ca="1">IF(ISERROR(POWER(1+L53,L48-L49)*(POWER(1+L53,L49)-1)/(POWER(1+L53,L48)-1)),0,POWER(1+L53,L48-L49)*(POWER(1+L53,L49)-1)/(POWER(1+L53,L48)-1))</f>
        <v>0</v>
      </c>
      <c r="O59" s="2426" t="s">
        <v>2385</v>
      </c>
      <c r="P59" s="2427" t="s">
        <v>2416</v>
      </c>
      <c r="Q59" s="2428" t="e">
        <f ca="1">L61</f>
        <v>#DIV/0!</v>
      </c>
      <c r="R59" s="2431" t="s">
        <v>2418</v>
      </c>
    </row>
    <row r="60" spans="1:18" s="2063" customFormat="1" ht="29.25" thickBot="1">
      <c r="A60" s="2100"/>
      <c r="B60" s="2101"/>
      <c r="C60" s="2101"/>
      <c r="I60" s="2408" t="s">
        <v>2364</v>
      </c>
      <c r="J60" s="2410" t="str">
        <f ca="1">IF(OR(M48="住宅",J52&lt;L49,J57="是"),"——",ROUND(C30*J59,0))</f>
        <v>——</v>
      </c>
      <c r="K60" s="2387" t="s">
        <v>2369</v>
      </c>
      <c r="L60" s="2396">
        <f ca="1">IF(ISERROR(POWER(1+L53,L48-J52)*(POWER(1+L53,J52)-1)/(POWER(1+L53,L48)-1)),0,POWER(1+L53,L48-J52)*(POWER(1+L53,J52)-1)/(POWER(1+L53,L48)-1))</f>
        <v>0</v>
      </c>
      <c r="O60" s="2429" t="s">
        <v>2387</v>
      </c>
      <c r="P60" s="2427" t="s">
        <v>2417</v>
      </c>
      <c r="Q60" s="2428">
        <f>IF(L56="比较法",L50,IF(L56="基准地价",L51,0))</f>
        <v>0</v>
      </c>
      <c r="R60" s="2427" t="s">
        <v>2384</v>
      </c>
    </row>
    <row r="61" spans="1:18" s="2063" customFormat="1" ht="15.75" thickBot="1">
      <c r="A61" s="2100"/>
      <c r="B61" s="2101"/>
      <c r="C61" s="2101"/>
      <c r="I61" s="2409" t="s">
        <v>2365</v>
      </c>
      <c r="J61" s="2411" t="str">
        <f ca="1">IF(OR(M48="住宅",J52&lt;L49,J57="是"),"0",ROUND(J60/(1+J53)^J54,0))</f>
        <v>0</v>
      </c>
      <c r="K61" s="2412" t="s">
        <v>2370</v>
      </c>
      <c r="L61" s="2411" t="e">
        <f ca="1">IF(OR(M48="住宅",L49&lt;J52),0,ROUND(L58*(L59/L60-1),0))</f>
        <v>#DIV/0!</v>
      </c>
      <c r="O61" s="2429" t="s">
        <v>2388</v>
      </c>
      <c r="P61" s="2427" t="s">
        <v>2397</v>
      </c>
      <c r="Q61" s="2430">
        <f>L53</f>
        <v>0</v>
      </c>
      <c r="R61" s="2431"/>
    </row>
    <row r="62" spans="1:18" s="2063" customFormat="1" ht="20.25" thickBot="1">
      <c r="A62" s="2100"/>
      <c r="B62" s="2101"/>
      <c r="C62" s="2101"/>
      <c r="K62" s="2090"/>
      <c r="O62" s="2429" t="s">
        <v>2390</v>
      </c>
      <c r="P62" s="2427" t="s">
        <v>2398</v>
      </c>
      <c r="Q62" s="2428">
        <f ca="1">L59</f>
        <v>0</v>
      </c>
      <c r="R62" s="2431" t="s">
        <v>2399</v>
      </c>
    </row>
    <row r="63" spans="1:18" s="2063" customFormat="1" ht="20.25" thickBot="1">
      <c r="A63" s="2100"/>
      <c r="B63" s="2101"/>
      <c r="C63" s="2101"/>
      <c r="I63" s="2413" t="s">
        <v>2371</v>
      </c>
      <c r="J63" s="2414" t="s">
        <v>2372</v>
      </c>
      <c r="K63" s="2414" t="s">
        <v>2373</v>
      </c>
      <c r="L63" s="2414" t="s">
        <v>2354</v>
      </c>
      <c r="M63" s="3131" t="s">
        <v>2947</v>
      </c>
      <c r="O63" s="2429" t="s">
        <v>2392</v>
      </c>
      <c r="P63" s="2427" t="s">
        <v>2400</v>
      </c>
      <c r="Q63" s="2428">
        <f ca="1">L60</f>
        <v>0</v>
      </c>
      <c r="R63" s="2431" t="s">
        <v>2401</v>
      </c>
    </row>
    <row r="64" spans="1:18" s="2063" customFormat="1" ht="15.75" thickBot="1">
      <c r="A64" s="2100"/>
      <c r="B64" s="2101"/>
      <c r="C64" s="2101"/>
      <c r="I64" s="2413" t="s">
        <v>2374</v>
      </c>
      <c r="J64" s="2414">
        <v>70</v>
      </c>
      <c r="K64" s="2414">
        <v>50</v>
      </c>
      <c r="L64" s="2414">
        <v>80</v>
      </c>
      <c r="M64" s="3132">
        <v>0.02</v>
      </c>
      <c r="O64" s="2426" t="s">
        <v>2395</v>
      </c>
      <c r="P64" s="2427" t="s">
        <v>2412</v>
      </c>
      <c r="Q64" s="2428" t="e">
        <f ca="1">Q58+Q59</f>
        <v>#DIV/0!</v>
      </c>
      <c r="R64" s="2431" t="s">
        <v>2396</v>
      </c>
    </row>
    <row r="65" spans="1:18" s="2063" customFormat="1" ht="16.5" thickBot="1">
      <c r="A65" s="2100"/>
      <c r="B65" s="2101"/>
      <c r="C65" s="2101"/>
      <c r="I65" s="2413" t="s">
        <v>2375</v>
      </c>
      <c r="J65" s="2414">
        <v>50</v>
      </c>
      <c r="K65" s="2414">
        <v>35</v>
      </c>
      <c r="L65" s="2414">
        <v>60</v>
      </c>
      <c r="M65" s="3133">
        <v>0</v>
      </c>
      <c r="O65" s="2432" t="s">
        <v>2419</v>
      </c>
      <c r="P65" s="1595"/>
      <c r="Q65" s="1607"/>
      <c r="R65" s="1595"/>
    </row>
    <row r="66" spans="1:18" s="2063" customFormat="1" ht="15.75" thickBot="1">
      <c r="A66" s="2100"/>
      <c r="B66" s="2101"/>
      <c r="C66" s="2101"/>
      <c r="I66" s="2413" t="s">
        <v>2376</v>
      </c>
      <c r="J66" s="2414">
        <v>40</v>
      </c>
      <c r="K66" s="2414">
        <v>30</v>
      </c>
      <c r="L66" s="2414">
        <v>50</v>
      </c>
      <c r="M66" s="3132">
        <v>0.02</v>
      </c>
      <c r="O66" s="2423" t="s">
        <v>2379</v>
      </c>
      <c r="P66" s="2424" t="s">
        <v>2380</v>
      </c>
      <c r="Q66" s="2425" t="s">
        <v>2381</v>
      </c>
      <c r="R66" s="2424" t="s">
        <v>2382</v>
      </c>
    </row>
    <row r="67" spans="1:18" s="2063" customFormat="1" ht="15.75" thickBot="1">
      <c r="A67" s="2100"/>
      <c r="B67" s="2101"/>
      <c r="C67" s="2101"/>
      <c r="K67" s="2090"/>
      <c r="O67" s="2426" t="s">
        <v>2383</v>
      </c>
      <c r="P67" s="2427" t="s">
        <v>2409</v>
      </c>
      <c r="Q67" s="2428">
        <f ca="1">C41+J31</f>
        <v>0</v>
      </c>
      <c r="R67" s="2427" t="s">
        <v>2384</v>
      </c>
    </row>
    <row r="68" spans="1:18" s="2063" customFormat="1" ht="20.25" thickBot="1">
      <c r="A68" s="2100"/>
      <c r="B68" s="2101"/>
      <c r="C68" s="2101"/>
      <c r="K68" s="2090"/>
      <c r="O68" s="2426" t="s">
        <v>2385</v>
      </c>
      <c r="P68" s="2427" t="s">
        <v>2416</v>
      </c>
      <c r="Q68" s="2428" t="e">
        <f ca="1">L61</f>
        <v>#DIV/0!</v>
      </c>
      <c r="R68" s="2431" t="s">
        <v>2418</v>
      </c>
    </row>
    <row r="69" spans="1:18" s="2063" customFormat="1" ht="21.75" thickBot="1">
      <c r="A69" s="2100"/>
      <c r="B69" s="2101"/>
      <c r="C69" s="2101"/>
      <c r="K69" s="2090"/>
      <c r="O69" s="2429" t="s">
        <v>2387</v>
      </c>
      <c r="P69" s="2427" t="s">
        <v>2417</v>
      </c>
      <c r="Q69" s="2433">
        <f ca="1">L52</f>
        <v>0</v>
      </c>
      <c r="R69" s="2434" t="s">
        <v>2420</v>
      </c>
    </row>
    <row r="70" spans="1:18" s="2063" customFormat="1" ht="20.25" thickBot="1">
      <c r="A70" s="2100"/>
      <c r="B70" s="2101"/>
      <c r="C70" s="2101"/>
      <c r="K70" s="2090"/>
      <c r="O70" s="2429" t="s">
        <v>2388</v>
      </c>
      <c r="P70" s="2435" t="s">
        <v>2402</v>
      </c>
      <c r="Q70" s="2428">
        <f ca="1">ROUND(Q71-Q72*Q73,0)</f>
        <v>0</v>
      </c>
      <c r="R70" s="2431"/>
    </row>
    <row r="71" spans="1:18" s="2063" customFormat="1" ht="15.75" thickBot="1">
      <c r="A71" s="2100"/>
      <c r="B71" s="2101"/>
      <c r="C71" s="2101"/>
      <c r="K71" s="2090"/>
      <c r="O71" s="2429" t="s">
        <v>2403</v>
      </c>
      <c r="P71" s="2435" t="s">
        <v>2404</v>
      </c>
      <c r="Q71" s="2428">
        <f ca="1">C42</f>
        <v>0</v>
      </c>
      <c r="R71" s="2427" t="s">
        <v>2384</v>
      </c>
    </row>
    <row r="72" spans="1:18" s="2063" customFormat="1" ht="15.75" thickBot="1">
      <c r="A72" s="2100"/>
      <c r="B72" s="2101"/>
      <c r="C72" s="2101"/>
      <c r="K72" s="2090"/>
      <c r="O72" s="2429" t="s">
        <v>2405</v>
      </c>
      <c r="P72" s="2435" t="s">
        <v>2406</v>
      </c>
      <c r="Q72" s="2428">
        <f ca="1">C15</f>
        <v>0</v>
      </c>
      <c r="R72" s="2427" t="s">
        <v>2384</v>
      </c>
    </row>
    <row r="73" spans="1:18" s="2063" customFormat="1" ht="15.75" thickBot="1">
      <c r="A73" s="2100"/>
      <c r="B73" s="2101"/>
      <c r="C73" s="2101"/>
      <c r="K73" s="2090"/>
      <c r="O73" s="2429" t="s">
        <v>2407</v>
      </c>
      <c r="P73" s="2435" t="s">
        <v>2408</v>
      </c>
      <c r="Q73" s="2430">
        <f ca="1">F43</f>
        <v>0</v>
      </c>
      <c r="R73" s="2431"/>
    </row>
    <row r="74" spans="1:18" s="2063" customFormat="1" ht="15.75" thickBot="1">
      <c r="A74" s="2100"/>
      <c r="B74" s="2101"/>
      <c r="C74" s="2101"/>
      <c r="K74" s="2090"/>
      <c r="O74" s="2429" t="s">
        <v>2390</v>
      </c>
      <c r="P74" s="2427" t="s">
        <v>2397</v>
      </c>
      <c r="Q74" s="2430">
        <f>L53</f>
        <v>0</v>
      </c>
      <c r="R74" s="2431"/>
    </row>
    <row r="75" spans="1:18" s="2063" customFormat="1" ht="20.25" thickBot="1">
      <c r="A75" s="2100"/>
      <c r="B75" s="2101"/>
      <c r="C75" s="2101"/>
      <c r="K75" s="2090"/>
      <c r="O75" s="2429" t="s">
        <v>2392</v>
      </c>
      <c r="P75" s="2427" t="s">
        <v>2398</v>
      </c>
      <c r="Q75" s="2428">
        <f ca="1">L59</f>
        <v>0</v>
      </c>
      <c r="R75" s="2431" t="s">
        <v>2399</v>
      </c>
    </row>
    <row r="76" spans="1:18" s="2063" customFormat="1" ht="20.25" thickBot="1">
      <c r="A76" s="2100"/>
      <c r="B76" s="2101"/>
      <c r="C76" s="2101"/>
      <c r="K76" s="2090"/>
      <c r="O76" s="2429" t="s">
        <v>2421</v>
      </c>
      <c r="P76" s="2427" t="s">
        <v>2400</v>
      </c>
      <c r="Q76" s="2428">
        <f ca="1">L60</f>
        <v>0</v>
      </c>
      <c r="R76" s="2431" t="s">
        <v>2401</v>
      </c>
    </row>
    <row r="77" spans="1:18" s="2063" customFormat="1" ht="15.75" thickBot="1">
      <c r="A77" s="2100"/>
      <c r="B77" s="2101"/>
      <c r="C77" s="2101"/>
      <c r="K77" s="2090"/>
      <c r="O77" s="2426" t="s">
        <v>2395</v>
      </c>
      <c r="P77" s="2427" t="s">
        <v>2412</v>
      </c>
      <c r="Q77" s="2428" t="e">
        <f ca="1">Q67+Q68</f>
        <v>#DIV/0!</v>
      </c>
      <c r="R77" s="2431" t="s">
        <v>2396</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8" priority="6">
      <formula>$F$12="自定义"</formula>
    </cfRule>
  </conditionalFormatting>
  <conditionalFormatting sqref="J13">
    <cfRule type="expression" dxfId="127" priority="5">
      <formula>$M$10="自定义"</formula>
    </cfRule>
  </conditionalFormatting>
  <conditionalFormatting sqref="K56">
    <cfRule type="expression" dxfId="126" priority="3">
      <formula>$L$48&gt;$J$51</formula>
    </cfRule>
  </conditionalFormatting>
  <conditionalFormatting sqref="I56">
    <cfRule type="expression" dxfId="125" priority="4">
      <formula>$J$51&gt;$L$48</formula>
    </cfRule>
  </conditionalFormatting>
  <conditionalFormatting sqref="I61">
    <cfRule type="expression" dxfId="124" priority="2">
      <formula>$J$51&gt;$L$48</formula>
    </cfRule>
  </conditionalFormatting>
  <conditionalFormatting sqref="K61">
    <cfRule type="expression" dxfId="12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33" t="s">
        <v>2582</v>
      </c>
      <c r="C1" s="3433"/>
      <c r="D1" s="3433"/>
      <c r="E1" s="3433"/>
      <c r="F1" s="3433"/>
      <c r="G1" s="3432" t="s">
        <v>2583</v>
      </c>
      <c r="H1" s="3432"/>
      <c r="I1" s="3432"/>
      <c r="J1" s="3432"/>
      <c r="K1" s="3432"/>
      <c r="L1" s="3432"/>
      <c r="N1" s="3432" t="s">
        <v>2584</v>
      </c>
      <c r="O1" s="3432"/>
      <c r="P1" s="3432"/>
      <c r="Q1" s="3432"/>
      <c r="R1" s="2683"/>
      <c r="S1" s="3432" t="s">
        <v>2585</v>
      </c>
      <c r="T1" s="3432"/>
      <c r="U1" s="3432"/>
      <c r="V1" s="3432"/>
      <c r="X1" s="3431" t="s">
        <v>2646</v>
      </c>
      <c r="Y1" s="3432"/>
      <c r="Z1" s="3432"/>
      <c r="AA1" s="3432"/>
      <c r="AB1" s="3432"/>
      <c r="AD1" s="3431" t="s">
        <v>2651</v>
      </c>
      <c r="AE1" s="3432"/>
      <c r="AF1" s="3432"/>
      <c r="AG1" s="3432"/>
      <c r="AH1" s="3432"/>
    </row>
    <row r="2" spans="1:34" s="2785" customFormat="1" ht="14.25" thickBot="1">
      <c r="B2" s="2794" t="s">
        <v>2586</v>
      </c>
      <c r="C2" s="2794" t="s">
        <v>2649</v>
      </c>
      <c r="D2" s="2786" t="s">
        <v>1645</v>
      </c>
      <c r="E2" s="2786" t="s">
        <v>1952</v>
      </c>
      <c r="F2" s="2794" t="s">
        <v>2650</v>
      </c>
      <c r="G2" s="2789"/>
      <c r="H2" s="2788"/>
      <c r="I2" s="2794" t="s">
        <v>2962</v>
      </c>
      <c r="J2" s="2786" t="s">
        <v>2964</v>
      </c>
      <c r="K2" s="2786" t="s">
        <v>2965</v>
      </c>
      <c r="L2" s="2794" t="s">
        <v>2966</v>
      </c>
      <c r="N2" s="2794" t="s">
        <v>2586</v>
      </c>
      <c r="O2" s="2786" t="s">
        <v>2963</v>
      </c>
      <c r="P2" s="2786" t="s">
        <v>1952</v>
      </c>
      <c r="Q2" s="2794" t="s">
        <v>2650</v>
      </c>
      <c r="R2" s="2787"/>
      <c r="S2" s="2794" t="s">
        <v>2586</v>
      </c>
      <c r="T2" s="2786" t="s">
        <v>2963</v>
      </c>
      <c r="U2" s="2786" t="s">
        <v>1952</v>
      </c>
      <c r="V2" s="2794" t="s">
        <v>2650</v>
      </c>
      <c r="X2" s="2794" t="s">
        <v>2586</v>
      </c>
      <c r="Y2" s="2794" t="s">
        <v>2649</v>
      </c>
      <c r="Z2" s="2786" t="s">
        <v>1645</v>
      </c>
      <c r="AA2" s="2786" t="s">
        <v>1952</v>
      </c>
      <c r="AB2" s="2794" t="s">
        <v>2650</v>
      </c>
      <c r="AD2" s="2794" t="s">
        <v>2586</v>
      </c>
      <c r="AE2" s="2794" t="s">
        <v>2649</v>
      </c>
      <c r="AF2" s="2786" t="s">
        <v>1645</v>
      </c>
      <c r="AG2" s="2786" t="s">
        <v>1952</v>
      </c>
      <c r="AH2" s="2794" t="s">
        <v>2650</v>
      </c>
    </row>
    <row r="3" spans="1:34" s="2778" customFormat="1" ht="14.25">
      <c r="B3" s="2779"/>
      <c r="C3" s="2779"/>
      <c r="D3" s="2780"/>
      <c r="E3" s="2780"/>
      <c r="F3" s="2779"/>
      <c r="G3" s="2784"/>
      <c r="H3" s="2781"/>
      <c r="I3" s="3163"/>
      <c r="J3" s="3163"/>
      <c r="K3" s="3163"/>
      <c r="L3" s="3163"/>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2974</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2"/>
      <c r="S4" s="2784"/>
      <c r="T4" s="2782"/>
      <c r="U4" s="2782"/>
      <c r="V4" s="2782"/>
      <c r="X4" s="2783"/>
      <c r="Y4" s="2783"/>
      <c r="Z4" s="2783"/>
      <c r="AA4" s="2783"/>
      <c r="AB4" s="2783"/>
      <c r="AD4" s="2703"/>
      <c r="AE4" s="2703"/>
      <c r="AF4" s="2703"/>
      <c r="AG4" s="2703"/>
      <c r="AH4" s="2703"/>
    </row>
    <row r="5" spans="1:34" s="3146" customFormat="1">
      <c r="A5" s="3144" t="s">
        <v>2973</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0">
        <v>2017</v>
      </c>
      <c r="H5" s="3145">
        <v>4</v>
      </c>
      <c r="I5" s="3164">
        <f>ROUND(AVERAGE(I6:I20),2)</f>
        <v>2.4900000000000002</v>
      </c>
      <c r="J5" s="3164">
        <f>ROUND(AVERAGE(J6:J20),2)</f>
        <v>1.64</v>
      </c>
      <c r="K5" s="3164">
        <f>ROUND(AVERAGE(K6:K20),2)</f>
        <v>2.78</v>
      </c>
      <c r="L5" s="3164">
        <f>ROUND(AVERAGE(L6:L20),2)</f>
        <v>1.39</v>
      </c>
      <c r="N5" s="2791">
        <f t="shared" si="7"/>
        <v>2.4900000000000002E-2</v>
      </c>
      <c r="O5" s="2791">
        <f t="shared" ref="O5" si="15">J5/100</f>
        <v>1.6399999999999998E-2</v>
      </c>
      <c r="P5" s="2791">
        <f t="shared" ref="P5" si="16">K5/100</f>
        <v>2.7799999999999998E-2</v>
      </c>
      <c r="Q5" s="2791">
        <f t="shared" ref="Q5" si="17">L5/100</f>
        <v>1.3899999999999999E-2</v>
      </c>
      <c r="R5" s="3147"/>
      <c r="S5" s="3148"/>
      <c r="T5" s="3147"/>
      <c r="U5" s="3147"/>
      <c r="V5" s="3147"/>
      <c r="W5" s="2792"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4" t="s">
        <v>2587</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35"/>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47"/>
      <c r="S6" s="2687"/>
      <c r="T6" s="3160"/>
      <c r="U6" s="3160"/>
      <c r="V6" s="3160"/>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2588</v>
      </c>
      <c r="B7" s="2698">
        <f t="shared" si="18"/>
        <v>419.31181600000002</v>
      </c>
      <c r="C7" s="2698">
        <f t="shared" si="18"/>
        <v>313.95436800000004</v>
      </c>
      <c r="D7" s="2698">
        <f t="shared" si="3"/>
        <v>313.95436800000004</v>
      </c>
      <c r="E7" s="2698">
        <f t="shared" si="19"/>
        <v>596.63028431999999</v>
      </c>
      <c r="F7" s="2698">
        <f t="shared" si="19"/>
        <v>274.74220703999998</v>
      </c>
      <c r="G7" s="3435"/>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2589</v>
      </c>
      <c r="B8" s="2698">
        <f t="shared" si="18"/>
        <v>405.524</v>
      </c>
      <c r="C8" s="2698">
        <f t="shared" si="18"/>
        <v>307.79840000000002</v>
      </c>
      <c r="D8" s="2698">
        <f t="shared" si="3"/>
        <v>307.79840000000002</v>
      </c>
      <c r="E8" s="2698">
        <f t="shared" si="19"/>
        <v>574.67759999999998</v>
      </c>
      <c r="F8" s="2698">
        <f t="shared" si="19"/>
        <v>270.20280000000002</v>
      </c>
      <c r="G8" s="3436"/>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971</v>
      </c>
      <c r="B9" s="2690">
        <v>392</v>
      </c>
      <c r="C9" s="2690">
        <v>302</v>
      </c>
      <c r="D9" s="2690">
        <f t="shared" si="3"/>
        <v>302</v>
      </c>
      <c r="E9" s="2690">
        <v>553</v>
      </c>
      <c r="F9" s="2691">
        <v>266</v>
      </c>
      <c r="G9" s="3440">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970</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35"/>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960</v>
      </c>
      <c r="B11" s="2698">
        <f t="shared" si="27"/>
        <v>360.06949782209392</v>
      </c>
      <c r="C11" s="2698">
        <f t="shared" si="27"/>
        <v>289.84672674747821</v>
      </c>
      <c r="D11" s="2698">
        <f t="shared" si="28"/>
        <v>289.84672674747821</v>
      </c>
      <c r="E11" s="2698">
        <f t="shared" si="29"/>
        <v>501.06543001181495</v>
      </c>
      <c r="F11" s="2698">
        <f t="shared" si="29"/>
        <v>256.82882500744967</v>
      </c>
      <c r="G11" s="3435"/>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969</v>
      </c>
      <c r="B12" s="2698">
        <f t="shared" si="27"/>
        <v>346.720748986128</v>
      </c>
      <c r="C12" s="2698">
        <f t="shared" si="27"/>
        <v>284.30282172386285</v>
      </c>
      <c r="D12" s="2698">
        <f t="shared" si="28"/>
        <v>284.30282172386285</v>
      </c>
      <c r="E12" s="2698">
        <f t="shared" si="29"/>
        <v>479.58023546306947</v>
      </c>
      <c r="F12" s="2698">
        <f t="shared" si="29"/>
        <v>253.25788877571213</v>
      </c>
      <c r="G12" s="3436"/>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968</v>
      </c>
      <c r="B13" s="2690">
        <v>333</v>
      </c>
      <c r="C13" s="2690">
        <v>277</v>
      </c>
      <c r="D13" s="2690">
        <f t="shared" si="28"/>
        <v>277</v>
      </c>
      <c r="E13" s="2690">
        <v>459</v>
      </c>
      <c r="F13" s="2691">
        <v>249</v>
      </c>
      <c r="G13" s="3434">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967</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35"/>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966</v>
      </c>
      <c r="B15" s="2698">
        <f t="shared" si="31"/>
        <v>322.34053690220776</v>
      </c>
      <c r="C15" s="2698">
        <f t="shared" si="31"/>
        <v>271.46160770422546</v>
      </c>
      <c r="D15" s="2698">
        <f t="shared" si="28"/>
        <v>271.46160770422546</v>
      </c>
      <c r="E15" s="2698">
        <f t="shared" si="32"/>
        <v>442.69434542172456</v>
      </c>
      <c r="F15" s="2698">
        <f t="shared" si="32"/>
        <v>241.34030753190925</v>
      </c>
      <c r="G15" s="3435"/>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965</v>
      </c>
      <c r="B16" s="2698">
        <f t="shared" si="31"/>
        <v>319.87748030386797</v>
      </c>
      <c r="C16" s="2698">
        <f t="shared" si="31"/>
        <v>269.60135833173649</v>
      </c>
      <c r="D16" s="2698">
        <f t="shared" si="28"/>
        <v>269.60135833173649</v>
      </c>
      <c r="E16" s="2698">
        <f t="shared" si="32"/>
        <v>439.18089823583784</v>
      </c>
      <c r="F16" s="2698">
        <f t="shared" si="32"/>
        <v>239.23503918706311</v>
      </c>
      <c r="G16" s="3436"/>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964</v>
      </c>
      <c r="B17" s="2712">
        <v>318</v>
      </c>
      <c r="C17" s="2712">
        <v>268</v>
      </c>
      <c r="D17" s="2712">
        <f t="shared" si="28"/>
        <v>268</v>
      </c>
      <c r="E17" s="2712">
        <v>437</v>
      </c>
      <c r="F17" s="2713">
        <v>237</v>
      </c>
      <c r="G17" s="3434">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963</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35"/>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962</v>
      </c>
      <c r="B19" s="2698">
        <f t="shared" si="33"/>
        <v>314.72141172386546</v>
      </c>
      <c r="C19" s="2698">
        <f t="shared" si="33"/>
        <v>263.03901319069001</v>
      </c>
      <c r="D19" s="2698">
        <f t="shared" si="28"/>
        <v>263.03901319069001</v>
      </c>
      <c r="E19" s="2698">
        <f t="shared" si="34"/>
        <v>433.65745506782821</v>
      </c>
      <c r="F19" s="2698">
        <f t="shared" si="34"/>
        <v>233.23005080045735</v>
      </c>
      <c r="G19" s="3435"/>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961</v>
      </c>
      <c r="B20" s="2717">
        <f t="shared" si="33"/>
        <v>307.34512863658733</v>
      </c>
      <c r="C20" s="2717">
        <f t="shared" si="33"/>
        <v>257.80556031626975</v>
      </c>
      <c r="D20" s="2717">
        <f t="shared" si="28"/>
        <v>257.80556031626975</v>
      </c>
      <c r="E20" s="2717">
        <f t="shared" si="34"/>
        <v>422.70928459677179</v>
      </c>
      <c r="F20" s="2717">
        <f t="shared" si="34"/>
        <v>229.73803270336617</v>
      </c>
      <c r="G20" s="3436"/>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2648</v>
      </c>
      <c r="X20" s="2795">
        <v>1</v>
      </c>
      <c r="Y20" s="2795">
        <v>1</v>
      </c>
      <c r="Z20" s="2795">
        <v>1</v>
      </c>
      <c r="AA20" s="2795">
        <v>1</v>
      </c>
      <c r="AB20" s="2795">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4" t="s">
        <v>2590</v>
      </c>
      <c r="B21" s="2690">
        <v>299</v>
      </c>
      <c r="C21" s="2690">
        <v>252</v>
      </c>
      <c r="D21" s="2690">
        <f t="shared" si="28"/>
        <v>252</v>
      </c>
      <c r="E21" s="2690">
        <v>409</v>
      </c>
      <c r="F21" s="2691">
        <v>227</v>
      </c>
      <c r="G21" s="3437">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2591</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38"/>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2592</v>
      </c>
      <c r="B23" s="2698">
        <f t="shared" si="37"/>
        <v>288.2649053828776</v>
      </c>
      <c r="C23" s="2698">
        <f t="shared" si="37"/>
        <v>243.64564425013293</v>
      </c>
      <c r="D23" s="2698">
        <f t="shared" si="28"/>
        <v>243.64564425013293</v>
      </c>
      <c r="E23" s="2698">
        <f t="shared" si="38"/>
        <v>393.31080825986544</v>
      </c>
      <c r="F23" s="2698">
        <f t="shared" si="38"/>
        <v>223.07903790551154</v>
      </c>
      <c r="G23" s="3438"/>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2593</v>
      </c>
      <c r="B24" s="2698">
        <f t="shared" si="37"/>
        <v>282.50186729015837</v>
      </c>
      <c r="C24" s="2698">
        <f t="shared" si="37"/>
        <v>238.09796174155468</v>
      </c>
      <c r="D24" s="2698">
        <f t="shared" si="28"/>
        <v>238.09796174155468</v>
      </c>
      <c r="E24" s="2698">
        <f t="shared" si="38"/>
        <v>385.33438646014054</v>
      </c>
      <c r="F24" s="2698">
        <f t="shared" si="38"/>
        <v>221.55034055567739</v>
      </c>
      <c r="G24" s="3439"/>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2594</v>
      </c>
      <c r="B25" s="2728">
        <v>278</v>
      </c>
      <c r="C25" s="2728">
        <v>234</v>
      </c>
      <c r="D25" s="2728">
        <f t="shared" si="28"/>
        <v>234</v>
      </c>
      <c r="E25" s="2728">
        <v>379</v>
      </c>
      <c r="F25" s="2729">
        <v>220</v>
      </c>
      <c r="G25" s="3434">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2595</v>
      </c>
      <c r="B26" s="2698">
        <f>B25/(1+N25)</f>
        <v>275.49301357645425</v>
      </c>
      <c r="C26" s="2698">
        <f>C25/(1+O25)</f>
        <v>232.41954707985698</v>
      </c>
      <c r="D26" s="2698">
        <f t="shared" si="28"/>
        <v>232.41954707985698</v>
      </c>
      <c r="E26" s="2698">
        <f t="shared" ref="E26:F28" si="39">E25/(1+P25)</f>
        <v>375.32184591008121</v>
      </c>
      <c r="F26" s="2698">
        <f t="shared" si="39"/>
        <v>218.03766105054513</v>
      </c>
      <c r="G26" s="3435"/>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2596</v>
      </c>
      <c r="B27" s="2698">
        <f>B26/(1+N26)</f>
        <v>275.24529281292263</v>
      </c>
      <c r="C27" s="2698">
        <f>C26/(1+O26)</f>
        <v>231.74747938962707</v>
      </c>
      <c r="D27" s="2698">
        <f t="shared" si="28"/>
        <v>231.74747938962707</v>
      </c>
      <c r="E27" s="2698">
        <f t="shared" si="39"/>
        <v>375.35938184826603</v>
      </c>
      <c r="F27" s="2698">
        <f t="shared" si="39"/>
        <v>216.78033510692495</v>
      </c>
      <c r="G27" s="3435"/>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2597</v>
      </c>
      <c r="B28" s="2698">
        <f>B27/(1+N27)</f>
        <v>275.19025476197027</v>
      </c>
      <c r="C28" s="2730">
        <v>232</v>
      </c>
      <c r="D28" s="2730">
        <f t="shared" si="28"/>
        <v>232</v>
      </c>
      <c r="E28" s="2698">
        <f t="shared" si="39"/>
        <v>375.65990977608692</v>
      </c>
      <c r="F28" s="2698">
        <f t="shared" si="39"/>
        <v>214.12518283971252</v>
      </c>
      <c r="G28" s="3436"/>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2598</v>
      </c>
      <c r="B29" s="2690">
        <v>275</v>
      </c>
      <c r="C29" s="2690">
        <v>232</v>
      </c>
      <c r="D29" s="2690">
        <f t="shared" si="28"/>
        <v>232</v>
      </c>
      <c r="E29" s="2690">
        <v>376</v>
      </c>
      <c r="F29" s="2691">
        <v>213</v>
      </c>
      <c r="G29" s="3434">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2599</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35">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2600</v>
      </c>
      <c r="B31" s="2698">
        <f t="shared" si="40"/>
        <v>275.19335084830601</v>
      </c>
      <c r="C31" s="2698">
        <f t="shared" si="40"/>
        <v>230.18088050139744</v>
      </c>
      <c r="D31" s="2698">
        <f t="shared" si="28"/>
        <v>230.18088050139744</v>
      </c>
      <c r="E31" s="2698">
        <f t="shared" si="41"/>
        <v>377.58482925212331</v>
      </c>
      <c r="F31" s="2698">
        <f t="shared" si="41"/>
        <v>210.90687997847917</v>
      </c>
      <c r="G31" s="3435">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2601</v>
      </c>
      <c r="B32" s="2698">
        <f t="shared" si="40"/>
        <v>276.29854502841971</v>
      </c>
      <c r="C32" s="2698">
        <f t="shared" si="40"/>
        <v>229.79023709833027</v>
      </c>
      <c r="D32" s="2698">
        <f t="shared" si="28"/>
        <v>229.79023709833027</v>
      </c>
      <c r="E32" s="2698">
        <f t="shared" si="41"/>
        <v>379.78759731655936</v>
      </c>
      <c r="F32" s="2698">
        <f t="shared" si="41"/>
        <v>211.32953905659235</v>
      </c>
      <c r="G32" s="3436">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2602</v>
      </c>
      <c r="B33" s="2690">
        <v>269</v>
      </c>
      <c r="C33" s="2690">
        <v>221</v>
      </c>
      <c r="D33" s="2690">
        <f t="shared" si="28"/>
        <v>221</v>
      </c>
      <c r="E33" s="2690">
        <v>373</v>
      </c>
      <c r="F33" s="2691">
        <v>196</v>
      </c>
      <c r="G33" s="3434">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2603</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35">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2604</v>
      </c>
      <c r="B35" s="2698">
        <f t="shared" si="42"/>
        <v>242.95398227588385</v>
      </c>
      <c r="C35" s="2698">
        <f t="shared" si="42"/>
        <v>199.59137053614126</v>
      </c>
      <c r="D35" s="2698">
        <f t="shared" si="28"/>
        <v>199.59137053614126</v>
      </c>
      <c r="E35" s="2698">
        <f t="shared" si="43"/>
        <v>335.92189522342125</v>
      </c>
      <c r="F35" s="2698">
        <f t="shared" si="43"/>
        <v>183.10139991109489</v>
      </c>
      <c r="G35" s="3435">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2605</v>
      </c>
      <c r="B36" s="2698">
        <f t="shared" si="42"/>
        <v>232.06990378821649</v>
      </c>
      <c r="C36" s="2698">
        <f t="shared" si="42"/>
        <v>192.74878854286936</v>
      </c>
      <c r="D36" s="2698">
        <f t="shared" si="28"/>
        <v>192.74878854286936</v>
      </c>
      <c r="E36" s="2698">
        <f t="shared" si="43"/>
        <v>319.71247284992984</v>
      </c>
      <c r="F36" s="2698">
        <f t="shared" si="43"/>
        <v>175.67053622862409</v>
      </c>
      <c r="G36" s="3436">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2606</v>
      </c>
      <c r="B37" s="2690">
        <v>220</v>
      </c>
      <c r="C37" s="2690">
        <v>187</v>
      </c>
      <c r="D37" s="2690">
        <f t="shared" si="28"/>
        <v>187</v>
      </c>
      <c r="E37" s="2690">
        <v>301</v>
      </c>
      <c r="F37" s="2691">
        <v>168</v>
      </c>
      <c r="G37" s="3434">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2607</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35">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2608</v>
      </c>
      <c r="B39" s="2698">
        <f t="shared" si="44"/>
        <v>210.630522469011</v>
      </c>
      <c r="C39" s="2698">
        <f t="shared" si="44"/>
        <v>181.69567812247232</v>
      </c>
      <c r="D39" s="2698">
        <f t="shared" si="28"/>
        <v>181.69567812247232</v>
      </c>
      <c r="E39" s="2698">
        <f t="shared" si="45"/>
        <v>286.13517466736738</v>
      </c>
      <c r="F39" s="2698">
        <f t="shared" si="45"/>
        <v>165.47535084591149</v>
      </c>
      <c r="G39" s="3435">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2609</v>
      </c>
      <c r="B40" s="2698">
        <f t="shared" si="44"/>
        <v>208.83454537875372</v>
      </c>
      <c r="C40" s="2698">
        <f t="shared" si="44"/>
        <v>183.77230517090351</v>
      </c>
      <c r="D40" s="2698">
        <f t="shared" si="28"/>
        <v>183.77230517090351</v>
      </c>
      <c r="E40" s="2698">
        <f t="shared" si="45"/>
        <v>281.10342338870947</v>
      </c>
      <c r="F40" s="2698">
        <f t="shared" si="45"/>
        <v>168.97309388942256</v>
      </c>
      <c r="G40" s="3436">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2610</v>
      </c>
      <c r="B41" s="2728">
        <v>214</v>
      </c>
      <c r="C41" s="2728">
        <v>188</v>
      </c>
      <c r="D41" s="2728">
        <f t="shared" si="28"/>
        <v>188</v>
      </c>
      <c r="E41" s="2728">
        <v>289</v>
      </c>
      <c r="F41" s="2729">
        <v>166</v>
      </c>
      <c r="G41" s="3434">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2611</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35">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2612</v>
      </c>
      <c r="B43" s="2698">
        <f t="shared" si="46"/>
        <v>206.31694671589116</v>
      </c>
      <c r="C43" s="2698">
        <f t="shared" si="46"/>
        <v>183.61041121036101</v>
      </c>
      <c r="D43" s="2698">
        <f t="shared" si="28"/>
        <v>183.61041121036101</v>
      </c>
      <c r="E43" s="2698">
        <f t="shared" si="47"/>
        <v>276.66850301795557</v>
      </c>
      <c r="F43" s="2698">
        <f t="shared" si="47"/>
        <v>165.1360938278614</v>
      </c>
      <c r="G43" s="3435">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2613</v>
      </c>
      <c r="B44" s="2731">
        <f t="shared" si="46"/>
        <v>196.62341248059772</v>
      </c>
      <c r="C44" s="2731">
        <f t="shared" si="46"/>
        <v>170.99125648199012</v>
      </c>
      <c r="D44" s="2731">
        <f t="shared" si="28"/>
        <v>170.99125648199012</v>
      </c>
      <c r="E44" s="2731">
        <f t="shared" si="47"/>
        <v>266.07857570490052</v>
      </c>
      <c r="F44" s="2731">
        <f t="shared" si="47"/>
        <v>154.53499328828505</v>
      </c>
      <c r="G44" s="3436">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2614</v>
      </c>
      <c r="B45" s="2690">
        <v>188</v>
      </c>
      <c r="C45" s="2690">
        <v>165</v>
      </c>
      <c r="D45" s="2690">
        <f t="shared" si="28"/>
        <v>165</v>
      </c>
      <c r="E45" s="2690">
        <v>254</v>
      </c>
      <c r="F45" s="2691">
        <v>148</v>
      </c>
      <c r="G45" s="3434">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2615</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35">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2616</v>
      </c>
      <c r="B47" s="2698">
        <f t="shared" si="50"/>
        <v>168.82017748715555</v>
      </c>
      <c r="C47" s="2698">
        <f t="shared" si="50"/>
        <v>148.06267029972753</v>
      </c>
      <c r="D47" s="2698">
        <f t="shared" si="28"/>
        <v>148.06267029972753</v>
      </c>
      <c r="E47" s="2698">
        <f t="shared" si="51"/>
        <v>216.46288379323747</v>
      </c>
      <c r="F47" s="2698">
        <f t="shared" si="51"/>
        <v>134.23529411764704</v>
      </c>
      <c r="G47" s="3435">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2617</v>
      </c>
      <c r="B48" s="2698">
        <f t="shared" si="50"/>
        <v>163.84913591779542</v>
      </c>
      <c r="C48" s="2698">
        <f t="shared" si="50"/>
        <v>145.0283378746594</v>
      </c>
      <c r="D48" s="2698">
        <f t="shared" si="28"/>
        <v>145.0283378746594</v>
      </c>
      <c r="E48" s="2698">
        <f t="shared" si="51"/>
        <v>204.95180722891567</v>
      </c>
      <c r="F48" s="2698">
        <f t="shared" si="51"/>
        <v>125.95920303605313</v>
      </c>
      <c r="G48" s="3436">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2618</v>
      </c>
      <c r="B49" s="2712">
        <v>159</v>
      </c>
      <c r="C49" s="2712">
        <v>141</v>
      </c>
      <c r="D49" s="2712">
        <f t="shared" si="28"/>
        <v>141</v>
      </c>
      <c r="E49" s="2712">
        <v>195</v>
      </c>
      <c r="F49" s="2713">
        <v>122</v>
      </c>
      <c r="G49" s="3434">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2619</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35">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2620</v>
      </c>
      <c r="B51" s="2698">
        <f t="shared" si="54"/>
        <v>146.57412060301507</v>
      </c>
      <c r="C51" s="2698">
        <f t="shared" si="54"/>
        <v>136.46831955922866</v>
      </c>
      <c r="D51" s="2698">
        <f t="shared" si="28"/>
        <v>136.46831955922866</v>
      </c>
      <c r="E51" s="2698">
        <f t="shared" si="55"/>
        <v>166.73864894795128</v>
      </c>
      <c r="F51" s="2698">
        <f t="shared" si="55"/>
        <v>115.05882352941177</v>
      </c>
      <c r="G51" s="3435">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2621</v>
      </c>
      <c r="B52" s="2698">
        <f t="shared" si="54"/>
        <v>144.04145728643215</v>
      </c>
      <c r="C52" s="2698">
        <f t="shared" si="54"/>
        <v>136.12396694214877</v>
      </c>
      <c r="D52" s="2698">
        <f t="shared" si="28"/>
        <v>136.12396694214877</v>
      </c>
      <c r="E52" s="2698">
        <f t="shared" si="55"/>
        <v>158.32225913621264</v>
      </c>
      <c r="F52" s="2698">
        <f t="shared" si="55"/>
        <v>114.04278074866311</v>
      </c>
      <c r="G52" s="3436">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2622</v>
      </c>
      <c r="B53" s="2712">
        <v>138</v>
      </c>
      <c r="C53" s="2712">
        <v>131</v>
      </c>
      <c r="D53" s="2712">
        <f t="shared" si="28"/>
        <v>131</v>
      </c>
      <c r="E53" s="2712">
        <v>155</v>
      </c>
      <c r="F53" s="2713">
        <v>114</v>
      </c>
      <c r="G53" s="3434">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2623</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35">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2624</v>
      </c>
      <c r="B55" s="2698">
        <f t="shared" si="58"/>
        <v>124.29032258064517</v>
      </c>
      <c r="C55" s="2698">
        <f t="shared" si="58"/>
        <v>123.8968609865471</v>
      </c>
      <c r="D55" s="2698">
        <f t="shared" si="28"/>
        <v>123.8968609865471</v>
      </c>
      <c r="E55" s="2698">
        <f t="shared" si="59"/>
        <v>138.00507614213197</v>
      </c>
      <c r="F55" s="2698">
        <f t="shared" si="59"/>
        <v>107.96106557377048</v>
      </c>
      <c r="G55" s="3435">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2625</v>
      </c>
      <c r="B56" s="2698">
        <f t="shared" si="58"/>
        <v>122.57204301075269</v>
      </c>
      <c r="C56" s="2698">
        <f t="shared" si="58"/>
        <v>123.4932735426009</v>
      </c>
      <c r="D56" s="2698">
        <f t="shared" si="28"/>
        <v>123.4932735426009</v>
      </c>
      <c r="E56" s="2698">
        <f t="shared" si="59"/>
        <v>129.82233502538071</v>
      </c>
      <c r="F56" s="2698">
        <f t="shared" si="59"/>
        <v>107.39446721311475</v>
      </c>
      <c r="G56" s="3436">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2626</v>
      </c>
      <c r="B57" s="2728">
        <v>121</v>
      </c>
      <c r="C57" s="2728">
        <v>122</v>
      </c>
      <c r="D57" s="2728">
        <f t="shared" si="28"/>
        <v>122</v>
      </c>
      <c r="E57" s="2728">
        <v>124</v>
      </c>
      <c r="F57" s="2729">
        <v>107</v>
      </c>
      <c r="G57" s="3434">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2627</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35">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2628</v>
      </c>
      <c r="B59" s="2698">
        <f t="shared" si="62"/>
        <v>116.99099099099099</v>
      </c>
      <c r="C59" s="2698">
        <f t="shared" si="62"/>
        <v>118.84848484848486</v>
      </c>
      <c r="D59" s="2698">
        <f t="shared" si="28"/>
        <v>118.84848484848486</v>
      </c>
      <c r="E59" s="2698">
        <f t="shared" si="63"/>
        <v>117.60960960960961</v>
      </c>
      <c r="F59" s="2698">
        <f t="shared" si="63"/>
        <v>104</v>
      </c>
      <c r="G59" s="3435">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2629</v>
      </c>
      <c r="B60" s="2731">
        <f t="shared" si="62"/>
        <v>112.48648648648648</v>
      </c>
      <c r="C60" s="2731">
        <f t="shared" si="62"/>
        <v>115.21212121212122</v>
      </c>
      <c r="D60" s="2731">
        <f t="shared" si="28"/>
        <v>115.21212121212122</v>
      </c>
      <c r="E60" s="2731">
        <f t="shared" si="63"/>
        <v>110.4024024024024</v>
      </c>
      <c r="F60" s="2731">
        <f t="shared" si="63"/>
        <v>104</v>
      </c>
      <c r="G60" s="3436">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2630</v>
      </c>
      <c r="B61" s="2749">
        <v>111</v>
      </c>
      <c r="C61" s="2749">
        <v>114</v>
      </c>
      <c r="D61" s="2749">
        <f t="shared" si="28"/>
        <v>114</v>
      </c>
      <c r="E61" s="2749">
        <v>108</v>
      </c>
      <c r="F61" s="2750">
        <v>104</v>
      </c>
      <c r="G61" s="3434">
        <v>2003</v>
      </c>
      <c r="H61" s="2739">
        <v>4</v>
      </c>
      <c r="I61" s="2751"/>
      <c r="J61" s="2751"/>
      <c r="K61" s="2751"/>
      <c r="L61" s="2751"/>
      <c r="N61" s="2752"/>
      <c r="O61" s="2751"/>
      <c r="P61" s="2751"/>
      <c r="Q61" s="2751"/>
      <c r="S61" s="2752"/>
      <c r="T61" s="2751"/>
      <c r="U61" s="2751"/>
      <c r="V61" s="2751"/>
      <c r="X61" s="2743"/>
      <c r="Y61" s="2743"/>
      <c r="Z61" s="2743"/>
    </row>
    <row r="62" spans="1:26">
      <c r="A62" s="2684" t="s">
        <v>2631</v>
      </c>
      <c r="B62" s="2753">
        <f t="shared" ref="B62:C64" si="64">B63+(B$61-B$65)/4</f>
        <v>109.75</v>
      </c>
      <c r="C62" s="2753">
        <f t="shared" si="64"/>
        <v>112.25</v>
      </c>
      <c r="D62" s="2753">
        <f t="shared" si="28"/>
        <v>112.25</v>
      </c>
      <c r="E62" s="2753">
        <f t="shared" ref="E62:F64" si="65">E63+(E$61-E$65)/4</f>
        <v>107.25</v>
      </c>
      <c r="F62" s="2753">
        <f t="shared" si="65"/>
        <v>103.5</v>
      </c>
      <c r="G62" s="3435">
        <v>2003</v>
      </c>
      <c r="H62" s="2709">
        <v>3</v>
      </c>
      <c r="I62" s="2751"/>
      <c r="J62" s="2751"/>
      <c r="K62" s="2751"/>
      <c r="L62" s="2751"/>
      <c r="X62" s="2743"/>
      <c r="Y62" s="2743"/>
      <c r="Z62" s="2743"/>
    </row>
    <row r="63" spans="1:26">
      <c r="A63" s="2684" t="s">
        <v>2632</v>
      </c>
      <c r="B63" s="2753">
        <f t="shared" si="64"/>
        <v>108.5</v>
      </c>
      <c r="C63" s="2753">
        <f t="shared" si="64"/>
        <v>110.5</v>
      </c>
      <c r="D63" s="2753">
        <f t="shared" si="28"/>
        <v>110.5</v>
      </c>
      <c r="E63" s="2753">
        <f t="shared" si="65"/>
        <v>106.5</v>
      </c>
      <c r="F63" s="2753">
        <f t="shared" si="65"/>
        <v>103</v>
      </c>
      <c r="G63" s="3435">
        <v>2003</v>
      </c>
      <c r="H63" s="2689">
        <v>2</v>
      </c>
      <c r="I63" s="2751"/>
      <c r="J63" s="2751"/>
      <c r="K63" s="2751"/>
      <c r="L63" s="2751"/>
      <c r="X63" s="2743"/>
      <c r="Y63" s="2743"/>
      <c r="Z63" s="2743"/>
    </row>
    <row r="64" spans="1:26" ht="13.5" thickBot="1">
      <c r="A64" s="2684" t="s">
        <v>2633</v>
      </c>
      <c r="B64" s="2753">
        <f t="shared" si="64"/>
        <v>107.25</v>
      </c>
      <c r="C64" s="2753">
        <f t="shared" si="64"/>
        <v>108.75</v>
      </c>
      <c r="D64" s="2753">
        <f t="shared" si="28"/>
        <v>108.75</v>
      </c>
      <c r="E64" s="2753">
        <f t="shared" si="65"/>
        <v>105.75</v>
      </c>
      <c r="F64" s="2753">
        <f t="shared" si="65"/>
        <v>102.5</v>
      </c>
      <c r="G64" s="3436">
        <v>2003</v>
      </c>
      <c r="H64" s="2754">
        <v>1</v>
      </c>
      <c r="I64" s="2751"/>
      <c r="J64" s="2751"/>
      <c r="K64" s="2751"/>
      <c r="L64" s="2751"/>
      <c r="S64" s="2693"/>
      <c r="T64" s="2694"/>
      <c r="U64" s="2694"/>
      <c r="X64" s="2743"/>
      <c r="Y64" s="2743"/>
      <c r="Z64" s="2743"/>
    </row>
    <row r="65" spans="1:26" ht="13.5" thickBot="1">
      <c r="A65" s="2684" t="s">
        <v>2634</v>
      </c>
      <c r="B65" s="2755">
        <v>106</v>
      </c>
      <c r="C65" s="2755">
        <v>107</v>
      </c>
      <c r="D65" s="2755">
        <f t="shared" si="28"/>
        <v>107</v>
      </c>
      <c r="E65" s="2755">
        <v>105</v>
      </c>
      <c r="F65" s="2756">
        <v>102</v>
      </c>
      <c r="G65" s="3434">
        <v>2002</v>
      </c>
      <c r="H65" s="2704">
        <v>4</v>
      </c>
      <c r="I65" s="2751"/>
      <c r="J65" s="2751"/>
      <c r="K65" s="2751"/>
      <c r="L65" s="2751"/>
      <c r="N65" s="2752"/>
      <c r="O65" s="2751"/>
      <c r="P65" s="2751"/>
      <c r="Q65" s="2751"/>
      <c r="S65" s="2752"/>
      <c r="T65" s="2751"/>
      <c r="U65" s="2751"/>
      <c r="V65" s="2751"/>
      <c r="X65" s="2743"/>
      <c r="Y65" s="2743"/>
      <c r="Z65" s="2743"/>
    </row>
    <row r="66" spans="1:26">
      <c r="A66" s="2684" t="s">
        <v>2635</v>
      </c>
      <c r="B66" s="2753">
        <f t="shared" ref="B66:C68" si="66">B67+(B$65-B$69)/4</f>
        <v>105</v>
      </c>
      <c r="C66" s="2753">
        <f t="shared" si="66"/>
        <v>106</v>
      </c>
      <c r="D66" s="2753">
        <f t="shared" si="28"/>
        <v>106</v>
      </c>
      <c r="E66" s="2753">
        <f t="shared" ref="E66:F68" si="67">E67+(E$65-E$69)/4</f>
        <v>104.5</v>
      </c>
      <c r="F66" s="2753">
        <f t="shared" si="67"/>
        <v>101.5</v>
      </c>
      <c r="G66" s="3435">
        <v>2002</v>
      </c>
      <c r="H66" s="2709">
        <v>3</v>
      </c>
      <c r="I66" s="2751"/>
      <c r="J66" s="2751"/>
      <c r="K66" s="2751"/>
      <c r="L66" s="2751"/>
      <c r="X66" s="2743"/>
      <c r="Y66" s="2743"/>
      <c r="Z66" s="2743"/>
    </row>
    <row r="67" spans="1:26">
      <c r="A67" s="2684" t="s">
        <v>2636</v>
      </c>
      <c r="B67" s="2753">
        <f t="shared" si="66"/>
        <v>104</v>
      </c>
      <c r="C67" s="2753">
        <f t="shared" si="66"/>
        <v>105</v>
      </c>
      <c r="D67" s="2753">
        <f t="shared" si="28"/>
        <v>105</v>
      </c>
      <c r="E67" s="2753">
        <f t="shared" si="67"/>
        <v>104</v>
      </c>
      <c r="F67" s="2753">
        <f t="shared" si="67"/>
        <v>101</v>
      </c>
      <c r="G67" s="3435">
        <v>2002</v>
      </c>
      <c r="H67" s="2689">
        <v>2</v>
      </c>
      <c r="I67" s="2751"/>
      <c r="J67" s="2751"/>
      <c r="K67" s="2751"/>
      <c r="L67" s="2751"/>
      <c r="X67" s="2743"/>
      <c r="Y67" s="2743"/>
      <c r="Z67" s="2743"/>
    </row>
    <row r="68" spans="1:26" s="2720" customFormat="1" ht="13.5" thickBot="1">
      <c r="A68" s="2716" t="s">
        <v>2637</v>
      </c>
      <c r="B68" s="2757">
        <f t="shared" si="66"/>
        <v>103</v>
      </c>
      <c r="C68" s="2757">
        <f t="shared" si="66"/>
        <v>104</v>
      </c>
      <c r="D68" s="2757">
        <f t="shared" si="28"/>
        <v>104</v>
      </c>
      <c r="E68" s="2757">
        <f t="shared" si="67"/>
        <v>103.5</v>
      </c>
      <c r="F68" s="2757">
        <f t="shared" si="67"/>
        <v>100.5</v>
      </c>
      <c r="G68" s="3436">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2638</v>
      </c>
      <c r="G71" s="2767"/>
      <c r="N71" s="2767"/>
      <c r="S71" s="2767"/>
    </row>
    <row r="72" spans="1:26" s="2766" customFormat="1">
      <c r="A72" s="2766" t="s">
        <v>2639</v>
      </c>
      <c r="G72" s="2767"/>
      <c r="N72" s="2767"/>
      <c r="S72" s="2767"/>
    </row>
    <row r="73" spans="1:26" s="2766" customFormat="1">
      <c r="A73" s="2766" t="s">
        <v>2640</v>
      </c>
      <c r="G73" s="2767"/>
      <c r="I73" s="2768"/>
      <c r="J73" s="2768"/>
      <c r="K73" s="2768"/>
      <c r="L73" s="2768"/>
      <c r="N73" s="2769"/>
      <c r="O73" s="2768"/>
      <c r="P73" s="2768"/>
      <c r="Q73" s="2768"/>
      <c r="S73" s="2769"/>
      <c r="T73" s="2768"/>
      <c r="U73" s="2768"/>
      <c r="V73" s="2768"/>
    </row>
    <row r="74" spans="1:26" s="2766" customFormat="1">
      <c r="A74" s="2766" t="s">
        <v>2641</v>
      </c>
      <c r="G74" s="2767"/>
      <c r="N74" s="2767"/>
      <c r="S74" s="2767"/>
    </row>
    <row r="81" spans="7:22" ht="13.5" thickBot="1"/>
    <row r="82" spans="7:22">
      <c r="G82" s="2692"/>
      <c r="S82" s="2770" t="s">
        <v>2642</v>
      </c>
      <c r="T82" s="2771" t="s">
        <v>2643</v>
      </c>
      <c r="U82" s="2771" t="s">
        <v>2644</v>
      </c>
      <c r="V82" s="2771" t="s">
        <v>2645</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4" zoomScale="80" zoomScaleNormal="80" workbookViewId="0">
      <selection activeCell="C48" sqref="C4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3005</v>
      </c>
      <c r="E1" s="2654"/>
      <c r="F1" s="2837" t="s">
        <v>3142</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540694</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95354</v>
      </c>
      <c r="C3" s="855" t="s">
        <v>723</v>
      </c>
      <c r="D3" s="854">
        <f>SUMIF('数据-汇总表'!$C19:$C33,D1,'数据-汇总表'!$E19:$E33)</f>
        <v>56703.840000000004</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86" t="s">
        <v>523</v>
      </c>
      <c r="D4" s="3387"/>
      <c r="E4" s="3411" t="s">
        <v>524</v>
      </c>
      <c r="F4" s="3412"/>
      <c r="G4" s="3386" t="s">
        <v>525</v>
      </c>
      <c r="H4" s="3387"/>
      <c r="I4" s="3386" t="s">
        <v>526</v>
      </c>
      <c r="J4" s="3387"/>
      <c r="K4" s="856" t="s">
        <v>527</v>
      </c>
      <c r="L4" s="2137"/>
      <c r="M4" s="2138"/>
      <c r="N4" s="2138"/>
      <c r="O4" s="2138"/>
      <c r="P4" s="3388" t="s">
        <v>528</v>
      </c>
      <c r="Q4" s="3389"/>
      <c r="R4" s="3374" t="s">
        <v>524</v>
      </c>
      <c r="S4" s="3375"/>
      <c r="T4" s="3374" t="s">
        <v>525</v>
      </c>
      <c r="U4" s="3375"/>
      <c r="V4" s="3394" t="s">
        <v>526</v>
      </c>
      <c r="W4" s="3394"/>
      <c r="X4" s="3172"/>
      <c r="Y4" s="3374" t="s">
        <v>528</v>
      </c>
      <c r="Z4" s="3375"/>
      <c r="AA4" s="3369" t="s">
        <v>524</v>
      </c>
      <c r="AB4" s="3369" t="s">
        <v>525</v>
      </c>
      <c r="AC4" s="3369" t="s">
        <v>526</v>
      </c>
    </row>
    <row r="5" spans="1:29" ht="15">
      <c r="A5" s="518"/>
      <c r="B5" s="519"/>
      <c r="C5" s="3399"/>
      <c r="D5" s="3398"/>
      <c r="E5" s="3444" t="s">
        <v>3182</v>
      </c>
      <c r="F5" s="3414"/>
      <c r="G5" s="3397" t="s">
        <v>3149</v>
      </c>
      <c r="H5" s="3398"/>
      <c r="I5" s="3397" t="s">
        <v>3153</v>
      </c>
      <c r="J5" s="3398"/>
      <c r="K5" s="857"/>
      <c r="L5" s="2137"/>
      <c r="M5" s="2138"/>
      <c r="N5" s="2138"/>
      <c r="O5" s="2138"/>
      <c r="P5" s="3390"/>
      <c r="Q5" s="3391"/>
      <c r="R5" s="3376"/>
      <c r="S5" s="3377"/>
      <c r="T5" s="3376"/>
      <c r="U5" s="3377"/>
      <c r="V5" s="3394"/>
      <c r="W5" s="3394"/>
      <c r="X5" s="3172"/>
      <c r="Y5" s="3376"/>
      <c r="Z5" s="3377"/>
      <c r="AA5" s="3370"/>
      <c r="AB5" s="3370"/>
      <c r="AC5" s="3370"/>
    </row>
    <row r="6" spans="1:29" ht="15.75" thickBot="1">
      <c r="A6" s="520"/>
      <c r="B6" s="521"/>
      <c r="C6" s="3395"/>
      <c r="D6" s="3396"/>
      <c r="E6" s="3445"/>
      <c r="F6" s="3416"/>
      <c r="G6" s="3446"/>
      <c r="H6" s="3396"/>
      <c r="I6" s="3446"/>
      <c r="J6" s="3396"/>
      <c r="K6" s="857" t="s">
        <v>529</v>
      </c>
      <c r="L6" s="2137"/>
      <c r="M6" s="2138"/>
      <c r="N6" s="2138"/>
      <c r="O6" s="2138"/>
      <c r="P6" s="3392"/>
      <c r="Q6" s="3393"/>
      <c r="R6" s="3376"/>
      <c r="S6" s="3377"/>
      <c r="T6" s="3378"/>
      <c r="U6" s="3379"/>
      <c r="V6" s="3394"/>
      <c r="W6" s="3394"/>
      <c r="X6" s="3172"/>
      <c r="Y6" s="3378"/>
      <c r="Z6" s="3379"/>
      <c r="AA6" s="3371"/>
      <c r="AB6" s="3371"/>
      <c r="AC6" s="3371"/>
    </row>
    <row r="7" spans="1:29" s="1223" customFormat="1" ht="15.75" thickBot="1">
      <c r="A7" s="2941"/>
      <c r="B7" s="2948" t="s">
        <v>530</v>
      </c>
      <c r="C7" s="522">
        <f>'数据-取费表'!B2</f>
        <v>43047</v>
      </c>
      <c r="D7" s="523">
        <v>100</v>
      </c>
      <c r="E7" s="524">
        <v>43009</v>
      </c>
      <c r="F7" s="525">
        <f>SUMIF(58:58,YEAR(E7)&amp;"-"&amp;MONTH(E7),59:59)</f>
        <v>100</v>
      </c>
      <c r="G7" s="524">
        <v>42887</v>
      </c>
      <c r="H7" s="523">
        <f>SUMIF(58:58,YEAR(G7)&amp;"-"&amp;MONTH(G7),59:59)</f>
        <v>99</v>
      </c>
      <c r="I7" s="524">
        <v>43040</v>
      </c>
      <c r="J7" s="523">
        <f>SUMIF(58:58,YEAR(I7)&amp;"-"&amp;MONTH(I7),59:59)</f>
        <v>100</v>
      </c>
      <c r="K7" s="858"/>
      <c r="L7" s="2139"/>
      <c r="M7" s="2140"/>
      <c r="N7" s="2140"/>
      <c r="O7" s="2140"/>
      <c r="P7" s="3372" t="s">
        <v>531</v>
      </c>
      <c r="Q7" s="3381"/>
      <c r="R7" s="1571" t="s">
        <v>13</v>
      </c>
      <c r="S7" s="1572">
        <f t="shared" ref="S7:S15" si="0">F7</f>
        <v>100</v>
      </c>
      <c r="T7" s="1571" t="s">
        <v>13</v>
      </c>
      <c r="U7" s="1572">
        <f t="shared" ref="U7:U15" si="1">H7</f>
        <v>99</v>
      </c>
      <c r="V7" s="1571" t="s">
        <v>13</v>
      </c>
      <c r="W7" s="1572">
        <f t="shared" ref="W7:W15" si="2">J7</f>
        <v>100</v>
      </c>
      <c r="X7" s="1573"/>
      <c r="Y7" s="3372" t="s">
        <v>531</v>
      </c>
      <c r="Z7" s="3373"/>
      <c r="AA7" s="1574">
        <f>D7/F7</f>
        <v>1</v>
      </c>
      <c r="AB7" s="1574">
        <f>D7/H7</f>
        <v>1.0101010101010102</v>
      </c>
      <c r="AC7" s="1574">
        <f>D7/J7</f>
        <v>1</v>
      </c>
    </row>
    <row r="8" spans="1:29" s="1223"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9"/>
      <c r="M8" s="2140"/>
      <c r="N8" s="2140"/>
      <c r="O8" s="2140"/>
      <c r="P8" s="3372" t="s">
        <v>534</v>
      </c>
      <c r="Q8" s="3373"/>
      <c r="R8" s="1571" t="s">
        <v>13</v>
      </c>
      <c r="S8" s="1572">
        <f t="shared" si="0"/>
        <v>100</v>
      </c>
      <c r="T8" s="1571" t="s">
        <v>13</v>
      </c>
      <c r="U8" s="1572">
        <f t="shared" si="1"/>
        <v>100</v>
      </c>
      <c r="V8" s="1571" t="s">
        <v>13</v>
      </c>
      <c r="W8" s="1572">
        <f t="shared" si="2"/>
        <v>100</v>
      </c>
      <c r="X8" s="1573"/>
      <c r="Y8" s="3372" t="s">
        <v>534</v>
      </c>
      <c r="Z8" s="3373"/>
      <c r="AA8" s="1574">
        <f t="shared" ref="AA8:AA46" si="3">D8/F8</f>
        <v>1</v>
      </c>
      <c r="AB8" s="1574">
        <f t="shared" ref="AB8:AB46" si="4">D8/H8</f>
        <v>1</v>
      </c>
      <c r="AC8" s="1574">
        <f t="shared" ref="AC8:AC46" si="5">D8/J8</f>
        <v>1</v>
      </c>
    </row>
    <row r="9" spans="1:29" s="1223" customFormat="1" ht="15">
      <c r="A9" s="2943"/>
      <c r="B9" s="2950" t="s">
        <v>2764</v>
      </c>
      <c r="C9" s="3190" t="s">
        <v>3117</v>
      </c>
      <c r="D9" s="254">
        <v>100</v>
      </c>
      <c r="E9" s="861" t="s">
        <v>923</v>
      </c>
      <c r="F9" s="862">
        <f>SUMIF(63:63,E9,64:64)-SUMIF(63:63,C9,64:64)+100</f>
        <v>100</v>
      </c>
      <c r="G9" s="861" t="s">
        <v>923</v>
      </c>
      <c r="H9" s="254">
        <f>SUMIF(63:63,G9,64:64)-SUMIF(63:63,C9,64:64)+100</f>
        <v>100</v>
      </c>
      <c r="I9" s="861" t="s">
        <v>923</v>
      </c>
      <c r="J9" s="254">
        <f>SUMIF(63:63,I9,64:64)-SUMIF(63:63,C9,64:64)+100</f>
        <v>100</v>
      </c>
      <c r="K9" s="858"/>
      <c r="L9" s="2139"/>
      <c r="M9" s="2140"/>
      <c r="N9" s="2140"/>
      <c r="O9" s="2141"/>
      <c r="P9" s="3380" t="s">
        <v>536</v>
      </c>
      <c r="Q9" s="3167" t="str">
        <f t="shared" ref="Q9:Q15" si="6">B9</f>
        <v>用途</v>
      </c>
      <c r="R9" s="1571" t="s">
        <v>8</v>
      </c>
      <c r="S9" s="1572">
        <f t="shared" si="0"/>
        <v>100</v>
      </c>
      <c r="T9" s="1571" t="s">
        <v>8</v>
      </c>
      <c r="U9" s="1572">
        <f t="shared" si="1"/>
        <v>100</v>
      </c>
      <c r="V9" s="1571" t="s">
        <v>8</v>
      </c>
      <c r="W9" s="1572">
        <f t="shared" si="2"/>
        <v>100</v>
      </c>
      <c r="X9" s="1573"/>
      <c r="Y9" s="3337" t="s">
        <v>537</v>
      </c>
      <c r="Z9" s="3165" t="str">
        <f t="shared" ref="Z9:Z15" si="7">Q9</f>
        <v>用途</v>
      </c>
      <c r="AA9" s="1574">
        <f t="shared" si="3"/>
        <v>1</v>
      </c>
      <c r="AB9" s="1574">
        <f t="shared" si="4"/>
        <v>1</v>
      </c>
      <c r="AC9" s="1574">
        <f t="shared" si="5"/>
        <v>1</v>
      </c>
    </row>
    <row r="10" spans="1:29" s="1341" customFormat="1" ht="27">
      <c r="A10" s="2944"/>
      <c r="B10" s="2949" t="s">
        <v>2765</v>
      </c>
      <c r="C10" s="864" t="s">
        <v>3118</v>
      </c>
      <c r="D10" s="255">
        <v>100</v>
      </c>
      <c r="E10" s="864" t="s">
        <v>3119</v>
      </c>
      <c r="F10" s="866">
        <f>SUMIF(65:65,E10,66:66)-SUMIF(65:65,C10,66:66)+100</f>
        <v>101</v>
      </c>
      <c r="G10" s="864" t="s">
        <v>3119</v>
      </c>
      <c r="H10" s="255">
        <f>SUMIF(65:65,G10,66:66)-SUMIF(65:65,C10,66:66)+100</f>
        <v>101</v>
      </c>
      <c r="I10" s="864" t="s">
        <v>3119</v>
      </c>
      <c r="J10" s="255">
        <f>SUMIF(65:65,I10,66:66)-SUMIF(65:65,C10,66:66)+100</f>
        <v>101</v>
      </c>
      <c r="K10" s="867">
        <v>1</v>
      </c>
      <c r="L10" s="2142"/>
      <c r="M10" s="2182"/>
      <c r="N10" s="2182"/>
      <c r="O10" s="2143"/>
      <c r="P10" s="3380"/>
      <c r="Q10" s="3167" t="str">
        <f t="shared" si="6"/>
        <v>土地使用年限（年）</v>
      </c>
      <c r="R10" s="1571" t="s">
        <v>8</v>
      </c>
      <c r="S10" s="1572">
        <f t="shared" si="0"/>
        <v>101</v>
      </c>
      <c r="T10" s="1571" t="s">
        <v>8</v>
      </c>
      <c r="U10" s="1572">
        <f t="shared" si="1"/>
        <v>101</v>
      </c>
      <c r="V10" s="1571" t="s">
        <v>8</v>
      </c>
      <c r="W10" s="1572">
        <f t="shared" si="2"/>
        <v>101</v>
      </c>
      <c r="X10" s="1573"/>
      <c r="Y10" s="3337"/>
      <c r="Z10" s="3165" t="str">
        <f t="shared" si="7"/>
        <v>土地使用年限（年）</v>
      </c>
      <c r="AA10" s="1574">
        <f t="shared" si="3"/>
        <v>0.99009900990099009</v>
      </c>
      <c r="AB10" s="1574">
        <f t="shared" si="4"/>
        <v>0.99009900990099009</v>
      </c>
      <c r="AC10" s="1574">
        <f t="shared" si="5"/>
        <v>0.99009900990099009</v>
      </c>
    </row>
    <row r="11" spans="1:29" ht="15">
      <c r="A11" s="2945"/>
      <c r="B11" s="2949" t="s">
        <v>2766</v>
      </c>
      <c r="C11" s="536">
        <f>'数据-汇总表'!I6</f>
        <v>2.42</v>
      </c>
      <c r="D11" s="255">
        <v>100</v>
      </c>
      <c r="E11" s="537">
        <v>0.52</v>
      </c>
      <c r="F11" s="866">
        <f>LOOKUP(E11,68:68,69:69)-LOOKUP(C11,68:68,69:69)+100</f>
        <v>104</v>
      </c>
      <c r="G11" s="536">
        <v>2.5</v>
      </c>
      <c r="H11" s="255">
        <f>LOOKUP(G11,68:68,69:69)-LOOKUP(C11,68:68,69:69)+100</f>
        <v>100</v>
      </c>
      <c r="I11" s="536">
        <v>0.68</v>
      </c>
      <c r="J11" s="255">
        <f>LOOKUP(I11,68:68,69:69)-LOOKUP(C11,68:68,69:69)+100</f>
        <v>104</v>
      </c>
      <c r="K11" s="867">
        <v>2</v>
      </c>
      <c r="L11" s="2144"/>
      <c r="M11" s="2138"/>
      <c r="N11" s="2138"/>
      <c r="O11" s="2145"/>
      <c r="P11" s="3380"/>
      <c r="Q11" s="3167" t="str">
        <f t="shared" si="6"/>
        <v>容积率</v>
      </c>
      <c r="R11" s="1571" t="s">
        <v>11</v>
      </c>
      <c r="S11" s="1572">
        <f t="shared" si="0"/>
        <v>104</v>
      </c>
      <c r="T11" s="1571" t="s">
        <v>11</v>
      </c>
      <c r="U11" s="1572">
        <f t="shared" si="1"/>
        <v>100</v>
      </c>
      <c r="V11" s="1571" t="s">
        <v>11</v>
      </c>
      <c r="W11" s="1572">
        <f t="shared" si="2"/>
        <v>104</v>
      </c>
      <c r="X11" s="1573"/>
      <c r="Y11" s="3337"/>
      <c r="Z11" s="3165" t="str">
        <f t="shared" si="7"/>
        <v>容积率</v>
      </c>
      <c r="AA11" s="1574">
        <f t="shared" si="3"/>
        <v>0.96153846153846156</v>
      </c>
      <c r="AB11" s="1574">
        <f t="shared" si="4"/>
        <v>1</v>
      </c>
      <c r="AC11" s="1574">
        <f t="shared" si="5"/>
        <v>0.96153846153846156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0"/>
      <c r="Q12" s="3167">
        <f t="shared" si="6"/>
        <v>0</v>
      </c>
      <c r="R12" s="1571" t="s">
        <v>11</v>
      </c>
      <c r="S12" s="1572">
        <f t="shared" si="0"/>
        <v>100</v>
      </c>
      <c r="T12" s="1571" t="s">
        <v>11</v>
      </c>
      <c r="U12" s="1572">
        <f t="shared" si="1"/>
        <v>100</v>
      </c>
      <c r="V12" s="1571" t="s">
        <v>11</v>
      </c>
      <c r="W12" s="1572">
        <f t="shared" si="2"/>
        <v>100</v>
      </c>
      <c r="X12" s="1573"/>
      <c r="Y12" s="3337"/>
      <c r="Z12" s="3165">
        <f t="shared" si="7"/>
        <v>0</v>
      </c>
      <c r="AA12" s="1574">
        <f>D12/F12</f>
        <v>1</v>
      </c>
      <c r="AB12" s="1574">
        <f>D12/H12</f>
        <v>1</v>
      </c>
      <c r="AC12" s="1574">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0"/>
      <c r="Q13" s="3167">
        <f t="shared" si="6"/>
        <v>0</v>
      </c>
      <c r="R13" s="1571" t="s">
        <v>11</v>
      </c>
      <c r="S13" s="1572">
        <f t="shared" si="0"/>
        <v>100</v>
      </c>
      <c r="T13" s="1571" t="s">
        <v>11</v>
      </c>
      <c r="U13" s="1572">
        <f t="shared" si="1"/>
        <v>100</v>
      </c>
      <c r="V13" s="1571" t="s">
        <v>11</v>
      </c>
      <c r="W13" s="1572">
        <f t="shared" si="2"/>
        <v>100</v>
      </c>
      <c r="X13" s="1573"/>
      <c r="Y13" s="3337"/>
      <c r="Z13" s="3165">
        <f t="shared" si="7"/>
        <v>0</v>
      </c>
      <c r="AA13" s="1574">
        <f t="shared" si="3"/>
        <v>1</v>
      </c>
      <c r="AB13" s="1574">
        <f t="shared" si="4"/>
        <v>1</v>
      </c>
      <c r="AC13" s="1574">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0"/>
      <c r="Q14" s="3167">
        <f t="shared" si="6"/>
        <v>0</v>
      </c>
      <c r="R14" s="1571" t="s">
        <v>11</v>
      </c>
      <c r="S14" s="1572">
        <f t="shared" si="0"/>
        <v>100</v>
      </c>
      <c r="T14" s="1571" t="s">
        <v>11</v>
      </c>
      <c r="U14" s="1572">
        <f t="shared" si="1"/>
        <v>100</v>
      </c>
      <c r="V14" s="1571" t="s">
        <v>11</v>
      </c>
      <c r="W14" s="1572">
        <f t="shared" si="2"/>
        <v>100</v>
      </c>
      <c r="X14" s="1573"/>
      <c r="Y14" s="3337"/>
      <c r="Z14" s="3165">
        <f t="shared" si="7"/>
        <v>0</v>
      </c>
      <c r="AA14" s="1574">
        <f t="shared" si="3"/>
        <v>1</v>
      </c>
      <c r="AB14" s="1574">
        <f t="shared" si="4"/>
        <v>1</v>
      </c>
      <c r="AC14" s="1574">
        <f t="shared" si="5"/>
        <v>1</v>
      </c>
    </row>
    <row r="15" spans="1:29" ht="85.5">
      <c r="A15" s="2939" t="s">
        <v>2762</v>
      </c>
      <c r="B15" s="166" t="s">
        <v>295</v>
      </c>
      <c r="C15" s="870" t="str">
        <f>估价对象房地状况!C3</f>
        <v>估价对象周边有姚家园东里、逸翠园等居住项目，综合评价居住社区成熟度一般</v>
      </c>
      <c r="D15" s="552">
        <v>100</v>
      </c>
      <c r="E15" s="3194" t="s">
        <v>3154</v>
      </c>
      <c r="F15" s="554">
        <f>SUMIF(76:76,E16,77:77)-SUMIF(76:76,C16,77:77)+100</f>
        <v>100</v>
      </c>
      <c r="G15" s="3194" t="s">
        <v>3150</v>
      </c>
      <c r="H15" s="552">
        <f>SUMIF(76:76,G16,77:77)-SUMIF(76:76,C16,77:77)+100</f>
        <v>100</v>
      </c>
      <c r="I15" s="3194" t="s">
        <v>3150</v>
      </c>
      <c r="J15" s="552">
        <f>SUMIF(76:76,I16,77:77)-SUMIF(76:76,C16,77:77)+100</f>
        <v>100</v>
      </c>
      <c r="K15" s="871">
        <v>2</v>
      </c>
      <c r="L15" s="2146"/>
      <c r="M15" s="2138"/>
      <c r="N15" s="2138"/>
      <c r="O15" s="2145"/>
      <c r="P15" s="3382" t="s">
        <v>541</v>
      </c>
      <c r="Q15" s="3173" t="str">
        <f t="shared" si="6"/>
        <v>居住社区成熟度</v>
      </c>
      <c r="R15" s="1576" t="s">
        <v>11</v>
      </c>
      <c r="S15" s="1577">
        <f t="shared" si="0"/>
        <v>100</v>
      </c>
      <c r="T15" s="1576" t="s">
        <v>11</v>
      </c>
      <c r="U15" s="1577">
        <f t="shared" si="1"/>
        <v>100</v>
      </c>
      <c r="V15" s="1576" t="s">
        <v>11</v>
      </c>
      <c r="W15" s="1577">
        <f t="shared" si="2"/>
        <v>100</v>
      </c>
      <c r="X15" s="3172"/>
      <c r="Y15" s="3382" t="s">
        <v>541</v>
      </c>
      <c r="Z15" s="3174" t="str">
        <f t="shared" si="7"/>
        <v>居住社区成熟度</v>
      </c>
      <c r="AA15" s="3175">
        <f t="shared" si="3"/>
        <v>1</v>
      </c>
      <c r="AB15" s="3175">
        <f t="shared" si="4"/>
        <v>1</v>
      </c>
      <c r="AC15" s="3175">
        <f t="shared" si="5"/>
        <v>1</v>
      </c>
    </row>
    <row r="16" spans="1:29" ht="15">
      <c r="A16" s="535"/>
      <c r="B16" s="872"/>
      <c r="C16" s="579" t="s">
        <v>3099</v>
      </c>
      <c r="D16" s="558"/>
      <c r="E16" s="579" t="s">
        <v>3099</v>
      </c>
      <c r="F16" s="560"/>
      <c r="G16" s="579" t="s">
        <v>3099</v>
      </c>
      <c r="H16" s="562"/>
      <c r="I16" s="579" t="s">
        <v>3099</v>
      </c>
      <c r="J16" s="558"/>
      <c r="K16" s="873"/>
      <c r="L16" s="2146"/>
      <c r="M16" s="2138"/>
      <c r="N16" s="2138"/>
      <c r="O16" s="2145"/>
      <c r="P16" s="3383"/>
      <c r="Q16" s="3173"/>
      <c r="R16" s="1576"/>
      <c r="S16" s="1577"/>
      <c r="T16" s="1576"/>
      <c r="U16" s="1577"/>
      <c r="V16" s="1576"/>
      <c r="W16" s="1577"/>
      <c r="X16" s="3172"/>
      <c r="Y16" s="3383"/>
      <c r="Z16" s="3174"/>
      <c r="AA16" s="3175">
        <v>1</v>
      </c>
      <c r="AB16" s="3175">
        <v>1</v>
      </c>
      <c r="AC16" s="3175">
        <v>1</v>
      </c>
    </row>
    <row r="17" spans="1:29" ht="71.25">
      <c r="A17" s="535"/>
      <c r="B17" s="874" t="s">
        <v>296</v>
      </c>
      <c r="C17" s="875" t="str">
        <f>估价对象房地状况!C6</f>
        <v>估价对象周边有344、531路公交线路经过，综合评价交通便捷度一般</v>
      </c>
      <c r="D17" s="562">
        <v>100</v>
      </c>
      <c r="E17" s="3191" t="s">
        <v>3147</v>
      </c>
      <c r="F17" s="566">
        <f>SUMIF(78:78,E18,79:79)-SUMIF(78:78,C18,79:79)+100</f>
        <v>100</v>
      </c>
      <c r="G17" s="3195" t="s">
        <v>3152</v>
      </c>
      <c r="H17" s="568">
        <f>SUMIF(78:78,G18,79:79)-SUMIF(78:78,C18,79:79)+100</f>
        <v>100</v>
      </c>
      <c r="I17" s="3195" t="s">
        <v>3152</v>
      </c>
      <c r="J17" s="568">
        <f>SUMIF(78:78,I18,79:79)-SUMIF(78:78,C18,79:79)+100</f>
        <v>100</v>
      </c>
      <c r="K17" s="871">
        <v>1</v>
      </c>
      <c r="L17" s="2146"/>
      <c r="M17" s="2138"/>
      <c r="N17" s="2138"/>
      <c r="O17" s="2145"/>
      <c r="P17" s="3383"/>
      <c r="Q17" s="3173" t="str">
        <f>B17</f>
        <v>交通便捷度</v>
      </c>
      <c r="R17" s="1576" t="s">
        <v>11</v>
      </c>
      <c r="S17" s="1577">
        <f>F17</f>
        <v>100</v>
      </c>
      <c r="T17" s="1576" t="s">
        <v>11</v>
      </c>
      <c r="U17" s="1577">
        <f>H17</f>
        <v>100</v>
      </c>
      <c r="V17" s="1576" t="s">
        <v>11</v>
      </c>
      <c r="W17" s="1577">
        <f>J17</f>
        <v>100</v>
      </c>
      <c r="X17" s="3172"/>
      <c r="Y17" s="3383"/>
      <c r="Z17" s="3174" t="str">
        <f>Q17</f>
        <v>交通便捷度</v>
      </c>
      <c r="AA17" s="3175">
        <f t="shared" si="3"/>
        <v>1</v>
      </c>
      <c r="AB17" s="3175">
        <f t="shared" si="4"/>
        <v>1</v>
      </c>
      <c r="AC17" s="3175">
        <f t="shared" si="5"/>
        <v>1</v>
      </c>
    </row>
    <row r="18" spans="1:29" ht="15">
      <c r="A18" s="535"/>
      <c r="B18" s="598"/>
      <c r="C18" s="876" t="s">
        <v>3099</v>
      </c>
      <c r="D18" s="562"/>
      <c r="E18" s="579" t="s">
        <v>3099</v>
      </c>
      <c r="F18" s="566"/>
      <c r="G18" s="579" t="s">
        <v>3099</v>
      </c>
      <c r="H18" s="558"/>
      <c r="I18" s="579" t="s">
        <v>3099</v>
      </c>
      <c r="J18" s="558"/>
      <c r="K18" s="873"/>
      <c r="L18" s="2146"/>
      <c r="M18" s="2138"/>
      <c r="N18" s="2138"/>
      <c r="O18" s="2145"/>
      <c r="P18" s="3383"/>
      <c r="Q18" s="3173"/>
      <c r="R18" s="1576"/>
      <c r="S18" s="1577"/>
      <c r="T18" s="1576"/>
      <c r="U18" s="1577"/>
      <c r="V18" s="1576"/>
      <c r="W18" s="1577"/>
      <c r="X18" s="3172"/>
      <c r="Y18" s="3383"/>
      <c r="Z18" s="3174"/>
      <c r="AA18" s="3175">
        <v>1</v>
      </c>
      <c r="AB18" s="3175">
        <v>1</v>
      </c>
      <c r="AC18" s="3175">
        <v>1</v>
      </c>
    </row>
    <row r="19" spans="1:29" ht="54">
      <c r="A19" s="535"/>
      <c r="B19" s="2628" t="s">
        <v>2552</v>
      </c>
      <c r="C19" s="875" t="str">
        <f>估价对象房地状况!C7</f>
        <v>估价对象所在区域公共配套设施齐备度一般</v>
      </c>
      <c r="D19" s="568">
        <v>100</v>
      </c>
      <c r="E19" s="3181" t="s">
        <v>3053</v>
      </c>
      <c r="F19" s="574">
        <f>SUMIF(80:80,E20,81:81)-SUMIF(80:80,C20,81:81)+100</f>
        <v>100</v>
      </c>
      <c r="G19" s="3181" t="s">
        <v>3053</v>
      </c>
      <c r="H19" s="562">
        <f>SUMIF(80:80,G20,81:81)-SUMIF(80:80,C20,81:81)+100</f>
        <v>100</v>
      </c>
      <c r="I19" s="3181" t="s">
        <v>3053</v>
      </c>
      <c r="J19" s="562">
        <f>SUMIF(80:80,I20,81:81)-SUMIF(80:80,C20,81:81)+100</f>
        <v>100</v>
      </c>
      <c r="K19" s="871">
        <v>1</v>
      </c>
      <c r="L19" s="2146"/>
      <c r="M19" s="2138"/>
      <c r="N19" s="2138"/>
      <c r="O19" s="2145"/>
      <c r="P19" s="3383"/>
      <c r="Q19" s="3173" t="str">
        <f>B19</f>
        <v>公共配套设施</v>
      </c>
      <c r="R19" s="1576" t="s">
        <v>11</v>
      </c>
      <c r="S19" s="1577">
        <f>F19</f>
        <v>100</v>
      </c>
      <c r="T19" s="1576" t="s">
        <v>11</v>
      </c>
      <c r="U19" s="1577">
        <f>H19</f>
        <v>100</v>
      </c>
      <c r="V19" s="1576" t="s">
        <v>11</v>
      </c>
      <c r="W19" s="1577">
        <f>J19</f>
        <v>100</v>
      </c>
      <c r="X19" s="3172"/>
      <c r="Y19" s="3383"/>
      <c r="Z19" s="3174" t="str">
        <f>Q19</f>
        <v>公共配套设施</v>
      </c>
      <c r="AA19" s="3175">
        <f t="shared" si="3"/>
        <v>1</v>
      </c>
      <c r="AB19" s="3175">
        <f t="shared" si="4"/>
        <v>1</v>
      </c>
      <c r="AC19" s="3175">
        <f t="shared" si="5"/>
        <v>1</v>
      </c>
    </row>
    <row r="20" spans="1:29" ht="15">
      <c r="A20" s="535"/>
      <c r="B20" s="598"/>
      <c r="C20" s="579" t="s">
        <v>3099</v>
      </c>
      <c r="D20" s="558"/>
      <c r="E20" s="579" t="s">
        <v>3099</v>
      </c>
      <c r="F20" s="560"/>
      <c r="G20" s="579" t="s">
        <v>3099</v>
      </c>
      <c r="H20" s="558"/>
      <c r="I20" s="579" t="s">
        <v>3099</v>
      </c>
      <c r="J20" s="558"/>
      <c r="K20" s="873"/>
      <c r="L20" s="2146"/>
      <c r="M20" s="2138"/>
      <c r="N20" s="2138"/>
      <c r="O20" s="2145"/>
      <c r="P20" s="3383"/>
      <c r="Q20" s="3173"/>
      <c r="R20" s="1576"/>
      <c r="S20" s="1577"/>
      <c r="T20" s="1576"/>
      <c r="U20" s="1577"/>
      <c r="V20" s="1576"/>
      <c r="W20" s="1577"/>
      <c r="X20" s="3172"/>
      <c r="Y20" s="3383"/>
      <c r="Z20" s="3174"/>
      <c r="AA20" s="3175">
        <v>1</v>
      </c>
      <c r="AB20" s="3175">
        <v>1</v>
      </c>
      <c r="AC20" s="3175">
        <v>1</v>
      </c>
    </row>
    <row r="21" spans="1:29" ht="42.75">
      <c r="A21" s="535"/>
      <c r="B21" s="2621" t="s">
        <v>2553</v>
      </c>
      <c r="C21" s="875" t="str">
        <f>估价对象房地状况!C8</f>
        <v>估价对象所在区域基础设施水平达七通</v>
      </c>
      <c r="D21" s="568">
        <v>100</v>
      </c>
      <c r="E21" s="3192"/>
      <c r="F21" s="574">
        <f>SUMIF(82:82,E22,83:83)-SUMIF(82:82,C22,83:83)+100</f>
        <v>100</v>
      </c>
      <c r="G21" s="3192"/>
      <c r="H21" s="568">
        <f>SUMIF(82:82,G22,83:83)-SUMIF(82:82,C22,83:83)+100</f>
        <v>100</v>
      </c>
      <c r="I21" s="3192"/>
      <c r="J21" s="568">
        <f>SUMIF(82:82,I22,83:83)-SUMIF(82:82,C22,83:83)+100</f>
        <v>100</v>
      </c>
      <c r="K21" s="871">
        <v>1</v>
      </c>
      <c r="L21" s="2146"/>
      <c r="M21" s="2138"/>
      <c r="N21" s="2138"/>
      <c r="O21" s="2145"/>
      <c r="P21" s="3383"/>
      <c r="Q21" s="3173" t="str">
        <f>B21</f>
        <v>基础设施水平</v>
      </c>
      <c r="R21" s="1576" t="s">
        <v>11</v>
      </c>
      <c r="S21" s="1577">
        <f>F21</f>
        <v>100</v>
      </c>
      <c r="T21" s="1576" t="s">
        <v>11</v>
      </c>
      <c r="U21" s="1577">
        <f>H21</f>
        <v>100</v>
      </c>
      <c r="V21" s="1576" t="s">
        <v>11</v>
      </c>
      <c r="W21" s="1577">
        <f>J21</f>
        <v>100</v>
      </c>
      <c r="X21" s="3172"/>
      <c r="Y21" s="3383"/>
      <c r="Z21" s="3174" t="str">
        <f>Q21</f>
        <v>基础设施水平</v>
      </c>
      <c r="AA21" s="3175">
        <f t="shared" ref="AA21" si="8">D21/F21</f>
        <v>1</v>
      </c>
      <c r="AB21" s="3175">
        <f t="shared" ref="AB21" si="9">D21/H21</f>
        <v>1</v>
      </c>
      <c r="AC21" s="3175">
        <f t="shared" ref="AC21" si="10">D21/J21</f>
        <v>1</v>
      </c>
    </row>
    <row r="22" spans="1:29" ht="15">
      <c r="A22" s="535"/>
      <c r="B22" s="925"/>
      <c r="C22" s="876" t="s">
        <v>3082</v>
      </c>
      <c r="D22" s="558"/>
      <c r="E22" s="876" t="s">
        <v>3082</v>
      </c>
      <c r="F22" s="560"/>
      <c r="G22" s="876" t="s">
        <v>3082</v>
      </c>
      <c r="H22" s="558"/>
      <c r="I22" s="876" t="s">
        <v>3082</v>
      </c>
      <c r="J22" s="558"/>
      <c r="K22" s="2627"/>
      <c r="L22" s="2146"/>
      <c r="M22" s="2138"/>
      <c r="N22" s="2138"/>
      <c r="O22" s="2145"/>
      <c r="P22" s="3383"/>
      <c r="Q22" s="3173"/>
      <c r="R22" s="1576"/>
      <c r="S22" s="1577"/>
      <c r="T22" s="1576"/>
      <c r="U22" s="1577"/>
      <c r="V22" s="1576"/>
      <c r="W22" s="1577"/>
      <c r="X22" s="3172"/>
      <c r="Y22" s="3383"/>
      <c r="Z22" s="3174"/>
      <c r="AA22" s="3175">
        <v>1</v>
      </c>
      <c r="AB22" s="3175">
        <v>1</v>
      </c>
      <c r="AC22" s="3175">
        <v>1</v>
      </c>
    </row>
    <row r="23" spans="1:29" ht="57">
      <c r="A23" s="535"/>
      <c r="B23" s="874" t="s">
        <v>297</v>
      </c>
      <c r="C23" s="875" t="str">
        <f>估价对象房地状况!C9</f>
        <v>周边有京城体育休闲公园；综合评价环境状况一般</v>
      </c>
      <c r="D23" s="562">
        <v>100</v>
      </c>
      <c r="E23" s="3195" t="s">
        <v>3148</v>
      </c>
      <c r="F23" s="566">
        <f>SUMIF(84:84,E24,85:85)-SUMIF(84:84,C24,85:85)+100</f>
        <v>100</v>
      </c>
      <c r="G23" s="3195" t="s">
        <v>3151</v>
      </c>
      <c r="H23" s="562">
        <f>SUMIF(84:84,G24,85:85)-SUMIF(84:84,C24,85:85)+100</f>
        <v>100</v>
      </c>
      <c r="I23" s="3195" t="s">
        <v>3151</v>
      </c>
      <c r="J23" s="562">
        <f>SUMIF(84:84,I24,85:85)-SUMIF(84:84,C24,85:85)+100</f>
        <v>100</v>
      </c>
      <c r="K23" s="871">
        <v>1</v>
      </c>
      <c r="L23" s="2146"/>
      <c r="M23" s="2138"/>
      <c r="N23" s="2138"/>
      <c r="O23" s="2145"/>
      <c r="P23" s="3383"/>
      <c r="Q23" s="3173" t="str">
        <f>B23</f>
        <v>自然及人文环境</v>
      </c>
      <c r="R23" s="1576" t="s">
        <v>11</v>
      </c>
      <c r="S23" s="1577">
        <f>F23</f>
        <v>100</v>
      </c>
      <c r="T23" s="1576" t="s">
        <v>11</v>
      </c>
      <c r="U23" s="1577">
        <f>H23</f>
        <v>100</v>
      </c>
      <c r="V23" s="1576" t="s">
        <v>11</v>
      </c>
      <c r="W23" s="1577">
        <f>J23</f>
        <v>100</v>
      </c>
      <c r="X23" s="3172"/>
      <c r="Y23" s="3383"/>
      <c r="Z23" s="3174" t="str">
        <f>Q23</f>
        <v>自然及人文环境</v>
      </c>
      <c r="AA23" s="3175">
        <f t="shared" si="3"/>
        <v>1</v>
      </c>
      <c r="AB23" s="3175">
        <f t="shared" si="4"/>
        <v>1</v>
      </c>
      <c r="AC23" s="3175">
        <f t="shared" si="5"/>
        <v>1</v>
      </c>
    </row>
    <row r="24" spans="1:29" ht="15">
      <c r="A24" s="535"/>
      <c r="B24" s="598"/>
      <c r="C24" s="579" t="s">
        <v>3099</v>
      </c>
      <c r="D24" s="558"/>
      <c r="E24" s="579" t="s">
        <v>3099</v>
      </c>
      <c r="F24" s="560"/>
      <c r="G24" s="579" t="s">
        <v>3099</v>
      </c>
      <c r="H24" s="558"/>
      <c r="I24" s="579" t="s">
        <v>3099</v>
      </c>
      <c r="J24" s="558"/>
      <c r="K24" s="873"/>
      <c r="L24" s="2146"/>
      <c r="M24" s="2138"/>
      <c r="N24" s="2138"/>
      <c r="O24" s="2145"/>
      <c r="P24" s="3383"/>
      <c r="Q24" s="3173"/>
      <c r="R24" s="1576"/>
      <c r="S24" s="1577"/>
      <c r="T24" s="1576"/>
      <c r="U24" s="1577"/>
      <c r="V24" s="1576"/>
      <c r="W24" s="1577"/>
      <c r="X24" s="3172"/>
      <c r="Y24" s="3383"/>
      <c r="Z24" s="3174"/>
      <c r="AA24" s="3175">
        <v>1</v>
      </c>
      <c r="AB24" s="3175">
        <v>1</v>
      </c>
      <c r="AC24" s="3175">
        <v>1</v>
      </c>
    </row>
    <row r="25" spans="1:29" ht="15">
      <c r="A25" s="535"/>
      <c r="B25" s="1899" t="s">
        <v>2259</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83"/>
      <c r="Q25" s="3173" t="str">
        <f t="shared" ref="Q25:Q46" si="11">B25</f>
        <v>楼层-1</v>
      </c>
      <c r="R25" s="1576" t="s">
        <v>11</v>
      </c>
      <c r="S25" s="1577">
        <f>F25</f>
        <v>100</v>
      </c>
      <c r="T25" s="1576" t="s">
        <v>11</v>
      </c>
      <c r="U25" s="1577">
        <f>H25</f>
        <v>100</v>
      </c>
      <c r="V25" s="1576" t="s">
        <v>11</v>
      </c>
      <c r="W25" s="1577">
        <f>J25</f>
        <v>100</v>
      </c>
      <c r="X25" s="3172"/>
      <c r="Y25" s="3383"/>
      <c r="Z25" s="3174" t="str">
        <f>Q25</f>
        <v>楼层-1</v>
      </c>
      <c r="AA25" s="3175">
        <f t="shared" si="3"/>
        <v>1</v>
      </c>
      <c r="AB25" s="3175">
        <f t="shared" si="4"/>
        <v>1</v>
      </c>
      <c r="AC25" s="3175">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83"/>
      <c r="Q26" s="3173" t="str">
        <f t="shared" si="11"/>
        <v>朝向</v>
      </c>
      <c r="R26" s="1576" t="s">
        <v>11</v>
      </c>
      <c r="S26" s="1577">
        <f>F26</f>
        <v>100</v>
      </c>
      <c r="T26" s="1576" t="s">
        <v>11</v>
      </c>
      <c r="U26" s="1577">
        <f>H26</f>
        <v>100</v>
      </c>
      <c r="V26" s="1576" t="s">
        <v>11</v>
      </c>
      <c r="W26" s="1577">
        <f>J26</f>
        <v>100</v>
      </c>
      <c r="X26" s="3172"/>
      <c r="Y26" s="3383"/>
      <c r="Z26" s="3174" t="str">
        <f>Q26</f>
        <v>朝向</v>
      </c>
      <c r="AA26" s="3175">
        <f t="shared" si="3"/>
        <v>1</v>
      </c>
      <c r="AB26" s="3175">
        <f t="shared" si="4"/>
        <v>1</v>
      </c>
      <c r="AC26" s="3175">
        <f t="shared" si="5"/>
        <v>1</v>
      </c>
    </row>
    <row r="27" spans="1:29" s="1223" customFormat="1" ht="15">
      <c r="A27" s="539"/>
      <c r="B27" s="540"/>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83"/>
      <c r="Q27" s="3167">
        <f t="shared" si="11"/>
        <v>0</v>
      </c>
      <c r="R27" s="1571" t="s">
        <v>11</v>
      </c>
      <c r="S27" s="1572">
        <f>F27</f>
        <v>100</v>
      </c>
      <c r="T27" s="1571" t="s">
        <v>11</v>
      </c>
      <c r="U27" s="1572">
        <f>H27</f>
        <v>100</v>
      </c>
      <c r="V27" s="1571" t="s">
        <v>11</v>
      </c>
      <c r="W27" s="1572">
        <f>J27</f>
        <v>100</v>
      </c>
      <c r="X27" s="1573"/>
      <c r="Y27" s="3383"/>
      <c r="Z27" s="3165">
        <f>Q27</f>
        <v>0</v>
      </c>
      <c r="AA27" s="3175">
        <f>D27/F27</f>
        <v>1</v>
      </c>
      <c r="AB27" s="3175">
        <f>D27/H27</f>
        <v>1</v>
      </c>
      <c r="AC27" s="3175">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83"/>
      <c r="Q28" s="3173">
        <f t="shared" si="11"/>
        <v>0</v>
      </c>
      <c r="R28" s="1576" t="s">
        <v>11</v>
      </c>
      <c r="S28" s="1577">
        <f t="shared" ref="S28:S46" si="12">F28</f>
        <v>100</v>
      </c>
      <c r="T28" s="1576" t="s">
        <v>11</v>
      </c>
      <c r="U28" s="1577">
        <f t="shared" ref="U28:U46" si="13">H28</f>
        <v>100</v>
      </c>
      <c r="V28" s="1576" t="s">
        <v>11</v>
      </c>
      <c r="W28" s="1577">
        <f t="shared" ref="W28:W46" si="14">J28</f>
        <v>100</v>
      </c>
      <c r="X28" s="3172"/>
      <c r="Y28" s="3383"/>
      <c r="Z28" s="3174">
        <f t="shared" ref="Z28:Z46" si="15">Q28</f>
        <v>0</v>
      </c>
      <c r="AA28" s="3175">
        <f t="shared" si="3"/>
        <v>1</v>
      </c>
      <c r="AB28" s="3175">
        <f t="shared" si="4"/>
        <v>1</v>
      </c>
      <c r="AC28" s="3175">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83"/>
      <c r="Q29" s="3173">
        <f t="shared" si="11"/>
        <v>0</v>
      </c>
      <c r="R29" s="1576" t="s">
        <v>11</v>
      </c>
      <c r="S29" s="1577">
        <f t="shared" si="12"/>
        <v>100</v>
      </c>
      <c r="T29" s="1576" t="s">
        <v>11</v>
      </c>
      <c r="U29" s="1577">
        <f t="shared" si="13"/>
        <v>100</v>
      </c>
      <c r="V29" s="1576" t="s">
        <v>11</v>
      </c>
      <c r="W29" s="1577">
        <f t="shared" si="14"/>
        <v>100</v>
      </c>
      <c r="X29" s="3172"/>
      <c r="Y29" s="3383"/>
      <c r="Z29" s="3174">
        <f t="shared" si="15"/>
        <v>0</v>
      </c>
      <c r="AA29" s="3175">
        <f t="shared" si="3"/>
        <v>1</v>
      </c>
      <c r="AB29" s="3175">
        <f t="shared" si="4"/>
        <v>1</v>
      </c>
      <c r="AC29" s="3175">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83"/>
      <c r="Q30" s="3173">
        <f t="shared" si="11"/>
        <v>0</v>
      </c>
      <c r="R30" s="1576" t="s">
        <v>11</v>
      </c>
      <c r="S30" s="1577">
        <f t="shared" si="12"/>
        <v>100</v>
      </c>
      <c r="T30" s="1576" t="s">
        <v>11</v>
      </c>
      <c r="U30" s="1577">
        <f t="shared" si="13"/>
        <v>100</v>
      </c>
      <c r="V30" s="1576" t="s">
        <v>11</v>
      </c>
      <c r="W30" s="1577">
        <f t="shared" si="14"/>
        <v>100</v>
      </c>
      <c r="X30" s="3172"/>
      <c r="Y30" s="3383"/>
      <c r="Z30" s="3174">
        <f t="shared" si="15"/>
        <v>0</v>
      </c>
      <c r="AA30" s="3175">
        <f t="shared" si="3"/>
        <v>1</v>
      </c>
      <c r="AB30" s="3175">
        <f t="shared" si="4"/>
        <v>1</v>
      </c>
      <c r="AC30" s="3175">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83"/>
      <c r="Q31" s="3173">
        <f t="shared" si="11"/>
        <v>0</v>
      </c>
      <c r="R31" s="1576" t="s">
        <v>11</v>
      </c>
      <c r="S31" s="1577">
        <f t="shared" si="12"/>
        <v>100</v>
      </c>
      <c r="T31" s="1576" t="s">
        <v>11</v>
      </c>
      <c r="U31" s="1577">
        <f t="shared" si="13"/>
        <v>100</v>
      </c>
      <c r="V31" s="1576" t="s">
        <v>11</v>
      </c>
      <c r="W31" s="1577">
        <f t="shared" si="14"/>
        <v>100</v>
      </c>
      <c r="X31" s="3172"/>
      <c r="Y31" s="3383"/>
      <c r="Z31" s="3174">
        <f t="shared" si="15"/>
        <v>0</v>
      </c>
      <c r="AA31" s="3175">
        <f t="shared" si="3"/>
        <v>1</v>
      </c>
      <c r="AB31" s="3175">
        <f t="shared" si="4"/>
        <v>1</v>
      </c>
      <c r="AC31" s="3175">
        <f t="shared" si="5"/>
        <v>1</v>
      </c>
    </row>
    <row r="32" spans="1:29" ht="15">
      <c r="A32" s="2937" t="s">
        <v>2763</v>
      </c>
      <c r="B32" s="172" t="s">
        <v>725</v>
      </c>
      <c r="C32" s="881" t="s">
        <v>3005</v>
      </c>
      <c r="D32" s="600">
        <v>100</v>
      </c>
      <c r="E32" s="881" t="s">
        <v>3143</v>
      </c>
      <c r="F32" s="578">
        <f>SUMIF(100:100,E32,101:101)-SUMIF(100:100,C32,101:101)+100</f>
        <v>105</v>
      </c>
      <c r="G32" s="881" t="s">
        <v>3005</v>
      </c>
      <c r="H32" s="600">
        <f>SUMIF(100:100,G32,101:101)-SUMIF(100:100,C32,101:101)+100</f>
        <v>100</v>
      </c>
      <c r="I32" s="881" t="s">
        <v>3005</v>
      </c>
      <c r="J32" s="543">
        <f>SUMIF(100:100,I32,101:101)-SUMIF(100:100,C32,101:101)+100</f>
        <v>100</v>
      </c>
      <c r="K32" s="867">
        <v>5</v>
      </c>
      <c r="L32" s="2146"/>
      <c r="M32" s="2138"/>
      <c r="N32" s="2138"/>
      <c r="O32" s="2145"/>
      <c r="P32" s="3384" t="s">
        <v>551</v>
      </c>
      <c r="Q32" s="3173" t="str">
        <f t="shared" si="11"/>
        <v>建筑类型</v>
      </c>
      <c r="R32" s="1576" t="s">
        <v>11</v>
      </c>
      <c r="S32" s="1577">
        <f t="shared" si="12"/>
        <v>105</v>
      </c>
      <c r="T32" s="1576" t="s">
        <v>11</v>
      </c>
      <c r="U32" s="1577">
        <f t="shared" si="13"/>
        <v>100</v>
      </c>
      <c r="V32" s="1576" t="s">
        <v>11</v>
      </c>
      <c r="W32" s="1577">
        <f t="shared" si="14"/>
        <v>100</v>
      </c>
      <c r="X32" s="3172"/>
      <c r="Y32" s="3385" t="s">
        <v>551</v>
      </c>
      <c r="Z32" s="3174" t="str">
        <f t="shared" si="15"/>
        <v>建筑类型</v>
      </c>
      <c r="AA32" s="3175">
        <f t="shared" si="3"/>
        <v>0.95238095238095233</v>
      </c>
      <c r="AB32" s="3175">
        <f t="shared" si="4"/>
        <v>1</v>
      </c>
      <c r="AC32" s="3175">
        <f t="shared" si="5"/>
        <v>1</v>
      </c>
    </row>
    <row r="33" spans="1:29" s="1342" customFormat="1" ht="15">
      <c r="A33" s="606"/>
      <c r="B33" s="530" t="s">
        <v>726</v>
      </c>
      <c r="C33" s="883">
        <f>'数据-基础表'!G5</f>
        <v>332899.81999999995</v>
      </c>
      <c r="D33" s="255">
        <v>100</v>
      </c>
      <c r="E33" s="537">
        <v>260000</v>
      </c>
      <c r="F33" s="866">
        <f>LOOKUP(E33,103:103,104:104)-LOOKUP(C33,103:103,104:104)+100</f>
        <v>99</v>
      </c>
      <c r="G33" s="536">
        <v>84944</v>
      </c>
      <c r="H33" s="255">
        <f>LOOKUP(G33,103:103,104:104)-LOOKUP(C33,103:103,104:104)+100</f>
        <v>97</v>
      </c>
      <c r="I33" s="537">
        <v>139742</v>
      </c>
      <c r="J33" s="255">
        <f>LOOKUP(I33,103:103,104:104)-LOOKUP(C33,103:103,104:104)+100</f>
        <v>98</v>
      </c>
      <c r="K33" s="868"/>
      <c r="L33" s="2144"/>
      <c r="M33" s="2175"/>
      <c r="N33" s="2175"/>
      <c r="O33" s="2147"/>
      <c r="P33" s="3385"/>
      <c r="Q33" s="1608" t="str">
        <f t="shared" si="11"/>
        <v>项目建筑规模</v>
      </c>
      <c r="R33" s="1580" t="s">
        <v>11</v>
      </c>
      <c r="S33" s="1581">
        <f t="shared" si="12"/>
        <v>99</v>
      </c>
      <c r="T33" s="1580" t="s">
        <v>11</v>
      </c>
      <c r="U33" s="1581">
        <f t="shared" si="13"/>
        <v>97</v>
      </c>
      <c r="V33" s="1580" t="s">
        <v>11</v>
      </c>
      <c r="W33" s="1581">
        <f t="shared" si="14"/>
        <v>98</v>
      </c>
      <c r="X33" s="1582"/>
      <c r="Y33" s="3385"/>
      <c r="Z33" s="1583" t="str">
        <f t="shared" si="15"/>
        <v>项目建筑规模</v>
      </c>
      <c r="AA33" s="3175">
        <f t="shared" si="3"/>
        <v>1.0101010101010102</v>
      </c>
      <c r="AB33" s="3175">
        <f t="shared" si="4"/>
        <v>1.0309278350515463</v>
      </c>
      <c r="AC33" s="3175">
        <f t="shared" si="5"/>
        <v>1.0204081632653061</v>
      </c>
    </row>
    <row r="34" spans="1:29" ht="15">
      <c r="A34" s="597"/>
      <c r="B34" s="530" t="s">
        <v>727</v>
      </c>
      <c r="C34" s="884" t="s">
        <v>3065</v>
      </c>
      <c r="D34" s="543">
        <v>100</v>
      </c>
      <c r="E34" s="884" t="s">
        <v>3065</v>
      </c>
      <c r="F34" s="578">
        <f>SUMIF(105:105,E34,106:106)-SUMIF(105:105,C34,106:106)+100</f>
        <v>100</v>
      </c>
      <c r="G34" s="884" t="s">
        <v>3065</v>
      </c>
      <c r="H34" s="543">
        <f>SUMIF(105:105,G34,106:106)-SUMIF(105:105,C34,106:106)+100</f>
        <v>100</v>
      </c>
      <c r="I34" s="884" t="s">
        <v>3065</v>
      </c>
      <c r="J34" s="543">
        <f>SUMIF(105:105,I34,106:106)-SUMIF(105:105,C34,106:106)+100</f>
        <v>100</v>
      </c>
      <c r="K34" s="867">
        <v>1</v>
      </c>
      <c r="L34" s="2146"/>
      <c r="M34" s="2138"/>
      <c r="N34" s="2138"/>
      <c r="O34" s="2145"/>
      <c r="P34" s="3385"/>
      <c r="Q34" s="3173" t="str">
        <f t="shared" si="11"/>
        <v>建筑结构</v>
      </c>
      <c r="R34" s="1576" t="s">
        <v>11</v>
      </c>
      <c r="S34" s="1577">
        <f t="shared" si="12"/>
        <v>100</v>
      </c>
      <c r="T34" s="1576" t="s">
        <v>11</v>
      </c>
      <c r="U34" s="1577">
        <f t="shared" si="13"/>
        <v>100</v>
      </c>
      <c r="V34" s="1576" t="s">
        <v>11</v>
      </c>
      <c r="W34" s="1577">
        <f t="shared" si="14"/>
        <v>100</v>
      </c>
      <c r="X34" s="3172"/>
      <c r="Y34" s="3385"/>
      <c r="Z34" s="3174" t="str">
        <f t="shared" si="15"/>
        <v>建筑结构</v>
      </c>
      <c r="AA34" s="3175">
        <f t="shared" si="3"/>
        <v>1</v>
      </c>
      <c r="AB34" s="3175">
        <f t="shared" si="4"/>
        <v>1</v>
      </c>
      <c r="AC34" s="3175">
        <f t="shared" si="5"/>
        <v>1</v>
      </c>
    </row>
    <row r="35" spans="1:29" ht="15">
      <c r="A35" s="597"/>
      <c r="B35" s="530" t="s">
        <v>728</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85"/>
      <c r="Q35" s="3173" t="str">
        <f t="shared" si="11"/>
        <v>建筑品质</v>
      </c>
      <c r="R35" s="1576" t="s">
        <v>11</v>
      </c>
      <c r="S35" s="1577">
        <f t="shared" si="12"/>
        <v>100</v>
      </c>
      <c r="T35" s="1576" t="s">
        <v>11</v>
      </c>
      <c r="U35" s="1577">
        <f t="shared" si="13"/>
        <v>100</v>
      </c>
      <c r="V35" s="1576" t="s">
        <v>11</v>
      </c>
      <c r="W35" s="1577">
        <f t="shared" si="14"/>
        <v>100</v>
      </c>
      <c r="X35" s="3172"/>
      <c r="Y35" s="3385"/>
      <c r="Z35" s="3174" t="str">
        <f t="shared" si="15"/>
        <v>建筑品质</v>
      </c>
      <c r="AA35" s="3175">
        <f t="shared" si="3"/>
        <v>1</v>
      </c>
      <c r="AB35" s="3175">
        <f t="shared" si="4"/>
        <v>1</v>
      </c>
      <c r="AC35" s="3175">
        <f t="shared" si="5"/>
        <v>1</v>
      </c>
    </row>
    <row r="36" spans="1:29" ht="15">
      <c r="A36" s="597"/>
      <c r="B36" s="530" t="s">
        <v>729</v>
      </c>
      <c r="C36" s="602"/>
      <c r="D36" s="543">
        <v>100</v>
      </c>
      <c r="E36" s="602"/>
      <c r="F36" s="578">
        <f>SUMIF(109:109,E36,110:110)-SUMIF(109:109,C36,110:110)+100</f>
        <v>100</v>
      </c>
      <c r="G36" s="602"/>
      <c r="H36" s="543">
        <f>SUMIF(109:109,G36,110:110)-SUMIF(109:109,C36,110:110)+100</f>
        <v>100</v>
      </c>
      <c r="I36" s="602"/>
      <c r="J36" s="543">
        <f>SUMIF(109:109,I36,110:110)-SUMIF(109:109,C36,110:110)+100</f>
        <v>100</v>
      </c>
      <c r="K36" s="867">
        <v>2</v>
      </c>
      <c r="L36" s="2146"/>
      <c r="M36" s="2138"/>
      <c r="N36" s="2138"/>
      <c r="O36" s="2145"/>
      <c r="P36" s="3385"/>
      <c r="Q36" s="3173" t="str">
        <f t="shared" si="11"/>
        <v>公共部分装修</v>
      </c>
      <c r="R36" s="1576" t="s">
        <v>11</v>
      </c>
      <c r="S36" s="1577">
        <f t="shared" si="12"/>
        <v>100</v>
      </c>
      <c r="T36" s="1576" t="s">
        <v>11</v>
      </c>
      <c r="U36" s="1577">
        <f t="shared" si="13"/>
        <v>100</v>
      </c>
      <c r="V36" s="1576" t="s">
        <v>11</v>
      </c>
      <c r="W36" s="1577">
        <f t="shared" si="14"/>
        <v>100</v>
      </c>
      <c r="X36" s="3172"/>
      <c r="Y36" s="3385"/>
      <c r="Z36" s="3174" t="str">
        <f t="shared" si="15"/>
        <v>公共部分装修</v>
      </c>
      <c r="AA36" s="3175">
        <f t="shared" si="3"/>
        <v>1</v>
      </c>
      <c r="AB36" s="3175">
        <f t="shared" si="4"/>
        <v>1</v>
      </c>
      <c r="AC36" s="3175">
        <f t="shared" si="5"/>
        <v>1</v>
      </c>
    </row>
    <row r="37" spans="1:29" s="1223" customFormat="1" ht="15">
      <c r="A37" s="603"/>
      <c r="B37" s="530" t="s">
        <v>730</v>
      </c>
      <c r="C37" s="886">
        <v>1</v>
      </c>
      <c r="D37" s="255">
        <v>100</v>
      </c>
      <c r="E37" s="887">
        <f>ROUND(1-(2017-2014)/60,2)</f>
        <v>0.95</v>
      </c>
      <c r="F37" s="866">
        <f>LOOKUP(E37,112:112,113:113)-LOOKUP(C37,112:112,113:113)+100</f>
        <v>100</v>
      </c>
      <c r="G37" s="886">
        <v>1</v>
      </c>
      <c r="H37" s="255">
        <f>LOOKUP(G37,112:112,113:113)-LOOKUP(C37,112:112,113:113)+100</f>
        <v>100</v>
      </c>
      <c r="I37" s="886">
        <v>1</v>
      </c>
      <c r="J37" s="255">
        <f>LOOKUP(I37,112:112,113:113)-LOOKUP(C37,112:112,113:113)+100</f>
        <v>100</v>
      </c>
      <c r="K37" s="867">
        <v>4</v>
      </c>
      <c r="L37" s="2139"/>
      <c r="M37" s="2140"/>
      <c r="N37" s="2140"/>
      <c r="O37" s="2141"/>
      <c r="P37" s="3385"/>
      <c r="Q37" s="3167" t="str">
        <f t="shared" si="11"/>
        <v>成新度</v>
      </c>
      <c r="R37" s="1571" t="s">
        <v>11</v>
      </c>
      <c r="S37" s="1572">
        <f t="shared" si="12"/>
        <v>100</v>
      </c>
      <c r="T37" s="1571" t="s">
        <v>11</v>
      </c>
      <c r="U37" s="1572">
        <f t="shared" si="13"/>
        <v>100</v>
      </c>
      <c r="V37" s="1571" t="s">
        <v>11</v>
      </c>
      <c r="W37" s="1572">
        <f t="shared" si="14"/>
        <v>100</v>
      </c>
      <c r="X37" s="1573"/>
      <c r="Y37" s="3385"/>
      <c r="Z37" s="3165" t="str">
        <f t="shared" si="15"/>
        <v>成新度</v>
      </c>
      <c r="AA37" s="1574">
        <f t="shared" si="3"/>
        <v>1</v>
      </c>
      <c r="AB37" s="1574">
        <f t="shared" si="4"/>
        <v>1</v>
      </c>
      <c r="AC37" s="1574">
        <f t="shared" si="5"/>
        <v>1</v>
      </c>
    </row>
    <row r="38" spans="1:29" ht="15">
      <c r="A38" s="597"/>
      <c r="B38" s="530" t="s">
        <v>731</v>
      </c>
      <c r="C38" s="602" t="s">
        <v>3131</v>
      </c>
      <c r="D38" s="543">
        <v>100</v>
      </c>
      <c r="E38" s="602" t="s">
        <v>3131</v>
      </c>
      <c r="F38" s="578">
        <f>SUMIF(114:114,E38,115:115)-SUMIF(114:114,C38,115:115)+100</f>
        <v>100</v>
      </c>
      <c r="G38" s="602" t="s">
        <v>3131</v>
      </c>
      <c r="H38" s="543">
        <f>SUMIF(114:114,G38,115:115)-SUMIF(114:114,C38,115:115)+100</f>
        <v>100</v>
      </c>
      <c r="I38" s="602" t="s">
        <v>3131</v>
      </c>
      <c r="J38" s="543">
        <f>SUMIF(114:114,I38,115:115)-SUMIF(114:114,C38,115:115)+100</f>
        <v>100</v>
      </c>
      <c r="K38" s="867">
        <v>1</v>
      </c>
      <c r="L38" s="2146"/>
      <c r="M38" s="2138"/>
      <c r="N38" s="2138"/>
      <c r="O38" s="2145"/>
      <c r="P38" s="3385" t="s">
        <v>551</v>
      </c>
      <c r="Q38" s="3173" t="str">
        <f t="shared" si="11"/>
        <v>物业管理</v>
      </c>
      <c r="R38" s="1576" t="s">
        <v>11</v>
      </c>
      <c r="S38" s="1577">
        <f t="shared" si="12"/>
        <v>100</v>
      </c>
      <c r="T38" s="1576" t="s">
        <v>11</v>
      </c>
      <c r="U38" s="1577">
        <f t="shared" si="13"/>
        <v>100</v>
      </c>
      <c r="V38" s="1576" t="s">
        <v>11</v>
      </c>
      <c r="W38" s="1577">
        <f t="shared" si="14"/>
        <v>100</v>
      </c>
      <c r="X38" s="3172"/>
      <c r="Y38" s="3385" t="s">
        <v>551</v>
      </c>
      <c r="Z38" s="3174" t="str">
        <f t="shared" si="15"/>
        <v>物业管理</v>
      </c>
      <c r="AA38" s="3175">
        <f t="shared" si="3"/>
        <v>1</v>
      </c>
      <c r="AB38" s="3175">
        <f t="shared" si="4"/>
        <v>1</v>
      </c>
      <c r="AC38" s="3175">
        <f t="shared" si="5"/>
        <v>1</v>
      </c>
    </row>
    <row r="39" spans="1:29" ht="15">
      <c r="A39" s="597"/>
      <c r="B39" s="1899" t="s">
        <v>2570</v>
      </c>
      <c r="C39" s="602" t="s">
        <v>3084</v>
      </c>
      <c r="D39" s="543">
        <v>100</v>
      </c>
      <c r="E39" s="602" t="s">
        <v>3084</v>
      </c>
      <c r="F39" s="578">
        <f>SUMIF(116:116,E39,117:117)-SUMIF(116:116,C39,117:117)+100</f>
        <v>100</v>
      </c>
      <c r="G39" s="602" t="s">
        <v>3084</v>
      </c>
      <c r="H39" s="543">
        <f>SUMIF(116:116,G39,117:117)-SUMIF(116:116,C39,117:117)+100</f>
        <v>100</v>
      </c>
      <c r="I39" s="602" t="s">
        <v>3084</v>
      </c>
      <c r="J39" s="543">
        <f>SUMIF(116:116,I39,117:117)-SUMIF(116:116,C39,117:117)+100</f>
        <v>100</v>
      </c>
      <c r="K39" s="867">
        <v>1</v>
      </c>
      <c r="L39" s="2146"/>
      <c r="M39" s="2138"/>
      <c r="N39" s="2138"/>
      <c r="O39" s="2145"/>
      <c r="P39" s="3385"/>
      <c r="Q39" s="3173" t="str">
        <f t="shared" si="11"/>
        <v>市政基础设施</v>
      </c>
      <c r="R39" s="1576" t="s">
        <v>11</v>
      </c>
      <c r="S39" s="1577">
        <f t="shared" si="12"/>
        <v>100</v>
      </c>
      <c r="T39" s="1576" t="s">
        <v>11</v>
      </c>
      <c r="U39" s="1577">
        <f t="shared" si="13"/>
        <v>100</v>
      </c>
      <c r="V39" s="1576" t="s">
        <v>11</v>
      </c>
      <c r="W39" s="1577">
        <f t="shared" si="14"/>
        <v>100</v>
      </c>
      <c r="X39" s="3172"/>
      <c r="Y39" s="3385"/>
      <c r="Z39" s="3174" t="str">
        <f t="shared" si="15"/>
        <v>市政基础设施</v>
      </c>
      <c r="AA39" s="3175">
        <f t="shared" si="3"/>
        <v>1</v>
      </c>
      <c r="AB39" s="3175">
        <f t="shared" si="4"/>
        <v>1</v>
      </c>
      <c r="AC39" s="3175">
        <f t="shared" si="5"/>
        <v>1</v>
      </c>
    </row>
    <row r="40" spans="1:29" ht="15">
      <c r="A40" s="597"/>
      <c r="B40" s="530" t="s">
        <v>732</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85"/>
      <c r="Q40" s="3173" t="str">
        <f t="shared" si="11"/>
        <v>房型</v>
      </c>
      <c r="R40" s="1576" t="s">
        <v>11</v>
      </c>
      <c r="S40" s="1577">
        <f t="shared" si="12"/>
        <v>100</v>
      </c>
      <c r="T40" s="1576" t="s">
        <v>11</v>
      </c>
      <c r="U40" s="1577">
        <f t="shared" si="13"/>
        <v>100</v>
      </c>
      <c r="V40" s="1576" t="s">
        <v>11</v>
      </c>
      <c r="W40" s="1577">
        <f t="shared" si="14"/>
        <v>100</v>
      </c>
      <c r="X40" s="3172"/>
      <c r="Y40" s="3385"/>
      <c r="Z40" s="3174" t="str">
        <f t="shared" si="15"/>
        <v>房型</v>
      </c>
      <c r="AA40" s="3175">
        <f t="shared" si="3"/>
        <v>1</v>
      </c>
      <c r="AB40" s="3175">
        <f t="shared" si="4"/>
        <v>1</v>
      </c>
      <c r="AC40" s="3175">
        <f t="shared" si="5"/>
        <v>1</v>
      </c>
    </row>
    <row r="41" spans="1:29" s="1342" customFormat="1" ht="28.5">
      <c r="A41" s="606"/>
      <c r="B41" s="530" t="s">
        <v>733</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85"/>
      <c r="Q41" s="1608" t="str">
        <f t="shared" si="11"/>
        <v>单套/主力户型建筑面积</v>
      </c>
      <c r="R41" s="1580" t="s">
        <v>11</v>
      </c>
      <c r="S41" s="1581">
        <f t="shared" si="12"/>
        <v>100</v>
      </c>
      <c r="T41" s="1580" t="s">
        <v>11</v>
      </c>
      <c r="U41" s="1581">
        <f t="shared" si="13"/>
        <v>100</v>
      </c>
      <c r="V41" s="1580" t="s">
        <v>11</v>
      </c>
      <c r="W41" s="1581">
        <f t="shared" si="14"/>
        <v>100</v>
      </c>
      <c r="X41" s="1582"/>
      <c r="Y41" s="3385"/>
      <c r="Z41" s="1583" t="str">
        <f t="shared" si="15"/>
        <v>单套/主力户型建筑面积</v>
      </c>
      <c r="AA41" s="3175">
        <f t="shared" si="3"/>
        <v>1</v>
      </c>
      <c r="AB41" s="3175">
        <f t="shared" si="4"/>
        <v>1</v>
      </c>
      <c r="AC41" s="3175">
        <f t="shared" si="5"/>
        <v>1</v>
      </c>
    </row>
    <row r="42" spans="1:29" ht="15">
      <c r="A42" s="597"/>
      <c r="B42" s="530" t="s">
        <v>734</v>
      </c>
      <c r="C42" s="602" t="s">
        <v>3129</v>
      </c>
      <c r="D42" s="543">
        <v>100</v>
      </c>
      <c r="E42" s="602" t="s">
        <v>3129</v>
      </c>
      <c r="F42" s="578">
        <f>SUMIF(122:122,E42,123:123)-SUMIF(122:122,C42,123:123)+100</f>
        <v>100</v>
      </c>
      <c r="G42" s="602" t="s">
        <v>3129</v>
      </c>
      <c r="H42" s="543">
        <f>SUMIF(122:122,G42,123:123)-SUMIF(122:122,C42,123:123)+100</f>
        <v>100</v>
      </c>
      <c r="I42" s="602" t="s">
        <v>3129</v>
      </c>
      <c r="J42" s="543">
        <f>SUMIF(122:122,I42,123:123)-SUMIF(122:122,C42,123:123)+100</f>
        <v>100</v>
      </c>
      <c r="K42" s="867">
        <v>2</v>
      </c>
      <c r="L42" s="2146"/>
      <c r="M42" s="2138"/>
      <c r="N42" s="2138"/>
      <c r="O42" s="2145"/>
      <c r="P42" s="3385"/>
      <c r="Q42" s="3173" t="str">
        <f t="shared" si="11"/>
        <v>内部装修</v>
      </c>
      <c r="R42" s="1576" t="s">
        <v>11</v>
      </c>
      <c r="S42" s="1577">
        <f t="shared" si="12"/>
        <v>100</v>
      </c>
      <c r="T42" s="1576" t="s">
        <v>11</v>
      </c>
      <c r="U42" s="1577">
        <f t="shared" si="13"/>
        <v>100</v>
      </c>
      <c r="V42" s="1576" t="s">
        <v>11</v>
      </c>
      <c r="W42" s="1577">
        <f t="shared" si="14"/>
        <v>100</v>
      </c>
      <c r="X42" s="3172"/>
      <c r="Y42" s="3385"/>
      <c r="Z42" s="3174" t="str">
        <f t="shared" si="15"/>
        <v>内部装修</v>
      </c>
      <c r="AA42" s="3175">
        <f t="shared" si="3"/>
        <v>1</v>
      </c>
      <c r="AB42" s="3175">
        <f t="shared" si="4"/>
        <v>1</v>
      </c>
      <c r="AC42" s="3175">
        <f t="shared" si="5"/>
        <v>1</v>
      </c>
    </row>
    <row r="43" spans="1:29" ht="27">
      <c r="A43" s="597"/>
      <c r="B43" s="530" t="s">
        <v>735</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85"/>
      <c r="Q43" s="3173" t="str">
        <f t="shared" si="11"/>
        <v>内部装修维护情况</v>
      </c>
      <c r="R43" s="1576" t="s">
        <v>11</v>
      </c>
      <c r="S43" s="1577">
        <f t="shared" si="12"/>
        <v>100</v>
      </c>
      <c r="T43" s="1576" t="s">
        <v>11</v>
      </c>
      <c r="U43" s="1577">
        <f t="shared" si="13"/>
        <v>100</v>
      </c>
      <c r="V43" s="1576" t="s">
        <v>11</v>
      </c>
      <c r="W43" s="1577">
        <f t="shared" si="14"/>
        <v>100</v>
      </c>
      <c r="X43" s="3172"/>
      <c r="Y43" s="3385"/>
      <c r="Z43" s="3174" t="str">
        <f t="shared" si="15"/>
        <v>内部装修维护情况</v>
      </c>
      <c r="AA43" s="3175">
        <f t="shared" si="3"/>
        <v>1</v>
      </c>
      <c r="AB43" s="3175">
        <f t="shared" si="4"/>
        <v>1</v>
      </c>
      <c r="AC43" s="3175">
        <f t="shared" si="5"/>
        <v>1</v>
      </c>
    </row>
    <row r="44" spans="1:29" s="1223" customFormat="1" ht="15">
      <c r="A44" s="603"/>
      <c r="B44" s="3497" t="s">
        <v>3183</v>
      </c>
      <c r="C44" s="3498" t="s">
        <v>3184</v>
      </c>
      <c r="D44" s="255">
        <v>100</v>
      </c>
      <c r="E44" s="3498" t="s">
        <v>3185</v>
      </c>
      <c r="F44" s="866">
        <f>SUMIF(126:126,E44,127:127)-SUMIF(126:126,C44,127:127)+100</f>
        <v>95</v>
      </c>
      <c r="G44" s="3498" t="s">
        <v>3185</v>
      </c>
      <c r="H44" s="255">
        <f>SUMIF(126:126,G44,127:127)-SUMIF(126:126,C44,127:127)+100</f>
        <v>95</v>
      </c>
      <c r="I44" s="3498" t="s">
        <v>3185</v>
      </c>
      <c r="J44" s="255">
        <f>SUMIF(126:126,I44,127:127)-SUMIF(126:126,C44,127:127)+100</f>
        <v>95</v>
      </c>
      <c r="K44" s="868"/>
      <c r="L44" s="2139"/>
      <c r="M44" s="2140"/>
      <c r="N44" s="2140"/>
      <c r="O44" s="2141"/>
      <c r="P44" s="3385"/>
      <c r="Q44" s="3167" t="str">
        <f t="shared" si="11"/>
        <v>有地下仓储</v>
      </c>
      <c r="R44" s="1571" t="s">
        <v>11</v>
      </c>
      <c r="S44" s="1572">
        <f t="shared" si="12"/>
        <v>95</v>
      </c>
      <c r="T44" s="1571" t="s">
        <v>11</v>
      </c>
      <c r="U44" s="1572">
        <f t="shared" si="13"/>
        <v>95</v>
      </c>
      <c r="V44" s="1571" t="s">
        <v>11</v>
      </c>
      <c r="W44" s="1572">
        <f t="shared" si="14"/>
        <v>95</v>
      </c>
      <c r="X44" s="1573"/>
      <c r="Y44" s="3385"/>
      <c r="Z44" s="3165" t="str">
        <f t="shared" si="15"/>
        <v>有地下仓储</v>
      </c>
      <c r="AA44" s="1574">
        <f t="shared" si="3"/>
        <v>1.0526315789473684</v>
      </c>
      <c r="AB44" s="1574">
        <f t="shared" si="4"/>
        <v>1.0526315789473684</v>
      </c>
      <c r="AC44" s="1574">
        <f t="shared" si="5"/>
        <v>1.0526315789473684</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85"/>
      <c r="Q45" s="3173">
        <f t="shared" si="11"/>
        <v>0</v>
      </c>
      <c r="R45" s="1576" t="s">
        <v>11</v>
      </c>
      <c r="S45" s="1577">
        <f t="shared" si="12"/>
        <v>100</v>
      </c>
      <c r="T45" s="1576" t="s">
        <v>11</v>
      </c>
      <c r="U45" s="1577">
        <f t="shared" si="13"/>
        <v>100</v>
      </c>
      <c r="V45" s="1576" t="s">
        <v>11</v>
      </c>
      <c r="W45" s="1577">
        <f t="shared" si="14"/>
        <v>100</v>
      </c>
      <c r="X45" s="3172"/>
      <c r="Y45" s="3385"/>
      <c r="Z45" s="3174">
        <f t="shared" si="15"/>
        <v>0</v>
      </c>
      <c r="AA45" s="3175">
        <f t="shared" si="3"/>
        <v>1</v>
      </c>
      <c r="AB45" s="3175">
        <f t="shared" si="4"/>
        <v>1</v>
      </c>
      <c r="AC45" s="3175">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43"/>
      <c r="Q46" s="3173">
        <f t="shared" si="11"/>
        <v>0</v>
      </c>
      <c r="R46" s="1576" t="s">
        <v>10</v>
      </c>
      <c r="S46" s="1577">
        <f t="shared" si="12"/>
        <v>100</v>
      </c>
      <c r="T46" s="1576" t="s">
        <v>10</v>
      </c>
      <c r="U46" s="1577">
        <f t="shared" si="13"/>
        <v>100</v>
      </c>
      <c r="V46" s="1576" t="s">
        <v>10</v>
      </c>
      <c r="W46" s="1577">
        <f t="shared" si="14"/>
        <v>100</v>
      </c>
      <c r="X46" s="3172"/>
      <c r="Y46" s="3443"/>
      <c r="Z46" s="3174">
        <f t="shared" si="15"/>
        <v>0</v>
      </c>
      <c r="AA46" s="3175">
        <f t="shared" si="3"/>
        <v>1</v>
      </c>
      <c r="AB46" s="3175">
        <f t="shared" si="4"/>
        <v>1</v>
      </c>
      <c r="AC46" s="3175">
        <f t="shared" si="5"/>
        <v>1</v>
      </c>
    </row>
    <row r="47" spans="1:29" ht="15">
      <c r="A47" s="610" t="s">
        <v>736</v>
      </c>
      <c r="B47" s="890"/>
      <c r="C47" s="2655" t="s">
        <v>9</v>
      </c>
      <c r="D47" s="2656"/>
      <c r="E47" s="2657">
        <f>ROUND(89377,0)</f>
        <v>89377</v>
      </c>
      <c r="F47" s="2658"/>
      <c r="G47" s="2659">
        <f>ROUND(99850*0.95,0)</f>
        <v>94858</v>
      </c>
      <c r="H47" s="2660"/>
      <c r="I47" s="2657">
        <f>ROUND(99800*0.95,0)</f>
        <v>94810</v>
      </c>
      <c r="J47" s="2660"/>
      <c r="K47" s="1609"/>
      <c r="L47" s="2148"/>
      <c r="M47" s="2149"/>
      <c r="N47" s="2138"/>
      <c r="O47" s="2149"/>
      <c r="P47" s="3380" t="str">
        <f>A47</f>
        <v>成交单价（元/平方米）</v>
      </c>
      <c r="Q47" s="3380"/>
      <c r="R47" s="3441">
        <f>E47</f>
        <v>89377</v>
      </c>
      <c r="S47" s="3441"/>
      <c r="T47" s="3441">
        <f>G47</f>
        <v>94858</v>
      </c>
      <c r="U47" s="3441"/>
      <c r="V47" s="3441">
        <f>I47</f>
        <v>94810</v>
      </c>
      <c r="W47" s="3441"/>
      <c r="X47" s="1562"/>
      <c r="Y47" s="1584"/>
      <c r="Z47" s="1562"/>
      <c r="AA47" s="1562"/>
      <c r="AB47" s="1562"/>
      <c r="AC47" s="1562"/>
    </row>
    <row r="48" spans="1:29" ht="15.75" thickBot="1">
      <c r="A48" s="618" t="s">
        <v>2701</v>
      </c>
      <c r="B48" s="891"/>
      <c r="C48" s="2661">
        <f>R49</f>
        <v>95354</v>
      </c>
      <c r="D48" s="2662"/>
      <c r="E48" s="2663">
        <f>R48</f>
        <v>86163</v>
      </c>
      <c r="F48" s="2663"/>
      <c r="G48" s="2661">
        <f>T48</f>
        <v>102949</v>
      </c>
      <c r="H48" s="2662"/>
      <c r="I48" s="2663">
        <f>V48</f>
        <v>96950</v>
      </c>
      <c r="J48" s="2662"/>
      <c r="K48" s="1610"/>
      <c r="L48" s="2148"/>
      <c r="M48" s="2149"/>
      <c r="N48" s="2149"/>
      <c r="O48" s="2149"/>
      <c r="P48" s="3380" t="str">
        <f>A48</f>
        <v>比较价格（元/平方米）</v>
      </c>
      <c r="Q48" s="3380"/>
      <c r="R48" s="3441">
        <f>IF(F1="售价",ROUND(PRODUCT(R47,AA7:AA46),0),ROUND(PRODUCT(R47,AA7:AA46),1))</f>
        <v>86163</v>
      </c>
      <c r="S48" s="3441"/>
      <c r="T48" s="3441">
        <f>IF(F1="售价",ROUND(PRODUCT(T47,AB7:AB46),0),ROUND(PRODUCT(T47,AB7:AB46),1))</f>
        <v>102949</v>
      </c>
      <c r="U48" s="3441"/>
      <c r="V48" s="3441">
        <f>IF(F1="售价",ROUND(PRODUCT(V47,AC7:AC46),0),ROUND(PRODUCT(V47,AC7:AC46),1))</f>
        <v>96950</v>
      </c>
      <c r="W48" s="3441"/>
      <c r="X48" s="1562"/>
      <c r="Y48" s="1562"/>
      <c r="Z48" s="1562"/>
      <c r="AA48" s="1562"/>
      <c r="AB48" s="1562"/>
      <c r="AC48" s="1562"/>
    </row>
    <row r="49" spans="1:29" ht="15.75" thickBot="1">
      <c r="A49" s="624" t="s">
        <v>2939</v>
      </c>
      <c r="B49" s="625"/>
      <c r="C49" s="2664">
        <f>R49</f>
        <v>95354</v>
      </c>
      <c r="D49" s="2664"/>
      <c r="E49" s="2664"/>
      <c r="F49" s="2664"/>
      <c r="G49" s="2664"/>
      <c r="H49" s="2664"/>
      <c r="I49" s="2664"/>
      <c r="J49" s="2664"/>
      <c r="K49" s="1611"/>
      <c r="L49" s="2148"/>
      <c r="M49" s="2149"/>
      <c r="N49" s="2149"/>
      <c r="O49" s="2149"/>
      <c r="P49" s="3402" t="str">
        <f>A49</f>
        <v>估价对象XX用房的比较价格（楼面单价，元/平方米）</v>
      </c>
      <c r="Q49" s="3403"/>
      <c r="R49" s="3442">
        <f>IF(F1="售价",ROUND(AVERAGE(R48:V48),0),ROUND(AVERAGE(R48:V48),1))</f>
        <v>95354</v>
      </c>
      <c r="S49" s="3442"/>
      <c r="T49" s="3442"/>
      <c r="U49" s="3442"/>
      <c r="V49" s="3442"/>
      <c r="W49" s="344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3.7301393869758392E-2</v>
      </c>
      <c r="F52" s="630" t="str">
        <f>IF(OR(E52&gt;=0.3,E52&lt;=-0.3),"超过30%","")</f>
        <v/>
      </c>
      <c r="G52" s="629">
        <f>IF(G47&lt;G48,G48/G47-1,G47/G48-1)</f>
        <v>8.529591600075892E-2</v>
      </c>
      <c r="H52" s="630" t="str">
        <f>IF(OR(G52&gt;=0.3,G52&lt;=-0.3),"超过30%","")</f>
        <v/>
      </c>
      <c r="I52" s="629">
        <f>IF(I47&lt;I48,I48/I47-1,I47/I48-1)</f>
        <v>2.2571458706887482E-2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0.19481680071492402</v>
      </c>
      <c r="F53" s="630" t="str">
        <f>IF(OR(E53&gt;=0.2,E53&lt;=-0.2),"超过20%","")</f>
        <v/>
      </c>
      <c r="G53" s="629">
        <f>IF(G48&lt;I48,I48/G48-1,G48/I48-1)</f>
        <v>6.1877256317689477E-2</v>
      </c>
      <c r="H53" s="630" t="str">
        <f>IF(OR(G53&gt;=0.2,G53&lt;=-0.2),"超过20%","")</f>
        <v/>
      </c>
      <c r="I53" s="629">
        <f>IF(I48&lt;E48,E48/I48-1,I48/E48-1)</f>
        <v>0.12519294824924843</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6.1324501829329803E-2</v>
      </c>
      <c r="F54" s="630" t="str">
        <f>IF(OR(E54&gt;=0.3,E54&lt;=-0.3),"超过30%","")</f>
        <v/>
      </c>
      <c r="G54" s="629">
        <f>IF(G47&lt;I47,I47/G47-1,G47/I47-1)</f>
        <v>5.0627570931327526E-4</v>
      </c>
      <c r="H54" s="630" t="str">
        <f>IF(OR(G54&gt;=0.3,G54&lt;=-0.3),"超过30%","")</f>
        <v/>
      </c>
      <c r="I54" s="629">
        <f>IF(I47&lt;E47,E47/I47-1,I47/E47-1)</f>
        <v>6.0787450910189333E-2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100</v>
      </c>
      <c r="E59" s="653">
        <v>99.5</v>
      </c>
      <c r="F59" s="653">
        <v>99.5</v>
      </c>
      <c r="G59" s="653">
        <v>99.5</v>
      </c>
      <c r="H59" s="653">
        <v>99</v>
      </c>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737</v>
      </c>
      <c r="D65" s="677" t="s">
        <v>738</v>
      </c>
      <c r="E65" s="677" t="s">
        <v>739</v>
      </c>
      <c r="F65" s="677" t="s">
        <v>740</v>
      </c>
      <c r="G65" s="677" t="s">
        <v>741</v>
      </c>
      <c r="H65" s="677" t="s">
        <v>742</v>
      </c>
      <c r="I65" s="677" t="s">
        <v>743</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8">D68&amp;"（含）"&amp;"-"&amp;E68</f>
        <v>1（含）-2</v>
      </c>
      <c r="E67" s="685" t="str">
        <f t="shared" si="18"/>
        <v>2（含）-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v>2</v>
      </c>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0</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0</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0</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98</v>
      </c>
      <c r="E77" s="682">
        <f>D77-$K15</f>
        <v>96</v>
      </c>
      <c r="F77" s="682">
        <f>E77-$K15</f>
        <v>94</v>
      </c>
      <c r="G77" s="682">
        <f>F77-$K15</f>
        <v>92</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99</v>
      </c>
      <c r="E79" s="682">
        <f>D79-$K17</f>
        <v>98</v>
      </c>
      <c r="F79" s="682">
        <f>E79-$K17</f>
        <v>97</v>
      </c>
      <c r="G79" s="682">
        <f>F79-$K17</f>
        <v>96</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2320</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99</v>
      </c>
      <c r="E81" s="682">
        <f>D81-$K19</f>
        <v>98</v>
      </c>
      <c r="F81" s="682">
        <f>E81-$K19</f>
        <v>97</v>
      </c>
      <c r="G81" s="682">
        <f>F81-$K19</f>
        <v>96</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2553</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744</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99</v>
      </c>
      <c r="E85" s="682">
        <f>D85-$K23</f>
        <v>98</v>
      </c>
      <c r="F85" s="682">
        <f>E85-$K23</f>
        <v>97</v>
      </c>
      <c r="G85" s="682">
        <f>F85-$K23</f>
        <v>96</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2260</v>
      </c>
      <c r="C86" s="3185"/>
      <c r="D86" s="3185"/>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746</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f>B27</f>
        <v>0</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0</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0</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0</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0</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747</v>
      </c>
      <c r="C100" s="3183" t="s">
        <v>3144</v>
      </c>
      <c r="D100" s="3183" t="s">
        <v>3145</v>
      </c>
      <c r="E100" s="3183" t="s">
        <v>3146</v>
      </c>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748</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100000</v>
      </c>
      <c r="E103" s="733">
        <v>200000</v>
      </c>
      <c r="F103" s="733">
        <v>300000</v>
      </c>
      <c r="G103" s="733">
        <v>400000</v>
      </c>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101</v>
      </c>
      <c r="E104" s="674">
        <v>102</v>
      </c>
      <c r="F104" s="674">
        <v>103</v>
      </c>
      <c r="G104" s="674">
        <v>104</v>
      </c>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749</v>
      </c>
      <c r="C105" s="3185" t="s">
        <v>3126</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750</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751</v>
      </c>
      <c r="C109" s="3185" t="s">
        <v>3125</v>
      </c>
      <c r="D109" s="3185" t="s">
        <v>3127</v>
      </c>
      <c r="E109" s="3185" t="s">
        <v>3128</v>
      </c>
      <c r="F109" s="3187" t="s">
        <v>3130</v>
      </c>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752</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1.0000100000000001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104</v>
      </c>
      <c r="E113" s="682">
        <f>D113+$K37</f>
        <v>108</v>
      </c>
      <c r="F113" s="682">
        <f>E113+$K37</f>
        <v>112</v>
      </c>
      <c r="G113" s="682">
        <f>F113+$K37</f>
        <v>116</v>
      </c>
      <c r="H113" s="682">
        <f>G113+$K37</f>
        <v>120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753</v>
      </c>
      <c r="C114" s="3185" t="s">
        <v>3132</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2562</v>
      </c>
      <c r="C116" s="3185" t="s">
        <v>3133</v>
      </c>
      <c r="D116" s="3185" t="s">
        <v>3134</v>
      </c>
      <c r="E116" s="3185" t="s">
        <v>3135</v>
      </c>
      <c r="F116" s="3185" t="s">
        <v>3136</v>
      </c>
      <c r="G116" s="3185" t="s">
        <v>3137</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754</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733</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755</v>
      </c>
      <c r="C122" s="3185" t="s">
        <v>3125</v>
      </c>
      <c r="D122" s="3185" t="s">
        <v>3127</v>
      </c>
      <c r="E122" s="3185" t="s">
        <v>3128</v>
      </c>
      <c r="F122" s="3187" t="s">
        <v>3130</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756</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t="str">
        <f>B44</f>
        <v>有地下仓储</v>
      </c>
      <c r="C126" s="3185" t="s">
        <v>3184</v>
      </c>
      <c r="D126" s="3185" t="s">
        <v>3185</v>
      </c>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v>100</v>
      </c>
      <c r="D127" s="674">
        <v>95</v>
      </c>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0</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0</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2261</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2262</v>
      </c>
      <c r="C137" s="1923"/>
      <c r="D137" s="1923"/>
      <c r="E137" s="1923"/>
      <c r="F137" s="1923"/>
      <c r="G137" s="1924"/>
      <c r="H137" s="1925"/>
      <c r="I137" s="1926" t="s">
        <v>2263</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2264</v>
      </c>
      <c r="D138" s="1929" t="s">
        <v>2265</v>
      </c>
      <c r="E138" s="1930" t="s">
        <v>2266</v>
      </c>
      <c r="F138" s="1931" t="s">
        <v>2267</v>
      </c>
      <c r="G138" s="1929" t="s">
        <v>2265</v>
      </c>
      <c r="H138" s="1932" t="s">
        <v>2266</v>
      </c>
      <c r="I138" s="1933"/>
      <c r="J138" s="1929" t="s">
        <v>2270</v>
      </c>
      <c r="K138" s="1932" t="s">
        <v>2271</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2272</v>
      </c>
      <c r="E139" s="1903">
        <v>100</v>
      </c>
      <c r="F139" s="1904">
        <v>102.5</v>
      </c>
      <c r="G139" s="1934" t="s">
        <v>2272</v>
      </c>
      <c r="H139" s="1905">
        <v>105</v>
      </c>
      <c r="I139" s="1935" t="s">
        <v>2274</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2275</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2276</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2277</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2278</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2279</v>
      </c>
      <c r="E144" s="1909">
        <v>102</v>
      </c>
      <c r="F144" s="1915">
        <v>100</v>
      </c>
      <c r="G144" s="1938" t="s">
        <v>2279</v>
      </c>
      <c r="H144" s="1911">
        <v>105</v>
      </c>
      <c r="I144" s="1937" t="s">
        <v>2278</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2280</v>
      </c>
      <c r="C145" s="1916">
        <f>ROUND(MAX(C139:C144)/MIN(C139:C144)-1,3)</f>
        <v>7.2999999999999995E-2</v>
      </c>
      <c r="D145" s="1940"/>
      <c r="E145" s="1940"/>
      <c r="F145" s="1941" t="s">
        <v>2281</v>
      </c>
      <c r="G145" s="1942"/>
      <c r="H145" s="1943"/>
      <c r="I145" s="1944" t="s">
        <v>2278</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2290</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2291</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和记黄埔地产（北京朝阳）有限公司：</v>
      </c>
    </row>
    <row r="4" spans="1:4" ht="37.5">
      <c r="A4" s="1795" t="str">
        <f>"受贵公司委托，我公司对"&amp;项目基本情况!K2&amp;项目基本情况!B9&amp;"进行了预评估。"</f>
        <v>受贵公司委托，我公司对北京市出让国有建设用地使用权抵押价格进行了预评估。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97801.4平方米。根据《建设工程规划许可证》[]、《出让合同》[]，估价对象规划建筑面积为300788.66平方米。</v>
      </c>
    </row>
    <row r="7" spans="1:4" ht="56.25">
      <c r="A7" s="1799" t="s">
        <v>2755</v>
      </c>
    </row>
    <row r="8" spans="1:4" ht="18.75">
      <c r="A8" s="1798" t="s">
        <v>1907</v>
      </c>
    </row>
    <row r="9" spans="1:4" ht="75">
      <c r="A9" s="1800" t="str">
        <f>IF(项目基本情况!B8="抵押",IF(项目基本情况!B5=项目基本情况!B6,定义!C51,定义!B51),定义!D51)</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2029</v>
      </c>
    </row>
    <row r="11" spans="1:4" ht="18.75">
      <c r="A11" s="1784" t="str">
        <f>TEXT(项目基本情况!D3,"yyyy年m月d日;;")&amp;IF(项目基本情况!B3=项目基本情况!D3,"（评估专业人员勘察现场之日）","")</f>
        <v>2017年11月8日（评估专业人员勘察现场之日）</v>
      </c>
    </row>
    <row r="12" spans="1:4" ht="18.75">
      <c r="A12" s="1801" t="s">
        <v>2028</v>
      </c>
    </row>
    <row r="13" spans="1:4" ht="18.75">
      <c r="A13" s="1795" t="s">
        <v>2946</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2076</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根据《国有土地使用证》[]，估价对象（分摊）出让国有建设用地使用权面积为97801.4平方米。根据《建设工程规划许可证》[]、《出让合同》[]，估价对象规划建筑面积为300788.66平方米。</v>
      </c>
    </row>
    <row r="21" spans="1:1" ht="18.75">
      <c r="A21" s="1795" t="s">
        <v>2077</v>
      </c>
    </row>
    <row r="22" spans="1:1" ht="11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2074年8月30日、商业2044年8月30日、办公2054年8月30日、车库2054年8月30日、仓储2054年8月30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2078</v>
      </c>
    </row>
    <row r="25" spans="1:1" ht="75">
      <c r="A25" s="1795"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76" zoomScale="80" zoomScaleNormal="80" workbookViewId="0">
      <selection activeCell="I11" sqref="I1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3044</v>
      </c>
      <c r="E1" s="2654"/>
      <c r="F1" s="2837" t="s">
        <v>3142</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1205492</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72701</v>
      </c>
      <c r="C3" s="855" t="s">
        <v>723</v>
      </c>
      <c r="D3" s="854">
        <f>SUMIF('数据-汇总表'!$C19:$C33,D1,'数据-汇总表'!$E19:$E33)</f>
        <v>165815.06</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86" t="s">
        <v>523</v>
      </c>
      <c r="D4" s="3387"/>
      <c r="E4" s="3411" t="s">
        <v>524</v>
      </c>
      <c r="F4" s="3412"/>
      <c r="G4" s="3386" t="s">
        <v>525</v>
      </c>
      <c r="H4" s="3387"/>
      <c r="I4" s="3386" t="s">
        <v>526</v>
      </c>
      <c r="J4" s="3387"/>
      <c r="K4" s="856" t="s">
        <v>527</v>
      </c>
      <c r="L4" s="2137"/>
      <c r="M4" s="2138"/>
      <c r="N4" s="2138"/>
      <c r="O4" s="2138"/>
      <c r="P4" s="3388" t="s">
        <v>528</v>
      </c>
      <c r="Q4" s="3389"/>
      <c r="R4" s="3374" t="s">
        <v>524</v>
      </c>
      <c r="S4" s="3375"/>
      <c r="T4" s="3374" t="s">
        <v>525</v>
      </c>
      <c r="U4" s="3375"/>
      <c r="V4" s="3394" t="s">
        <v>526</v>
      </c>
      <c r="W4" s="3394"/>
      <c r="X4" s="1570"/>
      <c r="Y4" s="3374" t="s">
        <v>528</v>
      </c>
      <c r="Z4" s="3375"/>
      <c r="AA4" s="3369" t="s">
        <v>524</v>
      </c>
      <c r="AB4" s="3369" t="s">
        <v>525</v>
      </c>
      <c r="AC4" s="3369" t="s">
        <v>526</v>
      </c>
    </row>
    <row r="5" spans="1:29" ht="15">
      <c r="A5" s="518"/>
      <c r="B5" s="519"/>
      <c r="C5" s="3399"/>
      <c r="D5" s="3398"/>
      <c r="E5" s="3444" t="s">
        <v>3115</v>
      </c>
      <c r="F5" s="3414"/>
      <c r="G5" s="3397" t="s">
        <v>3138</v>
      </c>
      <c r="H5" s="3398"/>
      <c r="I5" s="3397" t="s">
        <v>3141</v>
      </c>
      <c r="J5" s="3398"/>
      <c r="K5" s="857"/>
      <c r="L5" s="2137"/>
      <c r="M5" s="2138"/>
      <c r="N5" s="2138"/>
      <c r="O5" s="2138"/>
      <c r="P5" s="3390"/>
      <c r="Q5" s="3391"/>
      <c r="R5" s="3376"/>
      <c r="S5" s="3377"/>
      <c r="T5" s="3376"/>
      <c r="U5" s="3377"/>
      <c r="V5" s="3394"/>
      <c r="W5" s="3394"/>
      <c r="X5" s="1570"/>
      <c r="Y5" s="3376"/>
      <c r="Z5" s="3377"/>
      <c r="AA5" s="3370"/>
      <c r="AB5" s="3370"/>
      <c r="AC5" s="3370"/>
    </row>
    <row r="6" spans="1:29" ht="15.75" thickBot="1">
      <c r="A6" s="520"/>
      <c r="B6" s="521"/>
      <c r="C6" s="3395"/>
      <c r="D6" s="3396"/>
      <c r="E6" s="3445" t="s">
        <v>3116</v>
      </c>
      <c r="F6" s="3416"/>
      <c r="G6" s="3446" t="s">
        <v>3139</v>
      </c>
      <c r="H6" s="3396"/>
      <c r="I6" s="3446" t="s">
        <v>3140</v>
      </c>
      <c r="J6" s="3396"/>
      <c r="K6" s="857" t="s">
        <v>529</v>
      </c>
      <c r="L6" s="2137"/>
      <c r="M6" s="2138"/>
      <c r="N6" s="2138"/>
      <c r="O6" s="2138"/>
      <c r="P6" s="3392"/>
      <c r="Q6" s="3393"/>
      <c r="R6" s="3376"/>
      <c r="S6" s="3377"/>
      <c r="T6" s="3378"/>
      <c r="U6" s="3379"/>
      <c r="V6" s="3394"/>
      <c r="W6" s="3394"/>
      <c r="X6" s="1570"/>
      <c r="Y6" s="3378"/>
      <c r="Z6" s="3379"/>
      <c r="AA6" s="3371"/>
      <c r="AB6" s="3371"/>
      <c r="AC6" s="3371"/>
    </row>
    <row r="7" spans="1:29" s="1223" customFormat="1" ht="15.75" thickBot="1">
      <c r="A7" s="2941"/>
      <c r="B7" s="2948" t="s">
        <v>530</v>
      </c>
      <c r="C7" s="522">
        <f>'数据-取费表'!B2</f>
        <v>43047</v>
      </c>
      <c r="D7" s="523">
        <v>100</v>
      </c>
      <c r="E7" s="524">
        <v>43040</v>
      </c>
      <c r="F7" s="525">
        <f>SUMIF(58:58,YEAR(E7)&amp;"-"&amp;MONTH(E7),59:59)</f>
        <v>100</v>
      </c>
      <c r="G7" s="524">
        <v>43040</v>
      </c>
      <c r="H7" s="523">
        <f>SUMIF(58:58,YEAR(G7)&amp;"-"&amp;MONTH(G7),59:59)</f>
        <v>100</v>
      </c>
      <c r="I7" s="524">
        <v>43040</v>
      </c>
      <c r="J7" s="523">
        <f>SUMIF(58:58,YEAR(I7)&amp;"-"&amp;MONTH(I7),59:59)</f>
        <v>100</v>
      </c>
      <c r="K7" s="858"/>
      <c r="L7" s="2139"/>
      <c r="M7" s="2140"/>
      <c r="N7" s="2140"/>
      <c r="O7" s="2140"/>
      <c r="P7" s="3372" t="s">
        <v>531</v>
      </c>
      <c r="Q7" s="3381"/>
      <c r="R7" s="1571" t="s">
        <v>13</v>
      </c>
      <c r="S7" s="1572">
        <f t="shared" ref="S7:S15" si="0">F7</f>
        <v>100</v>
      </c>
      <c r="T7" s="1571" t="s">
        <v>13</v>
      </c>
      <c r="U7" s="1572">
        <f t="shared" ref="U7:U15" si="1">H7</f>
        <v>100</v>
      </c>
      <c r="V7" s="1571" t="s">
        <v>13</v>
      </c>
      <c r="W7" s="1572">
        <f t="shared" ref="W7:W15" si="2">J7</f>
        <v>100</v>
      </c>
      <c r="X7" s="1573"/>
      <c r="Y7" s="3372" t="s">
        <v>531</v>
      </c>
      <c r="Z7" s="3373"/>
      <c r="AA7" s="1574">
        <f>D7/F7</f>
        <v>1</v>
      </c>
      <c r="AB7" s="1574">
        <f>D7/H7</f>
        <v>1</v>
      </c>
      <c r="AC7" s="1574">
        <f>D7/J7</f>
        <v>1</v>
      </c>
    </row>
    <row r="8" spans="1:29" s="1223"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9"/>
      <c r="M8" s="2140"/>
      <c r="N8" s="2140"/>
      <c r="O8" s="2140"/>
      <c r="P8" s="3372" t="s">
        <v>534</v>
      </c>
      <c r="Q8" s="3373"/>
      <c r="R8" s="1571" t="s">
        <v>13</v>
      </c>
      <c r="S8" s="1572">
        <f t="shared" si="0"/>
        <v>100</v>
      </c>
      <c r="T8" s="1571" t="s">
        <v>13</v>
      </c>
      <c r="U8" s="1572">
        <f t="shared" si="1"/>
        <v>100</v>
      </c>
      <c r="V8" s="1571" t="s">
        <v>13</v>
      </c>
      <c r="W8" s="1572">
        <f t="shared" si="2"/>
        <v>100</v>
      </c>
      <c r="X8" s="1573"/>
      <c r="Y8" s="3372" t="s">
        <v>534</v>
      </c>
      <c r="Z8" s="3373"/>
      <c r="AA8" s="1574">
        <f t="shared" ref="AA8:AA46" si="3">D8/F8</f>
        <v>1</v>
      </c>
      <c r="AB8" s="1574">
        <f t="shared" ref="AB8:AB46" si="4">D8/H8</f>
        <v>1</v>
      </c>
      <c r="AC8" s="1574">
        <f t="shared" ref="AC8:AC46" si="5">D8/J8</f>
        <v>1</v>
      </c>
    </row>
    <row r="9" spans="1:29" s="1223" customFormat="1" ht="15">
      <c r="A9" s="2943"/>
      <c r="B9" s="2950" t="s">
        <v>2764</v>
      </c>
      <c r="C9" s="3190" t="s">
        <v>3117</v>
      </c>
      <c r="D9" s="254">
        <v>100</v>
      </c>
      <c r="E9" s="861" t="s">
        <v>923</v>
      </c>
      <c r="F9" s="862">
        <f>SUMIF(63:63,E9,64:64)-SUMIF(63:63,C9,64:64)+100</f>
        <v>100</v>
      </c>
      <c r="G9" s="861" t="s">
        <v>923</v>
      </c>
      <c r="H9" s="254">
        <f>SUMIF(63:63,G9,64:64)-SUMIF(63:63,C9,64:64)+100</f>
        <v>100</v>
      </c>
      <c r="I9" s="861" t="s">
        <v>923</v>
      </c>
      <c r="J9" s="254">
        <f>SUMIF(63:63,I9,64:64)-SUMIF(63:63,C9,64:64)+100</f>
        <v>100</v>
      </c>
      <c r="K9" s="858"/>
      <c r="L9" s="2139"/>
      <c r="M9" s="2140"/>
      <c r="N9" s="2140"/>
      <c r="O9" s="2141"/>
      <c r="P9" s="3380" t="s">
        <v>536</v>
      </c>
      <c r="Q9" s="1154" t="str">
        <f t="shared" ref="Q9:Q15" si="6">B9</f>
        <v>用途</v>
      </c>
      <c r="R9" s="1571" t="s">
        <v>8</v>
      </c>
      <c r="S9" s="1572">
        <f t="shared" si="0"/>
        <v>100</v>
      </c>
      <c r="T9" s="1571" t="s">
        <v>8</v>
      </c>
      <c r="U9" s="1572">
        <f t="shared" si="1"/>
        <v>100</v>
      </c>
      <c r="V9" s="1571" t="s">
        <v>8</v>
      </c>
      <c r="W9" s="1572">
        <f t="shared" si="2"/>
        <v>100</v>
      </c>
      <c r="X9" s="1573"/>
      <c r="Y9" s="3337" t="s">
        <v>537</v>
      </c>
      <c r="Z9" s="1153" t="str">
        <f t="shared" ref="Z9:Z15" si="7">Q9</f>
        <v>用途</v>
      </c>
      <c r="AA9" s="1574">
        <f t="shared" si="3"/>
        <v>1</v>
      </c>
      <c r="AB9" s="1574">
        <f t="shared" si="4"/>
        <v>1</v>
      </c>
      <c r="AC9" s="1574">
        <f t="shared" si="5"/>
        <v>1</v>
      </c>
    </row>
    <row r="10" spans="1:29" s="1341" customFormat="1" ht="27">
      <c r="A10" s="2944"/>
      <c r="B10" s="2949" t="s">
        <v>2765</v>
      </c>
      <c r="C10" s="864" t="s">
        <v>3118</v>
      </c>
      <c r="D10" s="255">
        <v>100</v>
      </c>
      <c r="E10" s="864" t="s">
        <v>3118</v>
      </c>
      <c r="F10" s="866">
        <f>SUMIF(65:65,E10,66:66)-SUMIF(65:65,C10,66:66)+100</f>
        <v>100</v>
      </c>
      <c r="G10" s="864" t="s">
        <v>3118</v>
      </c>
      <c r="H10" s="255">
        <f>SUMIF(65:65,G10,66:66)-SUMIF(65:65,C10,66:66)+100</f>
        <v>100</v>
      </c>
      <c r="I10" s="864" t="s">
        <v>3118</v>
      </c>
      <c r="J10" s="255">
        <f>SUMIF(65:65,I10,66:66)-SUMIF(65:65,C10,66:66)+100</f>
        <v>100</v>
      </c>
      <c r="K10" s="867">
        <v>1</v>
      </c>
      <c r="L10" s="2142"/>
      <c r="M10" s="2182"/>
      <c r="N10" s="2182"/>
      <c r="O10" s="2143"/>
      <c r="P10" s="3380"/>
      <c r="Q10" s="1154" t="str">
        <f t="shared" si="6"/>
        <v>土地使用年限（年）</v>
      </c>
      <c r="R10" s="1571" t="s">
        <v>8</v>
      </c>
      <c r="S10" s="1572">
        <f t="shared" si="0"/>
        <v>100</v>
      </c>
      <c r="T10" s="1571" t="s">
        <v>8</v>
      </c>
      <c r="U10" s="1572">
        <f t="shared" si="1"/>
        <v>100</v>
      </c>
      <c r="V10" s="1571" t="s">
        <v>8</v>
      </c>
      <c r="W10" s="1572">
        <f t="shared" si="2"/>
        <v>100</v>
      </c>
      <c r="X10" s="1573"/>
      <c r="Y10" s="3337"/>
      <c r="Z10" s="1153" t="str">
        <f t="shared" si="7"/>
        <v>土地使用年限（年）</v>
      </c>
      <c r="AA10" s="1574">
        <f t="shared" si="3"/>
        <v>1</v>
      </c>
      <c r="AB10" s="1574">
        <f t="shared" si="4"/>
        <v>1</v>
      </c>
      <c r="AC10" s="1574">
        <f t="shared" si="5"/>
        <v>1</v>
      </c>
    </row>
    <row r="11" spans="1:29" ht="15">
      <c r="A11" s="2945"/>
      <c r="B11" s="2949" t="s">
        <v>2766</v>
      </c>
      <c r="C11" s="536">
        <f>'数据-汇总表'!I6</f>
        <v>2.42</v>
      </c>
      <c r="D11" s="255">
        <v>100</v>
      </c>
      <c r="E11" s="537">
        <v>2</v>
      </c>
      <c r="F11" s="866">
        <f>LOOKUP(E11,68:68,69:69)-LOOKUP(C11,68:68,69:69)+100</f>
        <v>100</v>
      </c>
      <c r="G11" s="536">
        <v>2.1800000000000002</v>
      </c>
      <c r="H11" s="255">
        <f>LOOKUP(G11,68:68,69:69)-LOOKUP(C11,68:68,69:69)+100</f>
        <v>100</v>
      </c>
      <c r="I11" s="536">
        <v>1.5</v>
      </c>
      <c r="J11" s="255">
        <f>LOOKUP(I11,68:68,69:69)-LOOKUP(C11,68:68,69:69)+100</f>
        <v>102</v>
      </c>
      <c r="K11" s="867">
        <v>2</v>
      </c>
      <c r="L11" s="2144"/>
      <c r="M11" s="2138"/>
      <c r="N11" s="2138"/>
      <c r="O11" s="2145"/>
      <c r="P11" s="3380"/>
      <c r="Q11" s="1154" t="str">
        <f t="shared" si="6"/>
        <v>容积率</v>
      </c>
      <c r="R11" s="1571" t="s">
        <v>11</v>
      </c>
      <c r="S11" s="1572">
        <f t="shared" si="0"/>
        <v>100</v>
      </c>
      <c r="T11" s="1571" t="s">
        <v>11</v>
      </c>
      <c r="U11" s="1572">
        <f t="shared" si="1"/>
        <v>100</v>
      </c>
      <c r="V11" s="1571" t="s">
        <v>11</v>
      </c>
      <c r="W11" s="1572">
        <f t="shared" si="2"/>
        <v>102</v>
      </c>
      <c r="X11" s="1573"/>
      <c r="Y11" s="3337"/>
      <c r="Z11" s="1153" t="str">
        <f t="shared" si="7"/>
        <v>容积率</v>
      </c>
      <c r="AA11" s="1574">
        <f t="shared" si="3"/>
        <v>1</v>
      </c>
      <c r="AB11" s="1574">
        <f t="shared" si="4"/>
        <v>1</v>
      </c>
      <c r="AC11" s="1574">
        <f t="shared" si="5"/>
        <v>0.98039215686274506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0"/>
      <c r="Q12" s="1154">
        <f t="shared" si="6"/>
        <v>0</v>
      </c>
      <c r="R12" s="1571" t="s">
        <v>11</v>
      </c>
      <c r="S12" s="1572">
        <f t="shared" si="0"/>
        <v>100</v>
      </c>
      <c r="T12" s="1571" t="s">
        <v>11</v>
      </c>
      <c r="U12" s="1572">
        <f t="shared" si="1"/>
        <v>100</v>
      </c>
      <c r="V12" s="1571" t="s">
        <v>11</v>
      </c>
      <c r="W12" s="1572">
        <f t="shared" si="2"/>
        <v>100</v>
      </c>
      <c r="X12" s="1573"/>
      <c r="Y12" s="3337"/>
      <c r="Z12" s="1153">
        <f t="shared" si="7"/>
        <v>0</v>
      </c>
      <c r="AA12" s="1574">
        <f>D12/F12</f>
        <v>1</v>
      </c>
      <c r="AB12" s="1574">
        <f>D12/H12</f>
        <v>1</v>
      </c>
      <c r="AC12" s="1574">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0"/>
      <c r="Q13" s="1154">
        <f t="shared" si="6"/>
        <v>0</v>
      </c>
      <c r="R13" s="1571" t="s">
        <v>11</v>
      </c>
      <c r="S13" s="1572">
        <f t="shared" si="0"/>
        <v>100</v>
      </c>
      <c r="T13" s="1571" t="s">
        <v>11</v>
      </c>
      <c r="U13" s="1572">
        <f t="shared" si="1"/>
        <v>100</v>
      </c>
      <c r="V13" s="1571" t="s">
        <v>11</v>
      </c>
      <c r="W13" s="1572">
        <f t="shared" si="2"/>
        <v>100</v>
      </c>
      <c r="X13" s="1573"/>
      <c r="Y13" s="3337"/>
      <c r="Z13" s="1153">
        <f t="shared" si="7"/>
        <v>0</v>
      </c>
      <c r="AA13" s="1574">
        <f t="shared" si="3"/>
        <v>1</v>
      </c>
      <c r="AB13" s="1574">
        <f t="shared" si="4"/>
        <v>1</v>
      </c>
      <c r="AC13" s="1574">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0"/>
      <c r="Q14" s="1154">
        <f t="shared" si="6"/>
        <v>0</v>
      </c>
      <c r="R14" s="1571" t="s">
        <v>11</v>
      </c>
      <c r="S14" s="1572">
        <f t="shared" si="0"/>
        <v>100</v>
      </c>
      <c r="T14" s="1571" t="s">
        <v>11</v>
      </c>
      <c r="U14" s="1572">
        <f t="shared" si="1"/>
        <v>100</v>
      </c>
      <c r="V14" s="1571" t="s">
        <v>11</v>
      </c>
      <c r="W14" s="1572">
        <f t="shared" si="2"/>
        <v>100</v>
      </c>
      <c r="X14" s="1573"/>
      <c r="Y14" s="3337"/>
      <c r="Z14" s="1153">
        <f t="shared" si="7"/>
        <v>0</v>
      </c>
      <c r="AA14" s="1574">
        <f t="shared" si="3"/>
        <v>1</v>
      </c>
      <c r="AB14" s="1574">
        <f t="shared" si="4"/>
        <v>1</v>
      </c>
      <c r="AC14" s="1574">
        <f t="shared" si="5"/>
        <v>1</v>
      </c>
    </row>
    <row r="15" spans="1:29" ht="85.5">
      <c r="A15" s="2939" t="s">
        <v>2762</v>
      </c>
      <c r="B15" s="166" t="s">
        <v>295</v>
      </c>
      <c r="C15" s="870" t="str">
        <f>估价对象房地状况!C3</f>
        <v>估价对象周边有姚家园东里、逸翠园等居住项目，综合评价居住社区成熟度一般</v>
      </c>
      <c r="D15" s="552">
        <v>100</v>
      </c>
      <c r="E15" s="553" t="str">
        <f>C15</f>
        <v>估价对象周边有姚家园东里、逸翠园等居住项目，综合评价居住社区成熟度一般</v>
      </c>
      <c r="F15" s="554">
        <f>SUMIF(76:76,E16,77:77)-SUMIF(76:76,C16,77:77)+100</f>
        <v>100</v>
      </c>
      <c r="G15" s="553" t="str">
        <f>E15</f>
        <v>估价对象周边有姚家园东里、逸翠园等居住项目，综合评价居住社区成熟度一般</v>
      </c>
      <c r="H15" s="552">
        <f>SUMIF(76:76,G16,77:77)-SUMIF(76:76,C16,77:77)+100</f>
        <v>100</v>
      </c>
      <c r="I15" s="553" t="str">
        <f>G15</f>
        <v>估价对象周边有姚家园东里、逸翠园等居住项目，综合评价居住社区成熟度一般</v>
      </c>
      <c r="J15" s="552">
        <f>SUMIF(76:76,I16,77:77)-SUMIF(76:76,C16,77:77)+100</f>
        <v>100</v>
      </c>
      <c r="K15" s="871">
        <v>2</v>
      </c>
      <c r="L15" s="2146"/>
      <c r="M15" s="2138"/>
      <c r="N15" s="2138"/>
      <c r="O15" s="2145"/>
      <c r="P15" s="3382" t="s">
        <v>541</v>
      </c>
      <c r="Q15" s="1575" t="str">
        <f t="shared" si="6"/>
        <v>居住社区成熟度</v>
      </c>
      <c r="R15" s="1576" t="s">
        <v>11</v>
      </c>
      <c r="S15" s="1577">
        <f t="shared" si="0"/>
        <v>100</v>
      </c>
      <c r="T15" s="1576" t="s">
        <v>11</v>
      </c>
      <c r="U15" s="1577">
        <f t="shared" si="1"/>
        <v>100</v>
      </c>
      <c r="V15" s="1576" t="s">
        <v>11</v>
      </c>
      <c r="W15" s="1577">
        <f t="shared" si="2"/>
        <v>100</v>
      </c>
      <c r="X15" s="1570"/>
      <c r="Y15" s="3382" t="s">
        <v>541</v>
      </c>
      <c r="Z15" s="1578" t="str">
        <f t="shared" si="7"/>
        <v>居住社区成熟度</v>
      </c>
      <c r="AA15" s="1579">
        <f t="shared" si="3"/>
        <v>1</v>
      </c>
      <c r="AB15" s="1579">
        <f t="shared" si="4"/>
        <v>1</v>
      </c>
      <c r="AC15" s="1579">
        <f t="shared" si="5"/>
        <v>1</v>
      </c>
    </row>
    <row r="16" spans="1:29" ht="15">
      <c r="A16" s="535"/>
      <c r="B16" s="872"/>
      <c r="C16" s="579" t="s">
        <v>3099</v>
      </c>
      <c r="D16" s="558"/>
      <c r="E16" s="579" t="s">
        <v>3099</v>
      </c>
      <c r="F16" s="560"/>
      <c r="G16" s="579" t="s">
        <v>3099</v>
      </c>
      <c r="H16" s="562"/>
      <c r="I16" s="579" t="s">
        <v>3099</v>
      </c>
      <c r="J16" s="558"/>
      <c r="K16" s="873"/>
      <c r="L16" s="2146"/>
      <c r="M16" s="2138"/>
      <c r="N16" s="2138"/>
      <c r="O16" s="2145"/>
      <c r="P16" s="3383"/>
      <c r="Q16" s="1575"/>
      <c r="R16" s="1576"/>
      <c r="S16" s="1577"/>
      <c r="T16" s="1576"/>
      <c r="U16" s="1577"/>
      <c r="V16" s="1576"/>
      <c r="W16" s="1577"/>
      <c r="X16" s="1570"/>
      <c r="Y16" s="3383"/>
      <c r="Z16" s="1578"/>
      <c r="AA16" s="1579">
        <v>1</v>
      </c>
      <c r="AB16" s="1579">
        <v>1</v>
      </c>
      <c r="AC16" s="1579">
        <v>1</v>
      </c>
    </row>
    <row r="17" spans="1:29" ht="71.25">
      <c r="A17" s="535"/>
      <c r="B17" s="874" t="s">
        <v>296</v>
      </c>
      <c r="C17" s="875" t="str">
        <f>估价对象房地状况!C6</f>
        <v>估价对象周边有344、531路公交线路经过，综合评价交通便捷度一般</v>
      </c>
      <c r="D17" s="562">
        <v>100</v>
      </c>
      <c r="E17" s="3191" t="str">
        <f>C17</f>
        <v>估价对象周边有344、531路公交线路经过，综合评价交通便捷度一般</v>
      </c>
      <c r="F17" s="566">
        <f>SUMIF(78:78,E18,79:79)-SUMIF(78:78,C18,79:79)+100</f>
        <v>100</v>
      </c>
      <c r="G17" s="3191" t="str">
        <f>E17</f>
        <v>估价对象周边有344、531路公交线路经过，综合评价交通便捷度一般</v>
      </c>
      <c r="H17" s="568">
        <f>SUMIF(78:78,G18,79:79)-SUMIF(78:78,C18,79:79)+100</f>
        <v>100</v>
      </c>
      <c r="I17" s="3191" t="str">
        <f>G17</f>
        <v>估价对象周边有344、531路公交线路经过，综合评价交通便捷度一般</v>
      </c>
      <c r="J17" s="568">
        <f>SUMIF(78:78,I18,79:79)-SUMIF(78:78,C18,79:79)+100</f>
        <v>100</v>
      </c>
      <c r="K17" s="871">
        <v>1</v>
      </c>
      <c r="L17" s="2146"/>
      <c r="M17" s="2138"/>
      <c r="N17" s="2138"/>
      <c r="O17" s="2145"/>
      <c r="P17" s="3383"/>
      <c r="Q17" s="1575" t="str">
        <f>B17</f>
        <v>交通便捷度</v>
      </c>
      <c r="R17" s="1576" t="s">
        <v>11</v>
      </c>
      <c r="S17" s="1577">
        <f>F17</f>
        <v>100</v>
      </c>
      <c r="T17" s="1576" t="s">
        <v>11</v>
      </c>
      <c r="U17" s="1577">
        <f>H17</f>
        <v>100</v>
      </c>
      <c r="V17" s="1576" t="s">
        <v>11</v>
      </c>
      <c r="W17" s="1577">
        <f>J17</f>
        <v>100</v>
      </c>
      <c r="X17" s="1570"/>
      <c r="Y17" s="3383"/>
      <c r="Z17" s="1578" t="str">
        <f>Q17</f>
        <v>交通便捷度</v>
      </c>
      <c r="AA17" s="1579">
        <f t="shared" si="3"/>
        <v>1</v>
      </c>
      <c r="AB17" s="1579">
        <f t="shared" si="4"/>
        <v>1</v>
      </c>
      <c r="AC17" s="1579">
        <f t="shared" si="5"/>
        <v>1</v>
      </c>
    </row>
    <row r="18" spans="1:29" ht="15">
      <c r="A18" s="535"/>
      <c r="B18" s="598"/>
      <c r="C18" s="876" t="s">
        <v>3099</v>
      </c>
      <c r="D18" s="562"/>
      <c r="E18" s="579" t="s">
        <v>3099</v>
      </c>
      <c r="F18" s="566"/>
      <c r="G18" s="579" t="s">
        <v>3099</v>
      </c>
      <c r="H18" s="558"/>
      <c r="I18" s="579" t="s">
        <v>3099</v>
      </c>
      <c r="J18" s="558"/>
      <c r="K18" s="873"/>
      <c r="L18" s="2146"/>
      <c r="M18" s="2138"/>
      <c r="N18" s="2138"/>
      <c r="O18" s="2145"/>
      <c r="P18" s="3383"/>
      <c r="Q18" s="1575"/>
      <c r="R18" s="1576"/>
      <c r="S18" s="1577"/>
      <c r="T18" s="1576"/>
      <c r="U18" s="1577"/>
      <c r="V18" s="1576"/>
      <c r="W18" s="1577"/>
      <c r="X18" s="1570"/>
      <c r="Y18" s="3383"/>
      <c r="Z18" s="1578"/>
      <c r="AA18" s="1579">
        <v>1</v>
      </c>
      <c r="AB18" s="1579">
        <v>1</v>
      </c>
      <c r="AC18" s="1579">
        <v>1</v>
      </c>
    </row>
    <row r="19" spans="1:29" ht="42.75">
      <c r="A19" s="535"/>
      <c r="B19" s="2628" t="s">
        <v>2552</v>
      </c>
      <c r="C19" s="875" t="str">
        <f>估价对象房地状况!C7</f>
        <v>估价对象所在区域公共配套设施齐备度一般</v>
      </c>
      <c r="D19" s="568">
        <v>100</v>
      </c>
      <c r="E19" s="594" t="str">
        <f>C19</f>
        <v>估价对象所在区域公共配套设施齐备度一般</v>
      </c>
      <c r="F19" s="574">
        <f>SUMIF(80:80,E20,81:81)-SUMIF(80:80,C20,81:81)+100</f>
        <v>100</v>
      </c>
      <c r="G19" s="594" t="str">
        <f>E19</f>
        <v>估价对象所在区域公共配套设施齐备度一般</v>
      </c>
      <c r="H19" s="562">
        <f>SUMIF(80:80,G20,81:81)-SUMIF(80:80,C20,81:81)+100</f>
        <v>100</v>
      </c>
      <c r="I19" s="594" t="str">
        <f>G19</f>
        <v>估价对象所在区域公共配套设施齐备度一般</v>
      </c>
      <c r="J19" s="562">
        <f>SUMIF(80:80,I20,81:81)-SUMIF(80:80,C20,81:81)+100</f>
        <v>100</v>
      </c>
      <c r="K19" s="871">
        <v>1</v>
      </c>
      <c r="L19" s="2146"/>
      <c r="M19" s="2138"/>
      <c r="N19" s="2138"/>
      <c r="O19" s="2145"/>
      <c r="P19" s="3383"/>
      <c r="Q19" s="1575" t="str">
        <f>B19</f>
        <v>公共配套设施</v>
      </c>
      <c r="R19" s="1576" t="s">
        <v>11</v>
      </c>
      <c r="S19" s="1577">
        <f>F19</f>
        <v>100</v>
      </c>
      <c r="T19" s="1576" t="s">
        <v>11</v>
      </c>
      <c r="U19" s="1577">
        <f>H19</f>
        <v>100</v>
      </c>
      <c r="V19" s="1576" t="s">
        <v>11</v>
      </c>
      <c r="W19" s="1577">
        <f>J19</f>
        <v>100</v>
      </c>
      <c r="X19" s="1570"/>
      <c r="Y19" s="3383"/>
      <c r="Z19" s="1578" t="str">
        <f>Q19</f>
        <v>公共配套设施</v>
      </c>
      <c r="AA19" s="1579">
        <f t="shared" si="3"/>
        <v>1</v>
      </c>
      <c r="AB19" s="1579">
        <f t="shared" si="4"/>
        <v>1</v>
      </c>
      <c r="AC19" s="1579">
        <f t="shared" si="5"/>
        <v>1</v>
      </c>
    </row>
    <row r="20" spans="1:29" ht="15">
      <c r="A20" s="535"/>
      <c r="B20" s="598"/>
      <c r="C20" s="579" t="s">
        <v>3099</v>
      </c>
      <c r="D20" s="558"/>
      <c r="E20" s="579" t="s">
        <v>3099</v>
      </c>
      <c r="F20" s="560"/>
      <c r="G20" s="579" t="s">
        <v>3099</v>
      </c>
      <c r="H20" s="558"/>
      <c r="I20" s="579" t="s">
        <v>3099</v>
      </c>
      <c r="J20" s="558"/>
      <c r="K20" s="873"/>
      <c r="L20" s="2146"/>
      <c r="M20" s="2138"/>
      <c r="N20" s="2138"/>
      <c r="O20" s="2145"/>
      <c r="P20" s="3383"/>
      <c r="Q20" s="1575"/>
      <c r="R20" s="1576"/>
      <c r="S20" s="1577"/>
      <c r="T20" s="1576"/>
      <c r="U20" s="1577"/>
      <c r="V20" s="1576"/>
      <c r="W20" s="1577"/>
      <c r="X20" s="1570"/>
      <c r="Y20" s="3383"/>
      <c r="Z20" s="1578"/>
      <c r="AA20" s="1579">
        <v>1</v>
      </c>
      <c r="AB20" s="1579">
        <v>1</v>
      </c>
      <c r="AC20" s="1579">
        <v>1</v>
      </c>
    </row>
    <row r="21" spans="1:29" ht="42.75">
      <c r="A21" s="535"/>
      <c r="B21" s="2621" t="s">
        <v>2564</v>
      </c>
      <c r="C21" s="875" t="str">
        <f>估价对象房地状况!C8</f>
        <v>估价对象所在区域基础设施水平达七通</v>
      </c>
      <c r="D21" s="568">
        <v>100</v>
      </c>
      <c r="E21" s="3192" t="str">
        <f>C21</f>
        <v>估价对象所在区域基础设施水平达七通</v>
      </c>
      <c r="F21" s="574">
        <f>SUMIF(82:82,E22,83:83)-SUMIF(82:82,C22,83:83)+100</f>
        <v>100</v>
      </c>
      <c r="G21" s="3192" t="str">
        <f>E21</f>
        <v>估价对象所在区域基础设施水平达七通</v>
      </c>
      <c r="H21" s="568">
        <f>SUMIF(82:82,G22,83:83)-SUMIF(82:82,C22,83:83)+100</f>
        <v>100</v>
      </c>
      <c r="I21" s="3192" t="str">
        <f>G21</f>
        <v>估价对象所在区域基础设施水平达七通</v>
      </c>
      <c r="J21" s="568">
        <f>SUMIF(82:82,I22,83:83)-SUMIF(82:82,C22,83:83)+100</f>
        <v>100</v>
      </c>
      <c r="K21" s="871">
        <v>1</v>
      </c>
      <c r="L21" s="2146"/>
      <c r="M21" s="2138"/>
      <c r="N21" s="2138"/>
      <c r="O21" s="2145"/>
      <c r="P21" s="3383"/>
      <c r="Q21" s="2607" t="str">
        <f>B21</f>
        <v>基础设施水平</v>
      </c>
      <c r="R21" s="1576" t="s">
        <v>11</v>
      </c>
      <c r="S21" s="1577">
        <f>F21</f>
        <v>100</v>
      </c>
      <c r="T21" s="1576" t="s">
        <v>11</v>
      </c>
      <c r="U21" s="1577">
        <f>H21</f>
        <v>100</v>
      </c>
      <c r="V21" s="1576" t="s">
        <v>11</v>
      </c>
      <c r="W21" s="1577">
        <f>J21</f>
        <v>100</v>
      </c>
      <c r="X21" s="2609"/>
      <c r="Y21" s="3383"/>
      <c r="Z21" s="2608" t="str">
        <f>Q21</f>
        <v>基础设施水平</v>
      </c>
      <c r="AA21" s="1579">
        <f t="shared" ref="AA21" si="8">D21/F21</f>
        <v>1</v>
      </c>
      <c r="AB21" s="1579">
        <f t="shared" ref="AB21" si="9">D21/H21</f>
        <v>1</v>
      </c>
      <c r="AC21" s="1579">
        <f t="shared" ref="AC21" si="10">D21/J21</f>
        <v>1</v>
      </c>
    </row>
    <row r="22" spans="1:29" ht="15">
      <c r="A22" s="535"/>
      <c r="B22" s="925"/>
      <c r="C22" s="876" t="s">
        <v>3082</v>
      </c>
      <c r="D22" s="558"/>
      <c r="E22" s="876" t="s">
        <v>3082</v>
      </c>
      <c r="F22" s="560"/>
      <c r="G22" s="876" t="s">
        <v>3082</v>
      </c>
      <c r="H22" s="558"/>
      <c r="I22" s="876" t="s">
        <v>3082</v>
      </c>
      <c r="J22" s="558"/>
      <c r="K22" s="2627"/>
      <c r="L22" s="2146"/>
      <c r="M22" s="2138"/>
      <c r="N22" s="2138"/>
      <c r="O22" s="2145"/>
      <c r="P22" s="3383"/>
      <c r="Q22" s="2607"/>
      <c r="R22" s="1576"/>
      <c r="S22" s="1577"/>
      <c r="T22" s="1576"/>
      <c r="U22" s="1577"/>
      <c r="V22" s="1576"/>
      <c r="W22" s="1577"/>
      <c r="X22" s="2609"/>
      <c r="Y22" s="3383"/>
      <c r="Z22" s="2608"/>
      <c r="AA22" s="1579">
        <v>1</v>
      </c>
      <c r="AB22" s="1579">
        <v>1</v>
      </c>
      <c r="AC22" s="1579">
        <v>1</v>
      </c>
    </row>
    <row r="23" spans="1:29" ht="57">
      <c r="A23" s="535"/>
      <c r="B23" s="874" t="s">
        <v>297</v>
      </c>
      <c r="C23" s="875" t="str">
        <f>估价对象房地状况!C9</f>
        <v>周边有京城体育休闲公园；综合评价环境状况一般</v>
      </c>
      <c r="D23" s="562">
        <v>100</v>
      </c>
      <c r="E23" s="3191" t="str">
        <f>C23</f>
        <v>周边有京城体育休闲公园；综合评价环境状况一般</v>
      </c>
      <c r="F23" s="566">
        <f>SUMIF(84:84,E24,85:85)-SUMIF(84:84,C24,85:85)+100</f>
        <v>100</v>
      </c>
      <c r="G23" s="3191" t="str">
        <f>E23</f>
        <v>周边有京城体育休闲公园；综合评价环境状况一般</v>
      </c>
      <c r="H23" s="562">
        <f>SUMIF(84:84,G24,85:85)-SUMIF(84:84,C24,85:85)+100</f>
        <v>100</v>
      </c>
      <c r="I23" s="3191" t="str">
        <f>G23</f>
        <v>周边有京城体育休闲公园；综合评价环境状况一般</v>
      </c>
      <c r="J23" s="562">
        <f>SUMIF(84:84,I24,85:85)-SUMIF(84:84,C24,85:85)+100</f>
        <v>100</v>
      </c>
      <c r="K23" s="871">
        <v>1</v>
      </c>
      <c r="L23" s="2146"/>
      <c r="M23" s="2138"/>
      <c r="N23" s="2138"/>
      <c r="O23" s="2145"/>
      <c r="P23" s="3383"/>
      <c r="Q23" s="1575" t="str">
        <f>B23</f>
        <v>自然及人文环境</v>
      </c>
      <c r="R23" s="1576" t="s">
        <v>11</v>
      </c>
      <c r="S23" s="1577">
        <f>F23</f>
        <v>100</v>
      </c>
      <c r="T23" s="1576" t="s">
        <v>11</v>
      </c>
      <c r="U23" s="1577">
        <f>H23</f>
        <v>100</v>
      </c>
      <c r="V23" s="1576" t="s">
        <v>11</v>
      </c>
      <c r="W23" s="1577">
        <f>J23</f>
        <v>100</v>
      </c>
      <c r="X23" s="1570"/>
      <c r="Y23" s="3383"/>
      <c r="Z23" s="1578" t="str">
        <f>Q23</f>
        <v>自然及人文环境</v>
      </c>
      <c r="AA23" s="1579">
        <f t="shared" si="3"/>
        <v>1</v>
      </c>
      <c r="AB23" s="1579">
        <f t="shared" si="4"/>
        <v>1</v>
      </c>
      <c r="AC23" s="1579">
        <f t="shared" si="5"/>
        <v>1</v>
      </c>
    </row>
    <row r="24" spans="1:29" ht="15">
      <c r="A24" s="535"/>
      <c r="B24" s="598"/>
      <c r="C24" s="579" t="s">
        <v>3099</v>
      </c>
      <c r="D24" s="558"/>
      <c r="E24" s="579" t="s">
        <v>3099</v>
      </c>
      <c r="F24" s="560"/>
      <c r="G24" s="579" t="s">
        <v>3099</v>
      </c>
      <c r="H24" s="558"/>
      <c r="I24" s="579" t="s">
        <v>3099</v>
      </c>
      <c r="J24" s="558"/>
      <c r="K24" s="873"/>
      <c r="L24" s="2146"/>
      <c r="M24" s="2138"/>
      <c r="N24" s="2138"/>
      <c r="O24" s="2145"/>
      <c r="P24" s="3383"/>
      <c r="Q24" s="1575"/>
      <c r="R24" s="1576"/>
      <c r="S24" s="1577"/>
      <c r="T24" s="1576"/>
      <c r="U24" s="1577"/>
      <c r="V24" s="1576"/>
      <c r="W24" s="1577"/>
      <c r="X24" s="1570"/>
      <c r="Y24" s="3383"/>
      <c r="Z24" s="1578"/>
      <c r="AA24" s="1579">
        <v>1</v>
      </c>
      <c r="AB24" s="1579">
        <v>1</v>
      </c>
      <c r="AC24" s="1579">
        <v>1</v>
      </c>
    </row>
    <row r="25" spans="1:29" ht="15">
      <c r="A25" s="535"/>
      <c r="B25" s="1899" t="s">
        <v>2259</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83"/>
      <c r="Q25" s="1575" t="str">
        <f t="shared" ref="Q25:Q46" si="11">B25</f>
        <v>楼层-1</v>
      </c>
      <c r="R25" s="1576" t="s">
        <v>11</v>
      </c>
      <c r="S25" s="1577">
        <f>F25</f>
        <v>100</v>
      </c>
      <c r="T25" s="1576" t="s">
        <v>11</v>
      </c>
      <c r="U25" s="1577">
        <f>H25</f>
        <v>100</v>
      </c>
      <c r="V25" s="1576" t="s">
        <v>11</v>
      </c>
      <c r="W25" s="1577">
        <f>J25</f>
        <v>100</v>
      </c>
      <c r="X25" s="1570"/>
      <c r="Y25" s="3383"/>
      <c r="Z25" s="1578" t="str">
        <f>Q25</f>
        <v>楼层-1</v>
      </c>
      <c r="AA25" s="1579">
        <f t="shared" si="3"/>
        <v>1</v>
      </c>
      <c r="AB25" s="1579">
        <f t="shared" si="4"/>
        <v>1</v>
      </c>
      <c r="AC25" s="1579">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83"/>
      <c r="Q26" s="1575" t="str">
        <f t="shared" si="11"/>
        <v>朝向</v>
      </c>
      <c r="R26" s="1576" t="s">
        <v>11</v>
      </c>
      <c r="S26" s="1577">
        <f>F26</f>
        <v>100</v>
      </c>
      <c r="T26" s="1576" t="s">
        <v>11</v>
      </c>
      <c r="U26" s="1577">
        <f>H26</f>
        <v>100</v>
      </c>
      <c r="V26" s="1576" t="s">
        <v>11</v>
      </c>
      <c r="W26" s="1577">
        <f>J26</f>
        <v>100</v>
      </c>
      <c r="X26" s="1570"/>
      <c r="Y26" s="3383"/>
      <c r="Z26" s="1578" t="str">
        <f>Q26</f>
        <v>朝向</v>
      </c>
      <c r="AA26" s="1579">
        <f t="shared" si="3"/>
        <v>1</v>
      </c>
      <c r="AB26" s="1579">
        <f t="shared" si="4"/>
        <v>1</v>
      </c>
      <c r="AC26" s="1579">
        <f t="shared" si="5"/>
        <v>1</v>
      </c>
    </row>
    <row r="27" spans="1:29" s="1223" customFormat="1" ht="15">
      <c r="A27" s="539"/>
      <c r="B27" s="540"/>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83"/>
      <c r="Q27" s="1154">
        <f t="shared" si="11"/>
        <v>0</v>
      </c>
      <c r="R27" s="1571" t="s">
        <v>11</v>
      </c>
      <c r="S27" s="1572">
        <f>F27</f>
        <v>100</v>
      </c>
      <c r="T27" s="1571" t="s">
        <v>11</v>
      </c>
      <c r="U27" s="1572">
        <f>H27</f>
        <v>100</v>
      </c>
      <c r="V27" s="1571" t="s">
        <v>11</v>
      </c>
      <c r="W27" s="1572">
        <f>J27</f>
        <v>100</v>
      </c>
      <c r="X27" s="1573"/>
      <c r="Y27" s="3383"/>
      <c r="Z27" s="1153">
        <f>Q27</f>
        <v>0</v>
      </c>
      <c r="AA27" s="1579">
        <f>D27/F27</f>
        <v>1</v>
      </c>
      <c r="AB27" s="1579">
        <f>D27/H27</f>
        <v>1</v>
      </c>
      <c r="AC27" s="1579">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83"/>
      <c r="Q28" s="1575">
        <f t="shared" si="11"/>
        <v>0</v>
      </c>
      <c r="R28" s="1576" t="s">
        <v>11</v>
      </c>
      <c r="S28" s="1577">
        <f t="shared" ref="S28:S46" si="12">F28</f>
        <v>100</v>
      </c>
      <c r="T28" s="1576" t="s">
        <v>11</v>
      </c>
      <c r="U28" s="1577">
        <f t="shared" ref="U28:U46" si="13">H28</f>
        <v>100</v>
      </c>
      <c r="V28" s="1576" t="s">
        <v>11</v>
      </c>
      <c r="W28" s="1577">
        <f t="shared" ref="W28:W46" si="14">J28</f>
        <v>100</v>
      </c>
      <c r="X28" s="1570"/>
      <c r="Y28" s="3383"/>
      <c r="Z28" s="1578">
        <f t="shared" ref="Z28:Z46" si="15">Q28</f>
        <v>0</v>
      </c>
      <c r="AA28" s="1579">
        <f t="shared" si="3"/>
        <v>1</v>
      </c>
      <c r="AB28" s="1579">
        <f t="shared" si="4"/>
        <v>1</v>
      </c>
      <c r="AC28" s="1579">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83"/>
      <c r="Q29" s="1575">
        <f t="shared" si="11"/>
        <v>0</v>
      </c>
      <c r="R29" s="1576" t="s">
        <v>11</v>
      </c>
      <c r="S29" s="1577">
        <f t="shared" si="12"/>
        <v>100</v>
      </c>
      <c r="T29" s="1576" t="s">
        <v>11</v>
      </c>
      <c r="U29" s="1577">
        <f t="shared" si="13"/>
        <v>100</v>
      </c>
      <c r="V29" s="1576" t="s">
        <v>11</v>
      </c>
      <c r="W29" s="1577">
        <f t="shared" si="14"/>
        <v>100</v>
      </c>
      <c r="X29" s="1570"/>
      <c r="Y29" s="3383"/>
      <c r="Z29" s="1578">
        <f t="shared" si="15"/>
        <v>0</v>
      </c>
      <c r="AA29" s="1579">
        <f t="shared" si="3"/>
        <v>1</v>
      </c>
      <c r="AB29" s="1579">
        <f t="shared" si="4"/>
        <v>1</v>
      </c>
      <c r="AC29" s="1579">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83"/>
      <c r="Q30" s="1575">
        <f t="shared" si="11"/>
        <v>0</v>
      </c>
      <c r="R30" s="1576" t="s">
        <v>11</v>
      </c>
      <c r="S30" s="1577">
        <f t="shared" si="12"/>
        <v>100</v>
      </c>
      <c r="T30" s="1576" t="s">
        <v>11</v>
      </c>
      <c r="U30" s="1577">
        <f t="shared" si="13"/>
        <v>100</v>
      </c>
      <c r="V30" s="1576" t="s">
        <v>11</v>
      </c>
      <c r="W30" s="1577">
        <f t="shared" si="14"/>
        <v>100</v>
      </c>
      <c r="X30" s="1570"/>
      <c r="Y30" s="3383"/>
      <c r="Z30" s="1578">
        <f t="shared" si="15"/>
        <v>0</v>
      </c>
      <c r="AA30" s="1579">
        <f t="shared" si="3"/>
        <v>1</v>
      </c>
      <c r="AB30" s="1579">
        <f t="shared" si="4"/>
        <v>1</v>
      </c>
      <c r="AC30" s="1579">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83"/>
      <c r="Q31" s="1575">
        <f t="shared" si="11"/>
        <v>0</v>
      </c>
      <c r="R31" s="1576" t="s">
        <v>11</v>
      </c>
      <c r="S31" s="1577">
        <f t="shared" si="12"/>
        <v>100</v>
      </c>
      <c r="T31" s="1576" t="s">
        <v>11</v>
      </c>
      <c r="U31" s="1577">
        <f t="shared" si="13"/>
        <v>100</v>
      </c>
      <c r="V31" s="1576" t="s">
        <v>11</v>
      </c>
      <c r="W31" s="1577">
        <f t="shared" si="14"/>
        <v>100</v>
      </c>
      <c r="X31" s="1570"/>
      <c r="Y31" s="3383"/>
      <c r="Z31" s="1578">
        <f t="shared" si="15"/>
        <v>0</v>
      </c>
      <c r="AA31" s="1579">
        <f t="shared" si="3"/>
        <v>1</v>
      </c>
      <c r="AB31" s="1579">
        <f t="shared" si="4"/>
        <v>1</v>
      </c>
      <c r="AC31" s="1579">
        <f t="shared" si="5"/>
        <v>1</v>
      </c>
    </row>
    <row r="32" spans="1:29" ht="15">
      <c r="A32" s="2937" t="s">
        <v>2763</v>
      </c>
      <c r="B32" s="172" t="s">
        <v>725</v>
      </c>
      <c r="C32" s="881" t="s">
        <v>3120</v>
      </c>
      <c r="D32" s="600">
        <v>100</v>
      </c>
      <c r="E32" s="882" t="s">
        <v>3122</v>
      </c>
      <c r="F32" s="578">
        <f>SUMIF(100:100,E32,101:101)-SUMIF(100:100,C32,101:101)+100</f>
        <v>105</v>
      </c>
      <c r="G32" s="881" t="s">
        <v>3120</v>
      </c>
      <c r="H32" s="600">
        <f>SUMIF(100:100,G32,101:101)-SUMIF(100:100,C32,101:101)+100</f>
        <v>100</v>
      </c>
      <c r="I32" s="882" t="s">
        <v>3122</v>
      </c>
      <c r="J32" s="543">
        <f>SUMIF(100:100,I32,101:101)-SUMIF(100:100,C32,101:101)+100</f>
        <v>105</v>
      </c>
      <c r="K32" s="867">
        <v>-5</v>
      </c>
      <c r="L32" s="2146"/>
      <c r="M32" s="2138"/>
      <c r="N32" s="2138"/>
      <c r="O32" s="2145"/>
      <c r="P32" s="3384" t="s">
        <v>551</v>
      </c>
      <c r="Q32" s="1575" t="str">
        <f t="shared" si="11"/>
        <v>建筑类型</v>
      </c>
      <c r="R32" s="1576" t="s">
        <v>11</v>
      </c>
      <c r="S32" s="1577">
        <f t="shared" si="12"/>
        <v>105</v>
      </c>
      <c r="T32" s="1576" t="s">
        <v>11</v>
      </c>
      <c r="U32" s="1577">
        <f t="shared" si="13"/>
        <v>100</v>
      </c>
      <c r="V32" s="1576" t="s">
        <v>11</v>
      </c>
      <c r="W32" s="1577">
        <f t="shared" si="14"/>
        <v>105</v>
      </c>
      <c r="X32" s="1570"/>
      <c r="Y32" s="3385" t="s">
        <v>551</v>
      </c>
      <c r="Z32" s="1578" t="str">
        <f t="shared" si="15"/>
        <v>建筑类型</v>
      </c>
      <c r="AA32" s="1579">
        <f t="shared" si="3"/>
        <v>0.95238095238095233</v>
      </c>
      <c r="AB32" s="1579">
        <f t="shared" si="4"/>
        <v>1</v>
      </c>
      <c r="AC32" s="1579">
        <f t="shared" si="5"/>
        <v>0.95238095238095233</v>
      </c>
    </row>
    <row r="33" spans="1:29" s="1342" customFormat="1" ht="15">
      <c r="A33" s="606"/>
      <c r="B33" s="530" t="s">
        <v>726</v>
      </c>
      <c r="C33" s="883">
        <f>'数据-基础表'!G5</f>
        <v>332899.81999999995</v>
      </c>
      <c r="D33" s="255">
        <v>100</v>
      </c>
      <c r="E33" s="537">
        <v>100000</v>
      </c>
      <c r="F33" s="866">
        <f>LOOKUP(E33,103:103,104:104)-LOOKUP(C33,103:103,104:104)+100</f>
        <v>98</v>
      </c>
      <c r="G33" s="536">
        <v>64000</v>
      </c>
      <c r="H33" s="255">
        <f>LOOKUP(G33,103:103,104:104)-LOOKUP(C33,103:103,104:104)+100</f>
        <v>97</v>
      </c>
      <c r="I33" s="537">
        <v>360000</v>
      </c>
      <c r="J33" s="255">
        <f>LOOKUP(I33,103:103,104:104)-LOOKUP(C33,103:103,104:104)+100</f>
        <v>100</v>
      </c>
      <c r="K33" s="868"/>
      <c r="L33" s="2144"/>
      <c r="M33" s="2175"/>
      <c r="N33" s="2175"/>
      <c r="O33" s="2147"/>
      <c r="P33" s="3385"/>
      <c r="Q33" s="1608" t="str">
        <f t="shared" si="11"/>
        <v>项目建筑规模</v>
      </c>
      <c r="R33" s="1580" t="s">
        <v>11</v>
      </c>
      <c r="S33" s="1581">
        <f t="shared" si="12"/>
        <v>98</v>
      </c>
      <c r="T33" s="1580" t="s">
        <v>11</v>
      </c>
      <c r="U33" s="1581">
        <f t="shared" si="13"/>
        <v>97</v>
      </c>
      <c r="V33" s="1580" t="s">
        <v>11</v>
      </c>
      <c r="W33" s="1581">
        <f t="shared" si="14"/>
        <v>100</v>
      </c>
      <c r="X33" s="1582"/>
      <c r="Y33" s="3385"/>
      <c r="Z33" s="1583" t="str">
        <f t="shared" si="15"/>
        <v>项目建筑规模</v>
      </c>
      <c r="AA33" s="1579">
        <f t="shared" si="3"/>
        <v>1.0204081632653061</v>
      </c>
      <c r="AB33" s="1579">
        <f t="shared" si="4"/>
        <v>1.0309278350515463</v>
      </c>
      <c r="AC33" s="1579">
        <f t="shared" si="5"/>
        <v>1</v>
      </c>
    </row>
    <row r="34" spans="1:29" ht="15">
      <c r="A34" s="597"/>
      <c r="B34" s="530" t="s">
        <v>727</v>
      </c>
      <c r="C34" s="884" t="s">
        <v>3065</v>
      </c>
      <c r="D34" s="543">
        <v>100</v>
      </c>
      <c r="E34" s="884" t="s">
        <v>3065</v>
      </c>
      <c r="F34" s="578">
        <f>SUMIF(105:105,E34,106:106)-SUMIF(105:105,C34,106:106)+100</f>
        <v>100</v>
      </c>
      <c r="G34" s="884" t="s">
        <v>3065</v>
      </c>
      <c r="H34" s="543">
        <f>SUMIF(105:105,G34,106:106)-SUMIF(105:105,C34,106:106)+100</f>
        <v>100</v>
      </c>
      <c r="I34" s="884" t="s">
        <v>3065</v>
      </c>
      <c r="J34" s="543">
        <f>SUMIF(105:105,I34,106:106)-SUMIF(105:105,C34,106:106)+100</f>
        <v>100</v>
      </c>
      <c r="K34" s="867">
        <v>1</v>
      </c>
      <c r="L34" s="2146"/>
      <c r="M34" s="2138"/>
      <c r="N34" s="2138"/>
      <c r="O34" s="2145"/>
      <c r="P34" s="3385"/>
      <c r="Q34" s="1575" t="str">
        <f t="shared" si="11"/>
        <v>建筑结构</v>
      </c>
      <c r="R34" s="1576" t="s">
        <v>11</v>
      </c>
      <c r="S34" s="1577">
        <f t="shared" si="12"/>
        <v>100</v>
      </c>
      <c r="T34" s="1576" t="s">
        <v>11</v>
      </c>
      <c r="U34" s="1577">
        <f t="shared" si="13"/>
        <v>100</v>
      </c>
      <c r="V34" s="1576" t="s">
        <v>11</v>
      </c>
      <c r="W34" s="1577">
        <f t="shared" si="14"/>
        <v>100</v>
      </c>
      <c r="X34" s="1570"/>
      <c r="Y34" s="3385"/>
      <c r="Z34" s="1578" t="str">
        <f t="shared" si="15"/>
        <v>建筑结构</v>
      </c>
      <c r="AA34" s="1579">
        <f t="shared" si="3"/>
        <v>1</v>
      </c>
      <c r="AB34" s="1579">
        <f t="shared" si="4"/>
        <v>1</v>
      </c>
      <c r="AC34" s="1579">
        <f t="shared" si="5"/>
        <v>1</v>
      </c>
    </row>
    <row r="35" spans="1:29" ht="15">
      <c r="A35" s="597"/>
      <c r="B35" s="530" t="s">
        <v>728</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85"/>
      <c r="Q35" s="1575" t="str">
        <f t="shared" si="11"/>
        <v>建筑品质</v>
      </c>
      <c r="R35" s="1576" t="s">
        <v>11</v>
      </c>
      <c r="S35" s="1577">
        <f t="shared" si="12"/>
        <v>100</v>
      </c>
      <c r="T35" s="1576" t="s">
        <v>11</v>
      </c>
      <c r="U35" s="1577">
        <f t="shared" si="13"/>
        <v>100</v>
      </c>
      <c r="V35" s="1576" t="s">
        <v>11</v>
      </c>
      <c r="W35" s="1577">
        <f t="shared" si="14"/>
        <v>100</v>
      </c>
      <c r="X35" s="1570"/>
      <c r="Y35" s="3385"/>
      <c r="Z35" s="1578" t="str">
        <f t="shared" si="15"/>
        <v>建筑品质</v>
      </c>
      <c r="AA35" s="1579">
        <f t="shared" si="3"/>
        <v>1</v>
      </c>
      <c r="AB35" s="1579">
        <f t="shared" si="4"/>
        <v>1</v>
      </c>
      <c r="AC35" s="1579">
        <f t="shared" si="5"/>
        <v>1</v>
      </c>
    </row>
    <row r="36" spans="1:29" ht="15">
      <c r="A36" s="597"/>
      <c r="B36" s="530" t="s">
        <v>729</v>
      </c>
      <c r="C36" s="602" t="s">
        <v>3124</v>
      </c>
      <c r="D36" s="543">
        <v>100</v>
      </c>
      <c r="E36" s="602" t="s">
        <v>3124</v>
      </c>
      <c r="F36" s="578">
        <f>SUMIF(109:109,E36,110:110)-SUMIF(109:109,C36,110:110)+100</f>
        <v>100</v>
      </c>
      <c r="G36" s="602" t="s">
        <v>3124</v>
      </c>
      <c r="H36" s="543">
        <f>SUMIF(109:109,G36,110:110)-SUMIF(109:109,C36,110:110)+100</f>
        <v>100</v>
      </c>
      <c r="I36" s="602" t="s">
        <v>3124</v>
      </c>
      <c r="J36" s="543">
        <f>SUMIF(109:109,I36,110:110)-SUMIF(109:109,C36,110:110)+100</f>
        <v>100</v>
      </c>
      <c r="K36" s="867">
        <v>2</v>
      </c>
      <c r="L36" s="2146"/>
      <c r="M36" s="2138"/>
      <c r="N36" s="2138"/>
      <c r="O36" s="2145"/>
      <c r="P36" s="3385"/>
      <c r="Q36" s="1575" t="str">
        <f t="shared" si="11"/>
        <v>公共部分装修</v>
      </c>
      <c r="R36" s="1576" t="s">
        <v>11</v>
      </c>
      <c r="S36" s="1577">
        <f t="shared" si="12"/>
        <v>100</v>
      </c>
      <c r="T36" s="1576" t="s">
        <v>11</v>
      </c>
      <c r="U36" s="1577">
        <f t="shared" si="13"/>
        <v>100</v>
      </c>
      <c r="V36" s="1576" t="s">
        <v>11</v>
      </c>
      <c r="W36" s="1577">
        <f t="shared" si="14"/>
        <v>100</v>
      </c>
      <c r="X36" s="1570"/>
      <c r="Y36" s="3385"/>
      <c r="Z36" s="1578" t="str">
        <f t="shared" si="15"/>
        <v>公共部分装修</v>
      </c>
      <c r="AA36" s="1579">
        <f t="shared" si="3"/>
        <v>1</v>
      </c>
      <c r="AB36" s="1579">
        <f t="shared" si="4"/>
        <v>1</v>
      </c>
      <c r="AC36" s="1579">
        <f t="shared" si="5"/>
        <v>1</v>
      </c>
    </row>
    <row r="37" spans="1:29" s="1223" customFormat="1" ht="15">
      <c r="A37" s="603"/>
      <c r="B37" s="530" t="s">
        <v>730</v>
      </c>
      <c r="C37" s="886">
        <v>1</v>
      </c>
      <c r="D37" s="255">
        <v>100</v>
      </c>
      <c r="E37" s="887">
        <f>ROUND(1-(2017-2008)/60,2)</f>
        <v>0.85</v>
      </c>
      <c r="F37" s="866">
        <f>LOOKUP(E37,112:112,113:113)-LOOKUP(C37,112:112,113:113)+100</f>
        <v>96</v>
      </c>
      <c r="G37" s="887">
        <f>ROUND(1-(2017-2007)/60,2)</f>
        <v>0.83</v>
      </c>
      <c r="H37" s="255">
        <f>LOOKUP(G37,112:112,113:113)-LOOKUP(C37,112:112,113:113)+100</f>
        <v>96</v>
      </c>
      <c r="I37" s="887">
        <f>ROUND(1-(2017-2005)/60,2)</f>
        <v>0.8</v>
      </c>
      <c r="J37" s="255">
        <f>LOOKUP(I37,112:112,113:113)-LOOKUP(C37,112:112,113:113)+100</f>
        <v>96</v>
      </c>
      <c r="K37" s="867">
        <v>4</v>
      </c>
      <c r="L37" s="2139"/>
      <c r="M37" s="2140"/>
      <c r="N37" s="2140"/>
      <c r="O37" s="2141"/>
      <c r="P37" s="3385"/>
      <c r="Q37" s="1154" t="str">
        <f t="shared" si="11"/>
        <v>成新度</v>
      </c>
      <c r="R37" s="1571" t="s">
        <v>11</v>
      </c>
      <c r="S37" s="1572">
        <f t="shared" si="12"/>
        <v>96</v>
      </c>
      <c r="T37" s="1571" t="s">
        <v>11</v>
      </c>
      <c r="U37" s="1572">
        <f t="shared" si="13"/>
        <v>96</v>
      </c>
      <c r="V37" s="1571" t="s">
        <v>11</v>
      </c>
      <c r="W37" s="1572">
        <f t="shared" si="14"/>
        <v>96</v>
      </c>
      <c r="X37" s="1573"/>
      <c r="Y37" s="3385"/>
      <c r="Z37" s="1153" t="str">
        <f t="shared" si="15"/>
        <v>成新度</v>
      </c>
      <c r="AA37" s="1574">
        <f t="shared" si="3"/>
        <v>1.0416666666666667</v>
      </c>
      <c r="AB37" s="1574">
        <f t="shared" si="4"/>
        <v>1.0416666666666667</v>
      </c>
      <c r="AC37" s="1574">
        <f t="shared" si="5"/>
        <v>1.0416666666666667</v>
      </c>
    </row>
    <row r="38" spans="1:29" ht="15">
      <c r="A38" s="597"/>
      <c r="B38" s="530" t="s">
        <v>731</v>
      </c>
      <c r="C38" s="602" t="s">
        <v>3131</v>
      </c>
      <c r="D38" s="543">
        <v>100</v>
      </c>
      <c r="E38" s="602" t="s">
        <v>3131</v>
      </c>
      <c r="F38" s="578">
        <f>SUMIF(114:114,E38,115:115)-SUMIF(114:114,C38,115:115)+100</f>
        <v>100</v>
      </c>
      <c r="G38" s="602" t="s">
        <v>3131</v>
      </c>
      <c r="H38" s="543">
        <f>SUMIF(114:114,G38,115:115)-SUMIF(114:114,C38,115:115)+100</f>
        <v>100</v>
      </c>
      <c r="I38" s="602" t="s">
        <v>3131</v>
      </c>
      <c r="J38" s="543">
        <f>SUMIF(114:114,I38,115:115)-SUMIF(114:114,C38,115:115)+100</f>
        <v>100</v>
      </c>
      <c r="K38" s="867">
        <v>1</v>
      </c>
      <c r="L38" s="2146"/>
      <c r="M38" s="2138"/>
      <c r="N38" s="2138"/>
      <c r="O38" s="2145"/>
      <c r="P38" s="3385" t="s">
        <v>551</v>
      </c>
      <c r="Q38" s="1575" t="str">
        <f t="shared" si="11"/>
        <v>物业管理</v>
      </c>
      <c r="R38" s="1576" t="s">
        <v>11</v>
      </c>
      <c r="S38" s="1577">
        <f t="shared" si="12"/>
        <v>100</v>
      </c>
      <c r="T38" s="1576" t="s">
        <v>11</v>
      </c>
      <c r="U38" s="1577">
        <f t="shared" si="13"/>
        <v>100</v>
      </c>
      <c r="V38" s="1576" t="s">
        <v>11</v>
      </c>
      <c r="W38" s="1577">
        <f t="shared" si="14"/>
        <v>100</v>
      </c>
      <c r="X38" s="1570"/>
      <c r="Y38" s="3385" t="s">
        <v>551</v>
      </c>
      <c r="Z38" s="1578" t="str">
        <f t="shared" si="15"/>
        <v>物业管理</v>
      </c>
      <c r="AA38" s="1579">
        <f t="shared" si="3"/>
        <v>1</v>
      </c>
      <c r="AB38" s="1579">
        <f t="shared" si="4"/>
        <v>1</v>
      </c>
      <c r="AC38" s="1579">
        <f t="shared" si="5"/>
        <v>1</v>
      </c>
    </row>
    <row r="39" spans="1:29" ht="15">
      <c r="A39" s="597"/>
      <c r="B39" s="1899" t="s">
        <v>2570</v>
      </c>
      <c r="C39" s="602" t="s">
        <v>3084</v>
      </c>
      <c r="D39" s="543">
        <v>100</v>
      </c>
      <c r="E39" s="602" t="s">
        <v>3084</v>
      </c>
      <c r="F39" s="578">
        <f>SUMIF(116:116,E39,117:117)-SUMIF(116:116,C39,117:117)+100</f>
        <v>100</v>
      </c>
      <c r="G39" s="602" t="s">
        <v>3084</v>
      </c>
      <c r="H39" s="543">
        <f>SUMIF(116:116,G39,117:117)-SUMIF(116:116,C39,117:117)+100</f>
        <v>100</v>
      </c>
      <c r="I39" s="602" t="s">
        <v>3084</v>
      </c>
      <c r="J39" s="543">
        <f>SUMIF(116:116,I39,117:117)-SUMIF(116:116,C39,117:117)+100</f>
        <v>100</v>
      </c>
      <c r="K39" s="867">
        <v>1</v>
      </c>
      <c r="L39" s="2146"/>
      <c r="M39" s="2138"/>
      <c r="N39" s="2138"/>
      <c r="O39" s="2145"/>
      <c r="P39" s="3385"/>
      <c r="Q39" s="1575" t="str">
        <f t="shared" si="11"/>
        <v>市政基础设施</v>
      </c>
      <c r="R39" s="1576" t="s">
        <v>11</v>
      </c>
      <c r="S39" s="1577">
        <f t="shared" si="12"/>
        <v>100</v>
      </c>
      <c r="T39" s="1576" t="s">
        <v>11</v>
      </c>
      <c r="U39" s="1577">
        <f t="shared" si="13"/>
        <v>100</v>
      </c>
      <c r="V39" s="1576" t="s">
        <v>11</v>
      </c>
      <c r="W39" s="1577">
        <f t="shared" si="14"/>
        <v>100</v>
      </c>
      <c r="X39" s="1570"/>
      <c r="Y39" s="3385"/>
      <c r="Z39" s="1578" t="str">
        <f t="shared" si="15"/>
        <v>市政基础设施</v>
      </c>
      <c r="AA39" s="1579">
        <f t="shared" si="3"/>
        <v>1</v>
      </c>
      <c r="AB39" s="1579">
        <f t="shared" si="4"/>
        <v>1</v>
      </c>
      <c r="AC39" s="1579">
        <f t="shared" si="5"/>
        <v>1</v>
      </c>
    </row>
    <row r="40" spans="1:29" ht="15">
      <c r="A40" s="597"/>
      <c r="B40" s="530" t="s">
        <v>732</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85"/>
      <c r="Q40" s="1575" t="str">
        <f t="shared" si="11"/>
        <v>房型</v>
      </c>
      <c r="R40" s="1576" t="s">
        <v>11</v>
      </c>
      <c r="S40" s="1577">
        <f t="shared" si="12"/>
        <v>100</v>
      </c>
      <c r="T40" s="1576" t="s">
        <v>11</v>
      </c>
      <c r="U40" s="1577">
        <f t="shared" si="13"/>
        <v>100</v>
      </c>
      <c r="V40" s="1576" t="s">
        <v>11</v>
      </c>
      <c r="W40" s="1577">
        <f t="shared" si="14"/>
        <v>100</v>
      </c>
      <c r="X40" s="1570"/>
      <c r="Y40" s="3385"/>
      <c r="Z40" s="1578" t="str">
        <f t="shared" si="15"/>
        <v>房型</v>
      </c>
      <c r="AA40" s="1579">
        <f t="shared" si="3"/>
        <v>1</v>
      </c>
      <c r="AB40" s="1579">
        <f t="shared" si="4"/>
        <v>1</v>
      </c>
      <c r="AC40" s="1579">
        <f t="shared" si="5"/>
        <v>1</v>
      </c>
    </row>
    <row r="41" spans="1:29" s="1342" customFormat="1" ht="28.5">
      <c r="A41" s="606"/>
      <c r="B41" s="530" t="s">
        <v>733</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85"/>
      <c r="Q41" s="1608" t="str">
        <f t="shared" si="11"/>
        <v>单套/主力户型建筑面积</v>
      </c>
      <c r="R41" s="1580" t="s">
        <v>11</v>
      </c>
      <c r="S41" s="1581">
        <f t="shared" si="12"/>
        <v>100</v>
      </c>
      <c r="T41" s="1580" t="s">
        <v>11</v>
      </c>
      <c r="U41" s="1581">
        <f t="shared" si="13"/>
        <v>100</v>
      </c>
      <c r="V41" s="1580" t="s">
        <v>11</v>
      </c>
      <c r="W41" s="1581">
        <f t="shared" si="14"/>
        <v>100</v>
      </c>
      <c r="X41" s="1582"/>
      <c r="Y41" s="3385"/>
      <c r="Z41" s="1583" t="str">
        <f t="shared" si="15"/>
        <v>单套/主力户型建筑面积</v>
      </c>
      <c r="AA41" s="1579">
        <f t="shared" si="3"/>
        <v>1</v>
      </c>
      <c r="AB41" s="1579">
        <f t="shared" si="4"/>
        <v>1</v>
      </c>
      <c r="AC41" s="1579">
        <f t="shared" si="5"/>
        <v>1</v>
      </c>
    </row>
    <row r="42" spans="1:29" ht="15">
      <c r="A42" s="597"/>
      <c r="B42" s="530" t="s">
        <v>734</v>
      </c>
      <c r="C42" s="602" t="s">
        <v>3129</v>
      </c>
      <c r="D42" s="543">
        <v>100</v>
      </c>
      <c r="E42" s="3193" t="s">
        <v>3125</v>
      </c>
      <c r="F42" s="578">
        <f>SUMIF(122:122,E42,123:123)-SUMIF(122:122,C42,123:123)+100</f>
        <v>106</v>
      </c>
      <c r="G42" s="3193" t="s">
        <v>3125</v>
      </c>
      <c r="H42" s="543">
        <f>SUMIF(122:122,G42,123:123)-SUMIF(122:122,C42,123:123)+100</f>
        <v>106</v>
      </c>
      <c r="I42" s="3193" t="s">
        <v>3125</v>
      </c>
      <c r="J42" s="543">
        <f>SUMIF(122:122,I42,123:123)-SUMIF(122:122,C42,123:123)+100</f>
        <v>106</v>
      </c>
      <c r="K42" s="867">
        <v>2</v>
      </c>
      <c r="L42" s="2146"/>
      <c r="M42" s="2138"/>
      <c r="N42" s="2138"/>
      <c r="O42" s="2145"/>
      <c r="P42" s="3385"/>
      <c r="Q42" s="1575" t="str">
        <f t="shared" si="11"/>
        <v>内部装修</v>
      </c>
      <c r="R42" s="1576" t="s">
        <v>11</v>
      </c>
      <c r="S42" s="1577">
        <f t="shared" si="12"/>
        <v>106</v>
      </c>
      <c r="T42" s="1576" t="s">
        <v>11</v>
      </c>
      <c r="U42" s="1577">
        <f t="shared" si="13"/>
        <v>106</v>
      </c>
      <c r="V42" s="1576" t="s">
        <v>11</v>
      </c>
      <c r="W42" s="1577">
        <f t="shared" si="14"/>
        <v>106</v>
      </c>
      <c r="X42" s="1570"/>
      <c r="Y42" s="3385"/>
      <c r="Z42" s="1578" t="str">
        <f t="shared" si="15"/>
        <v>内部装修</v>
      </c>
      <c r="AA42" s="1579">
        <f t="shared" si="3"/>
        <v>0.94339622641509435</v>
      </c>
      <c r="AB42" s="1579">
        <f t="shared" si="4"/>
        <v>0.94339622641509435</v>
      </c>
      <c r="AC42" s="1579">
        <f t="shared" si="5"/>
        <v>0.94339622641509435</v>
      </c>
    </row>
    <row r="43" spans="1:29" ht="27">
      <c r="A43" s="597"/>
      <c r="B43" s="530" t="s">
        <v>735</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85"/>
      <c r="Q43" s="1575" t="str">
        <f t="shared" si="11"/>
        <v>内部装修维护情况</v>
      </c>
      <c r="R43" s="1576" t="s">
        <v>11</v>
      </c>
      <c r="S43" s="1577">
        <f t="shared" si="12"/>
        <v>100</v>
      </c>
      <c r="T43" s="1576" t="s">
        <v>11</v>
      </c>
      <c r="U43" s="1577">
        <f t="shared" si="13"/>
        <v>100</v>
      </c>
      <c r="V43" s="1576" t="s">
        <v>11</v>
      </c>
      <c r="W43" s="1577">
        <f t="shared" si="14"/>
        <v>100</v>
      </c>
      <c r="X43" s="1570"/>
      <c r="Y43" s="3385"/>
      <c r="Z43" s="1578" t="str">
        <f t="shared" si="15"/>
        <v>内部装修维护情况</v>
      </c>
      <c r="AA43" s="1579">
        <f t="shared" si="3"/>
        <v>1</v>
      </c>
      <c r="AB43" s="1579">
        <f t="shared" si="4"/>
        <v>1</v>
      </c>
      <c r="AC43" s="1579">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85"/>
      <c r="Q44" s="1154">
        <f t="shared" si="11"/>
        <v>0</v>
      </c>
      <c r="R44" s="1571" t="s">
        <v>11</v>
      </c>
      <c r="S44" s="1572">
        <f t="shared" si="12"/>
        <v>100</v>
      </c>
      <c r="T44" s="1571" t="s">
        <v>11</v>
      </c>
      <c r="U44" s="1572">
        <f t="shared" si="13"/>
        <v>100</v>
      </c>
      <c r="V44" s="1571" t="s">
        <v>11</v>
      </c>
      <c r="W44" s="1572">
        <f t="shared" si="14"/>
        <v>100</v>
      </c>
      <c r="X44" s="1573"/>
      <c r="Y44" s="3385"/>
      <c r="Z44" s="1153">
        <f t="shared" si="15"/>
        <v>0</v>
      </c>
      <c r="AA44" s="1574">
        <f t="shared" si="3"/>
        <v>1</v>
      </c>
      <c r="AB44" s="1574">
        <f t="shared" si="4"/>
        <v>1</v>
      </c>
      <c r="AC44" s="1574">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85"/>
      <c r="Q45" s="1575">
        <f t="shared" si="11"/>
        <v>0</v>
      </c>
      <c r="R45" s="1576" t="s">
        <v>11</v>
      </c>
      <c r="S45" s="1577">
        <f t="shared" si="12"/>
        <v>100</v>
      </c>
      <c r="T45" s="1576" t="s">
        <v>11</v>
      </c>
      <c r="U45" s="1577">
        <f t="shared" si="13"/>
        <v>100</v>
      </c>
      <c r="V45" s="1576" t="s">
        <v>11</v>
      </c>
      <c r="W45" s="1577">
        <f t="shared" si="14"/>
        <v>100</v>
      </c>
      <c r="X45" s="1570"/>
      <c r="Y45" s="3385"/>
      <c r="Z45" s="1578">
        <f t="shared" si="15"/>
        <v>0</v>
      </c>
      <c r="AA45" s="1579">
        <f t="shared" si="3"/>
        <v>1</v>
      </c>
      <c r="AB45" s="1579">
        <f t="shared" si="4"/>
        <v>1</v>
      </c>
      <c r="AC45" s="1579">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43"/>
      <c r="Q46" s="1575">
        <f t="shared" si="11"/>
        <v>0</v>
      </c>
      <c r="R46" s="1576" t="s">
        <v>10</v>
      </c>
      <c r="S46" s="1577">
        <f t="shared" si="12"/>
        <v>100</v>
      </c>
      <c r="T46" s="1576" t="s">
        <v>10</v>
      </c>
      <c r="U46" s="1577">
        <f t="shared" si="13"/>
        <v>100</v>
      </c>
      <c r="V46" s="1576" t="s">
        <v>10</v>
      </c>
      <c r="W46" s="1577">
        <f t="shared" si="14"/>
        <v>100</v>
      </c>
      <c r="X46" s="1570"/>
      <c r="Y46" s="3443"/>
      <c r="Z46" s="1578">
        <f t="shared" si="15"/>
        <v>0</v>
      </c>
      <c r="AA46" s="1579">
        <f t="shared" si="3"/>
        <v>1</v>
      </c>
      <c r="AB46" s="1579">
        <f t="shared" si="4"/>
        <v>1</v>
      </c>
      <c r="AC46" s="1579">
        <f t="shared" si="5"/>
        <v>1</v>
      </c>
    </row>
    <row r="47" spans="1:29" ht="15">
      <c r="A47" s="610" t="s">
        <v>736</v>
      </c>
      <c r="B47" s="890"/>
      <c r="C47" s="2655" t="s">
        <v>9</v>
      </c>
      <c r="D47" s="2656"/>
      <c r="E47" s="2657">
        <f>ROUND(78678*0.9,0)</f>
        <v>70810</v>
      </c>
      <c r="F47" s="2658"/>
      <c r="G47" s="2659">
        <f>ROUND(76788*0.9,0)</f>
        <v>69109</v>
      </c>
      <c r="H47" s="2660"/>
      <c r="I47" s="2657">
        <f>ROUND(88580*0.99,0)</f>
        <v>87694</v>
      </c>
      <c r="J47" s="2660"/>
      <c r="K47" s="1609"/>
      <c r="L47" s="2148"/>
      <c r="M47" s="2149"/>
      <c r="N47" s="2138"/>
      <c r="O47" s="2149"/>
      <c r="P47" s="3380" t="str">
        <f>A47</f>
        <v>成交单价（元/平方米）</v>
      </c>
      <c r="Q47" s="3380"/>
      <c r="R47" s="3441">
        <f>E47</f>
        <v>70810</v>
      </c>
      <c r="S47" s="3441"/>
      <c r="T47" s="3441">
        <f>G47</f>
        <v>69109</v>
      </c>
      <c r="U47" s="3441"/>
      <c r="V47" s="3441">
        <f>I47</f>
        <v>87694</v>
      </c>
      <c r="W47" s="3441"/>
      <c r="X47" s="1562"/>
      <c r="Y47" s="1584"/>
      <c r="Z47" s="1562"/>
      <c r="AA47" s="1562"/>
      <c r="AB47" s="1562"/>
      <c r="AC47" s="1562"/>
    </row>
    <row r="48" spans="1:29" ht="15.75" thickBot="1">
      <c r="A48" s="618" t="s">
        <v>2768</v>
      </c>
      <c r="B48" s="891"/>
      <c r="C48" s="2661">
        <f>R49</f>
        <v>72701</v>
      </c>
      <c r="D48" s="2662"/>
      <c r="E48" s="2663">
        <f>R48</f>
        <v>67624</v>
      </c>
      <c r="F48" s="2663"/>
      <c r="G48" s="2661">
        <f>T48</f>
        <v>70014</v>
      </c>
      <c r="H48" s="2662"/>
      <c r="I48" s="2663">
        <f>V48</f>
        <v>80464</v>
      </c>
      <c r="J48" s="2662"/>
      <c r="K48" s="1610"/>
      <c r="L48" s="2148"/>
      <c r="M48" s="2149"/>
      <c r="N48" s="2149"/>
      <c r="O48" s="2149"/>
      <c r="P48" s="3380" t="str">
        <f>A48</f>
        <v>比较价格（元/平方米）</v>
      </c>
      <c r="Q48" s="3380"/>
      <c r="R48" s="3441">
        <f>IF(F1="售价",ROUND(PRODUCT(R47,AA7:AA46),0),ROUND(PRODUCT(R47,AA7:AA46),1))</f>
        <v>67624</v>
      </c>
      <c r="S48" s="3441"/>
      <c r="T48" s="3441">
        <f>IF(F1="售价",ROUND(PRODUCT(T47,AB7:AB46),0),ROUND(PRODUCT(T47,AB7:AB46),1))</f>
        <v>70014</v>
      </c>
      <c r="U48" s="3441"/>
      <c r="V48" s="3441">
        <f>IF(F1="售价",ROUND(PRODUCT(V47,AC7:AC46),0),ROUND(PRODUCT(V47,AC7:AC46),1))</f>
        <v>80464</v>
      </c>
      <c r="W48" s="3441"/>
      <c r="X48" s="1562"/>
      <c r="Y48" s="1562"/>
      <c r="Z48" s="1562"/>
      <c r="AA48" s="1562"/>
      <c r="AB48" s="1562"/>
      <c r="AC48" s="1562"/>
    </row>
    <row r="49" spans="1:29" ht="15.75" thickBot="1">
      <c r="A49" s="624" t="s">
        <v>2939</v>
      </c>
      <c r="B49" s="625"/>
      <c r="C49" s="2664">
        <f>R49</f>
        <v>72701</v>
      </c>
      <c r="D49" s="2664"/>
      <c r="E49" s="2664"/>
      <c r="F49" s="2664"/>
      <c r="G49" s="2664"/>
      <c r="H49" s="2664"/>
      <c r="I49" s="2664"/>
      <c r="J49" s="2664"/>
      <c r="K49" s="1611"/>
      <c r="L49" s="2148"/>
      <c r="M49" s="2149"/>
      <c r="N49" s="2149"/>
      <c r="O49" s="2149"/>
      <c r="P49" s="3402" t="str">
        <f>A49</f>
        <v>估价对象XX用房的比较价格（楼面单价，元/平方米）</v>
      </c>
      <c r="Q49" s="3403"/>
      <c r="R49" s="3442">
        <f>IF(F1="售价",ROUND(AVERAGE(R48:V48),0),ROUND(AVERAGE(R48:V48),1))</f>
        <v>72701</v>
      </c>
      <c r="S49" s="3442"/>
      <c r="T49" s="3442"/>
      <c r="U49" s="3442"/>
      <c r="V49" s="3442"/>
      <c r="W49" s="344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4.71134508458535E-2</v>
      </c>
      <c r="F52" s="630" t="str">
        <f>IF(OR(E52&gt;=0.3,E52&lt;=-0.3),"超过30%","")</f>
        <v/>
      </c>
      <c r="G52" s="629">
        <f>IF(G47&lt;G48,G48/G47-1,G47/G48-1)</f>
        <v>1.3095255321303956E-2</v>
      </c>
      <c r="H52" s="630" t="str">
        <f>IF(OR(G52&gt;=0.3,G52&lt;=-0.3),"超过30%","")</f>
        <v/>
      </c>
      <c r="I52" s="629">
        <f>IF(I47&lt;I48,I48/I47-1,I47/I48-1)</f>
        <v>8.9853847683436072E-2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3.5342481959067751E-2</v>
      </c>
      <c r="F53" s="630" t="str">
        <f>IF(OR(E53&gt;=0.2,E53&lt;=-0.2),"超过20%","")</f>
        <v/>
      </c>
      <c r="G53" s="629">
        <f>IF(G48&lt;I48,I48/G48-1,G48/I48-1)</f>
        <v>0.14925586311309158</v>
      </c>
      <c r="H53" s="630" t="str">
        <f>IF(OR(G53&gt;=0.2,G53&lt;=-0.2),"超过20%","")</f>
        <v/>
      </c>
      <c r="I53" s="629">
        <f>IF(I48&lt;E48,E48/I48-1,I48/E48-1)</f>
        <v>0.18987341772151889</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2.4613292045898572E-2</v>
      </c>
      <c r="F54" s="630" t="str">
        <f>IF(OR(E54&gt;=0.3,E54&lt;=-0.3),"超过30%","")</f>
        <v/>
      </c>
      <c r="G54" s="629">
        <f>IF(G47&lt;I47,I47/G47-1,G47/I47-1)</f>
        <v>0.26892300568666894</v>
      </c>
      <c r="H54" s="630" t="str">
        <f>IF(OR(G54&gt;=0.3,G54&lt;=-0.3),"超过30%","")</f>
        <v/>
      </c>
      <c r="I54" s="629">
        <f>IF(I47&lt;E47,E47/I47-1,I47/E47-1)</f>
        <v>0.23844089817822334</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100</v>
      </c>
      <c r="E59" s="653">
        <v>99.5</v>
      </c>
      <c r="F59" s="653">
        <v>99.5</v>
      </c>
      <c r="G59" s="653">
        <v>99.5</v>
      </c>
      <c r="H59" s="653">
        <v>99</v>
      </c>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737</v>
      </c>
      <c r="D65" s="677" t="s">
        <v>738</v>
      </c>
      <c r="E65" s="677" t="s">
        <v>739</v>
      </c>
      <c r="F65" s="677" t="s">
        <v>740</v>
      </c>
      <c r="G65" s="677" t="s">
        <v>741</v>
      </c>
      <c r="H65" s="677" t="s">
        <v>742</v>
      </c>
      <c r="I65" s="677" t="s">
        <v>743</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8">D68&amp;"（含）"&amp;"-"&amp;E68</f>
        <v>1（含）-2</v>
      </c>
      <c r="E67" s="685" t="str">
        <f t="shared" si="18"/>
        <v>2（含）-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v>2</v>
      </c>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0</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0</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0</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98</v>
      </c>
      <c r="E77" s="682">
        <f>D77-$K15</f>
        <v>96</v>
      </c>
      <c r="F77" s="682">
        <f>E77-$K15</f>
        <v>94</v>
      </c>
      <c r="G77" s="682">
        <f>F77-$K15</f>
        <v>92</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99</v>
      </c>
      <c r="E79" s="682">
        <f>D79-$K17</f>
        <v>98</v>
      </c>
      <c r="F79" s="682">
        <f>E79-$K17</f>
        <v>97</v>
      </c>
      <c r="G79" s="682">
        <f>F79-$K17</f>
        <v>96</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99</v>
      </c>
      <c r="E81" s="682">
        <f>D81-$K19</f>
        <v>98</v>
      </c>
      <c r="F81" s="682">
        <f>E81-$K19</f>
        <v>97</v>
      </c>
      <c r="G81" s="682">
        <f>F81-$K19</f>
        <v>96</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744</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99</v>
      </c>
      <c r="E85" s="682">
        <f>D85-$K23</f>
        <v>98</v>
      </c>
      <c r="F85" s="682">
        <f>E85-$K23</f>
        <v>97</v>
      </c>
      <c r="G85" s="682">
        <f>F85-$K23</f>
        <v>96</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2260</v>
      </c>
      <c r="C86" s="3185"/>
      <c r="D86" s="3185"/>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746</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f>B27</f>
        <v>0</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0</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0</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0</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0</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747</v>
      </c>
      <c r="C100" s="3183" t="s">
        <v>3121</v>
      </c>
      <c r="D100" s="3183" t="s">
        <v>3123</v>
      </c>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105</v>
      </c>
      <c r="E101" s="682">
        <f t="shared" si="22"/>
        <v>110</v>
      </c>
      <c r="F101" s="682">
        <f t="shared" si="22"/>
        <v>115</v>
      </c>
      <c r="G101" s="682">
        <f t="shared" si="22"/>
        <v>120</v>
      </c>
      <c r="H101" s="682">
        <f t="shared" si="22"/>
        <v>125</v>
      </c>
      <c r="I101" s="682">
        <f t="shared" si="22"/>
        <v>130</v>
      </c>
      <c r="J101" s="682">
        <f t="shared" si="22"/>
        <v>135</v>
      </c>
      <c r="K101" s="682">
        <f t="shared" si="22"/>
        <v>140</v>
      </c>
      <c r="L101" s="682">
        <f t="shared" si="22"/>
        <v>145</v>
      </c>
      <c r="M101" s="682">
        <f t="shared" si="22"/>
        <v>150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748</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100000</v>
      </c>
      <c r="E103" s="733">
        <v>200000</v>
      </c>
      <c r="F103" s="733">
        <v>300000</v>
      </c>
      <c r="G103" s="733">
        <v>400000</v>
      </c>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101</v>
      </c>
      <c r="E104" s="674">
        <v>102</v>
      </c>
      <c r="F104" s="674">
        <v>103</v>
      </c>
      <c r="G104" s="674">
        <v>104</v>
      </c>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749</v>
      </c>
      <c r="C105" s="3185" t="s">
        <v>3126</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750</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751</v>
      </c>
      <c r="C109" s="3185" t="s">
        <v>3125</v>
      </c>
      <c r="D109" s="3185" t="s">
        <v>3127</v>
      </c>
      <c r="E109" s="3185" t="s">
        <v>3128</v>
      </c>
      <c r="F109" s="3187" t="s">
        <v>3130</v>
      </c>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752</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104</v>
      </c>
      <c r="E113" s="682">
        <f>D113+$K37</f>
        <v>108</v>
      </c>
      <c r="F113" s="682">
        <f>E113+$K37</f>
        <v>112</v>
      </c>
      <c r="G113" s="682">
        <f>F113+$K37</f>
        <v>116</v>
      </c>
      <c r="H113" s="682">
        <f>G113+$K37</f>
        <v>120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753</v>
      </c>
      <c r="C114" s="3185" t="s">
        <v>3132</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2562</v>
      </c>
      <c r="C116" s="3185" t="s">
        <v>3133</v>
      </c>
      <c r="D116" s="3185" t="s">
        <v>3134</v>
      </c>
      <c r="E116" s="3185" t="s">
        <v>3135</v>
      </c>
      <c r="F116" s="3185" t="s">
        <v>3136</v>
      </c>
      <c r="G116" s="3185" t="s">
        <v>3137</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754</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733</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755</v>
      </c>
      <c r="C122" s="3185" t="s">
        <v>3125</v>
      </c>
      <c r="D122" s="3185" t="s">
        <v>3127</v>
      </c>
      <c r="E122" s="3185" t="s">
        <v>3128</v>
      </c>
      <c r="F122" s="3187" t="s">
        <v>3130</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756</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0</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0</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0</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2261</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2262</v>
      </c>
      <c r="C137" s="1923"/>
      <c r="D137" s="1923"/>
      <c r="E137" s="1923"/>
      <c r="F137" s="1923"/>
      <c r="G137" s="1924"/>
      <c r="H137" s="1925"/>
      <c r="I137" s="1926" t="s">
        <v>2263</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2264</v>
      </c>
      <c r="D138" s="1929" t="s">
        <v>2265</v>
      </c>
      <c r="E138" s="1930" t="s">
        <v>2266</v>
      </c>
      <c r="F138" s="1931" t="s">
        <v>2267</v>
      </c>
      <c r="G138" s="1929" t="s">
        <v>2268</v>
      </c>
      <c r="H138" s="1932" t="s">
        <v>2269</v>
      </c>
      <c r="I138" s="1933"/>
      <c r="J138" s="1929" t="s">
        <v>2270</v>
      </c>
      <c r="K138" s="1932" t="s">
        <v>2271</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2272</v>
      </c>
      <c r="E139" s="1903">
        <v>100</v>
      </c>
      <c r="F139" s="1904">
        <v>102.5</v>
      </c>
      <c r="G139" s="1934" t="s">
        <v>2273</v>
      </c>
      <c r="H139" s="1905">
        <v>105</v>
      </c>
      <c r="I139" s="1935" t="s">
        <v>2274</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2275</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2276</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2277</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2278</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2279</v>
      </c>
      <c r="E144" s="1909">
        <v>102</v>
      </c>
      <c r="F144" s="1915">
        <v>100</v>
      </c>
      <c r="G144" s="1938" t="s">
        <v>2279</v>
      </c>
      <c r="H144" s="1911">
        <v>105</v>
      </c>
      <c r="I144" s="1937" t="s">
        <v>2278</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2280</v>
      </c>
      <c r="C145" s="1916">
        <f>ROUND(MAX(C139:C144)/MIN(C139:C144)-1,3)</f>
        <v>7.2999999999999995E-2</v>
      </c>
      <c r="D145" s="1940"/>
      <c r="E145" s="1940"/>
      <c r="F145" s="1941" t="s">
        <v>2281</v>
      </c>
      <c r="G145" s="1942"/>
      <c r="H145" s="1943"/>
      <c r="I145" s="1944" t="s">
        <v>2278</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2290</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2291</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3" sqref="L2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t="s">
        <v>923</v>
      </c>
      <c r="C1" s="507" t="s">
        <v>792</v>
      </c>
      <c r="D1" s="852" t="s">
        <v>35</v>
      </c>
      <c r="E1" s="509"/>
      <c r="F1" s="2837" t="s">
        <v>3142</v>
      </c>
      <c r="G1" s="1604" t="s">
        <v>793</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794</v>
      </c>
      <c r="B2" s="853">
        <f>IF(B37="元/平方米",ROUND(B3*D3/10000,0),ROUND(F3*C39/10000,0))</f>
        <v>23527</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795</v>
      </c>
      <c r="B3" s="513">
        <f>IF(B37="元/平方米",C39,ROUND(B2*10000/D3,0))</f>
        <v>7586</v>
      </c>
      <c r="C3" s="855" t="s">
        <v>796</v>
      </c>
      <c r="D3" s="854">
        <f>SUMIF('数据-汇总表'!$C19:$C33,D1,'数据-汇总表'!$E19:$E33)</f>
        <v>31012.010000000002</v>
      </c>
      <c r="E3" s="1852" t="s">
        <v>2079</v>
      </c>
      <c r="F3" s="854">
        <f>SUMIF('数据-取费表'!A5:A15,D1,'数据-取费表'!AH5:AH15)</f>
        <v>886</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797</v>
      </c>
      <c r="B4" s="516"/>
      <c r="C4" s="3386" t="s">
        <v>798</v>
      </c>
      <c r="D4" s="3387"/>
      <c r="E4" s="3386" t="s">
        <v>799</v>
      </c>
      <c r="F4" s="3387"/>
      <c r="G4" s="3386" t="s">
        <v>800</v>
      </c>
      <c r="H4" s="3387"/>
      <c r="I4" s="3386" t="s">
        <v>801</v>
      </c>
      <c r="J4" s="3387"/>
      <c r="K4" s="517" t="s">
        <v>802</v>
      </c>
      <c r="L4" s="2137"/>
      <c r="M4" s="2138"/>
      <c r="N4" s="2138"/>
      <c r="O4" s="2138"/>
      <c r="P4" s="3388" t="s">
        <v>803</v>
      </c>
      <c r="Q4" s="3389"/>
      <c r="R4" s="3374" t="s">
        <v>799</v>
      </c>
      <c r="S4" s="3375"/>
      <c r="T4" s="3374" t="s">
        <v>800</v>
      </c>
      <c r="U4" s="3375"/>
      <c r="V4" s="3394" t="s">
        <v>801</v>
      </c>
      <c r="W4" s="3394"/>
      <c r="X4" s="1570"/>
      <c r="Y4" s="3374" t="s">
        <v>803</v>
      </c>
      <c r="Z4" s="3375"/>
      <c r="AA4" s="3369" t="s">
        <v>799</v>
      </c>
      <c r="AB4" s="3370" t="s">
        <v>800</v>
      </c>
      <c r="AC4" s="3369" t="s">
        <v>801</v>
      </c>
    </row>
    <row r="5" spans="1:29" ht="15">
      <c r="A5" s="518"/>
      <c r="B5" s="519"/>
      <c r="C5" s="3399"/>
      <c r="D5" s="3398"/>
      <c r="E5" s="3397" t="s">
        <v>3158</v>
      </c>
      <c r="F5" s="3398"/>
      <c r="G5" s="3399" t="s">
        <v>3165</v>
      </c>
      <c r="H5" s="3398"/>
      <c r="I5" s="3447" t="s">
        <v>3167</v>
      </c>
      <c r="J5" s="3398"/>
      <c r="K5" s="517"/>
      <c r="L5" s="2137"/>
      <c r="M5" s="2138"/>
      <c r="N5" s="2138"/>
      <c r="O5" s="2138"/>
      <c r="P5" s="3390"/>
      <c r="Q5" s="3391"/>
      <c r="R5" s="3376"/>
      <c r="S5" s="3377"/>
      <c r="T5" s="3376"/>
      <c r="U5" s="3377"/>
      <c r="V5" s="3394"/>
      <c r="W5" s="3394"/>
      <c r="X5" s="1570"/>
      <c r="Y5" s="3376"/>
      <c r="Z5" s="3377"/>
      <c r="AA5" s="3370"/>
      <c r="AB5" s="3370"/>
      <c r="AC5" s="3370"/>
    </row>
    <row r="6" spans="1:29" ht="15.75" thickBot="1">
      <c r="A6" s="520"/>
      <c r="B6" s="521"/>
      <c r="C6" s="3395"/>
      <c r="D6" s="3396"/>
      <c r="E6" s="3400"/>
      <c r="F6" s="3401"/>
      <c r="G6" s="3395"/>
      <c r="H6" s="3396"/>
      <c r="I6" s="3395"/>
      <c r="J6" s="3396"/>
      <c r="K6" s="517" t="s">
        <v>529</v>
      </c>
      <c r="L6" s="2137"/>
      <c r="M6" s="2138"/>
      <c r="N6" s="2138"/>
      <c r="O6" s="2138"/>
      <c r="P6" s="3392"/>
      <c r="Q6" s="3393"/>
      <c r="R6" s="3376"/>
      <c r="S6" s="3377"/>
      <c r="T6" s="3378"/>
      <c r="U6" s="3379"/>
      <c r="V6" s="3394"/>
      <c r="W6" s="3394"/>
      <c r="X6" s="1570"/>
      <c r="Y6" s="3378"/>
      <c r="Z6" s="3379"/>
      <c r="AA6" s="3371"/>
      <c r="AB6" s="3371"/>
      <c r="AC6" s="3371"/>
    </row>
    <row r="7" spans="1:29" s="1223" customFormat="1" ht="15.75" thickBot="1">
      <c r="A7" s="2941"/>
      <c r="B7" s="2948" t="s">
        <v>530</v>
      </c>
      <c r="C7" s="522">
        <f>'数据-取费表'!B2</f>
        <v>43047</v>
      </c>
      <c r="D7" s="523">
        <v>100</v>
      </c>
      <c r="E7" s="524">
        <v>43040</v>
      </c>
      <c r="F7" s="525">
        <f>SUMIF(48:48,YEAR(E7)&amp;"-"&amp;MONTH(E7),49:49)</f>
        <v>100</v>
      </c>
      <c r="G7" s="524">
        <v>43040</v>
      </c>
      <c r="H7" s="523">
        <f>SUMIF(48:48,YEAR(G7)&amp;"-"&amp;MONTH(G7),49:49)</f>
        <v>100</v>
      </c>
      <c r="I7" s="526">
        <v>43009</v>
      </c>
      <c r="J7" s="523">
        <f>SUMIF(48:48,YEAR(I7)&amp;"-"&amp;MONTH(I7),49:49)</f>
        <v>100</v>
      </c>
      <c r="K7" s="527"/>
      <c r="L7" s="2139"/>
      <c r="M7" s="2140"/>
      <c r="N7" s="2140"/>
      <c r="O7" s="2140"/>
      <c r="P7" s="3372" t="s">
        <v>531</v>
      </c>
      <c r="Q7" s="3381"/>
      <c r="R7" s="1571" t="s">
        <v>8</v>
      </c>
      <c r="S7" s="1572">
        <f t="shared" ref="S7:S14" si="0">F7</f>
        <v>100</v>
      </c>
      <c r="T7" s="1571" t="s">
        <v>8</v>
      </c>
      <c r="U7" s="1572">
        <f t="shared" ref="U7:U14" si="1">H7</f>
        <v>100</v>
      </c>
      <c r="V7" s="1571" t="s">
        <v>8</v>
      </c>
      <c r="W7" s="1572">
        <f t="shared" ref="W7:W14" si="2">J7</f>
        <v>100</v>
      </c>
      <c r="X7" s="1573"/>
      <c r="Y7" s="3372" t="s">
        <v>531</v>
      </c>
      <c r="Z7" s="3373"/>
      <c r="AA7" s="1574">
        <f>D7/F7</f>
        <v>1</v>
      </c>
      <c r="AB7" s="1574">
        <f>D7/H7</f>
        <v>1</v>
      </c>
      <c r="AC7" s="1574">
        <f>D7/J7</f>
        <v>1</v>
      </c>
    </row>
    <row r="8" spans="1:29" s="1223" customFormat="1" ht="15.75" thickBot="1">
      <c r="A8" s="2942"/>
      <c r="B8" s="2949" t="s">
        <v>532</v>
      </c>
      <c r="C8" s="528" t="s">
        <v>577</v>
      </c>
      <c r="D8" s="523">
        <v>100</v>
      </c>
      <c r="E8" s="528" t="s">
        <v>577</v>
      </c>
      <c r="F8" s="525">
        <f>SUMIF(51:51,E8,52:52)-SUMIF(51:51,C8,52:52)+100</f>
        <v>100</v>
      </c>
      <c r="G8" s="528" t="s">
        <v>577</v>
      </c>
      <c r="H8" s="523">
        <f>SUMIF(51:51,G8,52:52)-SUMIF(51:51,C8,52:52)+100</f>
        <v>100</v>
      </c>
      <c r="I8" s="528" t="s">
        <v>577</v>
      </c>
      <c r="J8" s="523">
        <f>SUMIF(51:51,I8,52:52)-SUMIF(51:51,C8,52:52)+100</f>
        <v>100</v>
      </c>
      <c r="K8" s="527"/>
      <c r="L8" s="2139"/>
      <c r="M8" s="2140"/>
      <c r="N8" s="2140"/>
      <c r="O8" s="2140"/>
      <c r="P8" s="3372" t="s">
        <v>534</v>
      </c>
      <c r="Q8" s="3373"/>
      <c r="R8" s="1571" t="s">
        <v>8</v>
      </c>
      <c r="S8" s="1572">
        <f t="shared" si="0"/>
        <v>100</v>
      </c>
      <c r="T8" s="1571" t="s">
        <v>8</v>
      </c>
      <c r="U8" s="1572">
        <f t="shared" si="1"/>
        <v>100</v>
      </c>
      <c r="V8" s="1571" t="s">
        <v>8</v>
      </c>
      <c r="W8" s="1572">
        <f t="shared" si="2"/>
        <v>100</v>
      </c>
      <c r="X8" s="1573"/>
      <c r="Y8" s="3372" t="s">
        <v>534</v>
      </c>
      <c r="Z8" s="3373"/>
      <c r="AA8" s="1574">
        <f t="shared" ref="AA8:AA36" si="3">D8/F8</f>
        <v>1</v>
      </c>
      <c r="AB8" s="1574">
        <f t="shared" ref="AB8:AB36" si="4">D8/H8</f>
        <v>1</v>
      </c>
      <c r="AC8" s="1574">
        <f t="shared" ref="AC8:AC36" si="5">D8/J8</f>
        <v>1</v>
      </c>
    </row>
    <row r="9" spans="1:29" s="1223" customFormat="1" ht="15">
      <c r="A9" s="2943"/>
      <c r="B9" s="2950" t="s">
        <v>2764</v>
      </c>
      <c r="C9" s="3190" t="s">
        <v>3155</v>
      </c>
      <c r="D9" s="254">
        <v>100</v>
      </c>
      <c r="E9" s="3196" t="s">
        <v>3155</v>
      </c>
      <c r="F9" s="254">
        <f>SUMIF(53:53,E9,54:54)-SUMIF(53:53,C9,54:54)+100</f>
        <v>100</v>
      </c>
      <c r="G9" s="3196" t="s">
        <v>3155</v>
      </c>
      <c r="H9" s="254">
        <f>SUMIF(53:53,G9,54:54)-SUMIF(53:53,C9,54:54)+100</f>
        <v>100</v>
      </c>
      <c r="I9" s="3196" t="s">
        <v>3155</v>
      </c>
      <c r="J9" s="254">
        <f>SUMIF(53:53,I9,54:54)-SUMIF(53:53,C9,54:54)+100</f>
        <v>100</v>
      </c>
      <c r="K9" s="527"/>
      <c r="L9" s="2139"/>
      <c r="M9" s="2140"/>
      <c r="N9" s="2140"/>
      <c r="O9" s="2141"/>
      <c r="P9" s="3380" t="s">
        <v>536</v>
      </c>
      <c r="Q9" s="1154" t="str">
        <f t="shared" ref="Q9:Q14" si="6">B9</f>
        <v>用途</v>
      </c>
      <c r="R9" s="1571" t="s">
        <v>8</v>
      </c>
      <c r="S9" s="1572">
        <f t="shared" si="0"/>
        <v>100</v>
      </c>
      <c r="T9" s="1571" t="s">
        <v>8</v>
      </c>
      <c r="U9" s="1572">
        <f t="shared" si="1"/>
        <v>100</v>
      </c>
      <c r="V9" s="1571" t="s">
        <v>8</v>
      </c>
      <c r="W9" s="1572">
        <f t="shared" si="2"/>
        <v>100</v>
      </c>
      <c r="X9" s="1573"/>
      <c r="Y9" s="3337" t="s">
        <v>537</v>
      </c>
      <c r="Z9" s="1153" t="str">
        <f t="shared" ref="Z9:Z14" si="7">Q9</f>
        <v>用途</v>
      </c>
      <c r="AA9" s="1574">
        <f t="shared" si="3"/>
        <v>1</v>
      </c>
      <c r="AB9" s="1574">
        <f t="shared" si="4"/>
        <v>1</v>
      </c>
      <c r="AC9" s="1574">
        <f t="shared" si="5"/>
        <v>1</v>
      </c>
    </row>
    <row r="10" spans="1:29" s="1341" customFormat="1" ht="27">
      <c r="A10" s="2944"/>
      <c r="B10" s="2949" t="s">
        <v>2765</v>
      </c>
      <c r="C10" s="864" t="s">
        <v>3156</v>
      </c>
      <c r="D10" s="255">
        <v>100</v>
      </c>
      <c r="E10" s="864" t="s">
        <v>3157</v>
      </c>
      <c r="F10" s="255">
        <f>SUMIF(55:55,E10,56:56)-SUMIF(55:55,C10,56:56)+100</f>
        <v>101</v>
      </c>
      <c r="G10" s="864" t="s">
        <v>3157</v>
      </c>
      <c r="H10" s="255">
        <f>SUMIF(55:55,G10,56:56)-SUMIF(55:55,C10,56:56)+100</f>
        <v>101</v>
      </c>
      <c r="I10" s="864" t="s">
        <v>3156</v>
      </c>
      <c r="J10" s="255">
        <f>SUMIF(55:55,I10,56:56)-SUMIF(55:55,C10,56:56)+100</f>
        <v>100</v>
      </c>
      <c r="K10" s="587">
        <v>1</v>
      </c>
      <c r="L10" s="2142"/>
      <c r="M10" s="2182"/>
      <c r="N10" s="2182"/>
      <c r="O10" s="2143"/>
      <c r="P10" s="3380"/>
      <c r="Q10" s="1154" t="str">
        <f t="shared" si="6"/>
        <v>土地使用年限（年）</v>
      </c>
      <c r="R10" s="1571" t="s">
        <v>8</v>
      </c>
      <c r="S10" s="1572">
        <f t="shared" si="0"/>
        <v>101</v>
      </c>
      <c r="T10" s="1571" t="s">
        <v>8</v>
      </c>
      <c r="U10" s="1572">
        <f t="shared" si="1"/>
        <v>101</v>
      </c>
      <c r="V10" s="1571" t="s">
        <v>8</v>
      </c>
      <c r="W10" s="1572">
        <f t="shared" si="2"/>
        <v>100</v>
      </c>
      <c r="X10" s="1573"/>
      <c r="Y10" s="3337"/>
      <c r="Z10" s="1153" t="str">
        <f t="shared" si="7"/>
        <v>土地使用年限（年）</v>
      </c>
      <c r="AA10" s="1574">
        <f t="shared" si="3"/>
        <v>0.99009900990099009</v>
      </c>
      <c r="AB10" s="1574">
        <f t="shared" si="4"/>
        <v>0.99009900990099009</v>
      </c>
      <c r="AC10" s="1574">
        <f t="shared" si="5"/>
        <v>1</v>
      </c>
    </row>
    <row r="11" spans="1:29" ht="15">
      <c r="A11" s="2946"/>
      <c r="B11" s="2952"/>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80"/>
      <c r="Q11" s="1154">
        <f t="shared" si="6"/>
        <v>0</v>
      </c>
      <c r="R11" s="1571" t="s">
        <v>8</v>
      </c>
      <c r="S11" s="1572">
        <f t="shared" si="0"/>
        <v>100</v>
      </c>
      <c r="T11" s="1571" t="s">
        <v>8</v>
      </c>
      <c r="U11" s="1572">
        <f t="shared" si="1"/>
        <v>100</v>
      </c>
      <c r="V11" s="1571" t="s">
        <v>8</v>
      </c>
      <c r="W11" s="1572">
        <f t="shared" si="2"/>
        <v>100</v>
      </c>
      <c r="X11" s="1573"/>
      <c r="Y11" s="3337"/>
      <c r="Z11" s="1153">
        <f t="shared" si="7"/>
        <v>0</v>
      </c>
      <c r="AA11" s="1574">
        <f t="shared" si="3"/>
        <v>1</v>
      </c>
      <c r="AB11" s="1574">
        <f t="shared" si="4"/>
        <v>1</v>
      </c>
      <c r="AC11" s="1574">
        <f t="shared" si="5"/>
        <v>1</v>
      </c>
    </row>
    <row r="12" spans="1:29" s="1223" customFormat="1" ht="15">
      <c r="A12" s="2946"/>
      <c r="B12" s="2952"/>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80"/>
      <c r="Q12" s="1154">
        <f t="shared" si="6"/>
        <v>0</v>
      </c>
      <c r="R12" s="1571" t="s">
        <v>8</v>
      </c>
      <c r="S12" s="1572">
        <f t="shared" si="0"/>
        <v>100</v>
      </c>
      <c r="T12" s="1571" t="s">
        <v>8</v>
      </c>
      <c r="U12" s="1572">
        <f t="shared" si="1"/>
        <v>100</v>
      </c>
      <c r="V12" s="1571" t="s">
        <v>8</v>
      </c>
      <c r="W12" s="1572">
        <f t="shared" si="2"/>
        <v>100</v>
      </c>
      <c r="X12" s="1573"/>
      <c r="Y12" s="3337"/>
      <c r="Z12" s="1153">
        <f t="shared" si="7"/>
        <v>0</v>
      </c>
      <c r="AA12" s="1574">
        <f>D12/F12</f>
        <v>1</v>
      </c>
      <c r="AB12" s="1574">
        <f>D12/H12</f>
        <v>1</v>
      </c>
      <c r="AC12" s="1574">
        <f>D12/J12</f>
        <v>1</v>
      </c>
    </row>
    <row r="13" spans="1:29" ht="15.75" thickBot="1">
      <c r="A13" s="2947"/>
      <c r="B13" s="2953"/>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80"/>
      <c r="Q13" s="1154">
        <f t="shared" si="6"/>
        <v>0</v>
      </c>
      <c r="R13" s="1571" t="s">
        <v>8</v>
      </c>
      <c r="S13" s="1572">
        <f t="shared" si="0"/>
        <v>100</v>
      </c>
      <c r="T13" s="1571" t="s">
        <v>8</v>
      </c>
      <c r="U13" s="1572">
        <f t="shared" si="1"/>
        <v>100</v>
      </c>
      <c r="V13" s="1571" t="s">
        <v>8</v>
      </c>
      <c r="W13" s="1572">
        <f t="shared" si="2"/>
        <v>100</v>
      </c>
      <c r="X13" s="1573"/>
      <c r="Y13" s="3337"/>
      <c r="Z13" s="1153">
        <f t="shared" si="7"/>
        <v>0</v>
      </c>
      <c r="AA13" s="1574">
        <f t="shared" si="3"/>
        <v>1</v>
      </c>
      <c r="AB13" s="1574">
        <f t="shared" si="4"/>
        <v>1</v>
      </c>
      <c r="AC13" s="1574">
        <f t="shared" si="5"/>
        <v>1</v>
      </c>
    </row>
    <row r="14" spans="1:29" ht="71.25">
      <c r="A14" s="2939" t="s">
        <v>2762</v>
      </c>
      <c r="B14" s="550" t="s">
        <v>544</v>
      </c>
      <c r="C14" s="924" t="str">
        <f>IF(B1="工业",估价对象房地状况!G4,估价对象房地状况!C6)</f>
        <v>估价对象周边有344、531路公交线路经过，综合评价交通便捷度一般</v>
      </c>
      <c r="D14" s="552">
        <v>100</v>
      </c>
      <c r="E14" s="3195" t="s">
        <v>3152</v>
      </c>
      <c r="F14" s="554">
        <f>SUMIF(63:63,E15,64:64)-SUMIF(63:63,C15,64:64)+100</f>
        <v>100</v>
      </c>
      <c r="G14" s="3195" t="s">
        <v>3170</v>
      </c>
      <c r="H14" s="552">
        <f>SUMIF(63:63,G15,64:64)-SUMIF(63:63,C15,64:64)+100</f>
        <v>101</v>
      </c>
      <c r="I14" s="553" t="s">
        <v>3050</v>
      </c>
      <c r="J14" s="552">
        <f>SUMIF(63:63,I15,64:64)-SUMIF(63:63,C15,64:64)+100</f>
        <v>100</v>
      </c>
      <c r="K14" s="901">
        <f>'不动产比较法-高层'!K17</f>
        <v>1</v>
      </c>
      <c r="L14" s="2146"/>
      <c r="M14" s="2138"/>
      <c r="N14" s="2138"/>
      <c r="O14" s="2145"/>
      <c r="P14" s="3382" t="s">
        <v>541</v>
      </c>
      <c r="Q14" s="1575" t="str">
        <f t="shared" si="6"/>
        <v>交通便捷度</v>
      </c>
      <c r="R14" s="1576" t="s">
        <v>8</v>
      </c>
      <c r="S14" s="1577">
        <f t="shared" si="0"/>
        <v>100</v>
      </c>
      <c r="T14" s="1576" t="s">
        <v>8</v>
      </c>
      <c r="U14" s="1577">
        <f t="shared" si="1"/>
        <v>101</v>
      </c>
      <c r="V14" s="1576" t="s">
        <v>8</v>
      </c>
      <c r="W14" s="1577">
        <f t="shared" si="2"/>
        <v>100</v>
      </c>
      <c r="X14" s="1570"/>
      <c r="Y14" s="3382" t="s">
        <v>541</v>
      </c>
      <c r="Z14" s="1578" t="str">
        <f t="shared" si="7"/>
        <v>交通便捷度</v>
      </c>
      <c r="AA14" s="1579">
        <f t="shared" si="3"/>
        <v>1</v>
      </c>
      <c r="AB14" s="1579">
        <f t="shared" si="4"/>
        <v>0.99009900990099009</v>
      </c>
      <c r="AC14" s="1579">
        <f t="shared" si="5"/>
        <v>1</v>
      </c>
    </row>
    <row r="15" spans="1:29" ht="15">
      <c r="A15" s="518"/>
      <c r="B15" s="927"/>
      <c r="C15" s="579" t="s">
        <v>3099</v>
      </c>
      <c r="D15" s="558"/>
      <c r="E15" s="579" t="s">
        <v>3099</v>
      </c>
      <c r="F15" s="560"/>
      <c r="G15" s="579" t="s">
        <v>3090</v>
      </c>
      <c r="H15" s="562"/>
      <c r="I15" s="579" t="s">
        <v>3099</v>
      </c>
      <c r="J15" s="558"/>
      <c r="K15" s="902"/>
      <c r="L15" s="2146"/>
      <c r="M15" s="2138"/>
      <c r="N15" s="2138"/>
      <c r="O15" s="2145"/>
      <c r="P15" s="3383"/>
      <c r="Q15" s="1575"/>
      <c r="R15" s="1576"/>
      <c r="S15" s="1577"/>
      <c r="T15" s="1576"/>
      <c r="U15" s="1577"/>
      <c r="V15" s="1576"/>
      <c r="W15" s="1577"/>
      <c r="X15" s="1570"/>
      <c r="Y15" s="3383"/>
      <c r="Z15" s="1578"/>
      <c r="AA15" s="1579">
        <v>1</v>
      </c>
      <c r="AB15" s="1579">
        <v>1</v>
      </c>
      <c r="AC15" s="1579">
        <v>1</v>
      </c>
    </row>
    <row r="16" spans="1:29" ht="54">
      <c r="A16" s="518"/>
      <c r="B16" s="2631" t="s">
        <v>2552</v>
      </c>
      <c r="C16" s="875" t="str">
        <f>IF(B1="工业",估价对象房地状况!G5,估价对象房地状况!C7)</f>
        <v>估价对象所在区域公共配套设施齐备度一般</v>
      </c>
      <c r="D16" s="568">
        <v>100</v>
      </c>
      <c r="E16" s="3181" t="s">
        <v>3053</v>
      </c>
      <c r="F16" s="574">
        <f>SUMIF(65:65,E17,66:66)-SUMIF(65:65,C17,66:66)+100</f>
        <v>100</v>
      </c>
      <c r="G16" s="3181" t="s">
        <v>3169</v>
      </c>
      <c r="H16" s="568">
        <f>SUMIF(65:65,G17,66:66)-SUMIF(65:65,C17,66:66)+100</f>
        <v>101</v>
      </c>
      <c r="I16" s="573" t="s">
        <v>3052</v>
      </c>
      <c r="J16" s="568">
        <f>SUMIF(65:65,I17,66:66)-SUMIF(65:65,C17,66:66)+100</f>
        <v>100</v>
      </c>
      <c r="K16" s="901">
        <f>'不动产比较法-高层'!K19</f>
        <v>1</v>
      </c>
      <c r="L16" s="2146"/>
      <c r="M16" s="2138"/>
      <c r="N16" s="2138"/>
      <c r="O16" s="2145"/>
      <c r="P16" s="3383"/>
      <c r="Q16" s="1575" t="str">
        <f>B16</f>
        <v>公共配套设施</v>
      </c>
      <c r="R16" s="1576" t="s">
        <v>8</v>
      </c>
      <c r="S16" s="1577">
        <f>F16</f>
        <v>100</v>
      </c>
      <c r="T16" s="1576" t="s">
        <v>8</v>
      </c>
      <c r="U16" s="1577">
        <f>H16</f>
        <v>101</v>
      </c>
      <c r="V16" s="1576" t="s">
        <v>8</v>
      </c>
      <c r="W16" s="1577">
        <f>J16</f>
        <v>100</v>
      </c>
      <c r="X16" s="1570"/>
      <c r="Y16" s="3383"/>
      <c r="Z16" s="1578" t="str">
        <f>Q16</f>
        <v>公共配套设施</v>
      </c>
      <c r="AA16" s="1579">
        <f t="shared" si="3"/>
        <v>1</v>
      </c>
      <c r="AB16" s="1579">
        <f t="shared" si="4"/>
        <v>0.99009900990099009</v>
      </c>
      <c r="AC16" s="1579">
        <f t="shared" si="5"/>
        <v>1</v>
      </c>
    </row>
    <row r="17" spans="1:29" ht="15">
      <c r="A17" s="518"/>
      <c r="B17" s="569"/>
      <c r="C17" s="876" t="s">
        <v>3099</v>
      </c>
      <c r="D17" s="558"/>
      <c r="E17" s="579" t="s">
        <v>3099</v>
      </c>
      <c r="F17" s="560"/>
      <c r="G17" s="579" t="s">
        <v>3090</v>
      </c>
      <c r="H17" s="558"/>
      <c r="I17" s="579" t="s">
        <v>3099</v>
      </c>
      <c r="J17" s="558"/>
      <c r="K17" s="902"/>
      <c r="L17" s="2146"/>
      <c r="M17" s="2138"/>
      <c r="N17" s="2138"/>
      <c r="O17" s="2145"/>
      <c r="P17" s="3383"/>
      <c r="Q17" s="1575"/>
      <c r="R17" s="1576"/>
      <c r="S17" s="1577"/>
      <c r="T17" s="1576"/>
      <c r="U17" s="1577"/>
      <c r="V17" s="1576"/>
      <c r="W17" s="1577"/>
      <c r="X17" s="1570"/>
      <c r="Y17" s="3383"/>
      <c r="Z17" s="1578"/>
      <c r="AA17" s="1579">
        <v>1</v>
      </c>
      <c r="AB17" s="1579">
        <v>1</v>
      </c>
      <c r="AC17" s="1579">
        <v>1</v>
      </c>
    </row>
    <row r="18" spans="1:29" ht="42.75">
      <c r="A18" s="518"/>
      <c r="B18" s="2619" t="s">
        <v>2564</v>
      </c>
      <c r="C18" s="875" t="str">
        <f>IF(B1="工业",估价对象房地状况!G6,估价对象房地状况!C8)</f>
        <v>估价对象所在区域基础设施水平达七通</v>
      </c>
      <c r="D18" s="562">
        <v>100</v>
      </c>
      <c r="E18" s="3192"/>
      <c r="F18" s="574">
        <f>SUMIF(67:67,E19,68:68)-SUMIF(67:67,C19,68:68)+100</f>
        <v>100</v>
      </c>
      <c r="G18" s="575"/>
      <c r="H18" s="568">
        <f>SUMIF(67:67,G19,68:68)-SUMIF(67:67,C19,68:68)+100</f>
        <v>100</v>
      </c>
      <c r="I18" s="573" t="s">
        <v>3054</v>
      </c>
      <c r="J18" s="568">
        <f>SUMIF(67:67,I19,68:68)-SUMIF(67:67,C19,68:68)+100</f>
        <v>100</v>
      </c>
      <c r="K18" s="901">
        <f>'不动产比较法-高层'!K21</f>
        <v>1</v>
      </c>
      <c r="L18" s="2146"/>
      <c r="M18" s="2138"/>
      <c r="N18" s="2138"/>
      <c r="O18" s="2145"/>
      <c r="P18" s="3383"/>
      <c r="Q18" s="2607" t="str">
        <f>B18</f>
        <v>基础设施水平</v>
      </c>
      <c r="R18" s="1576" t="s">
        <v>8</v>
      </c>
      <c r="S18" s="1577">
        <f>F18</f>
        <v>100</v>
      </c>
      <c r="T18" s="1576" t="s">
        <v>8</v>
      </c>
      <c r="U18" s="1577">
        <f>H18</f>
        <v>100</v>
      </c>
      <c r="V18" s="1576" t="s">
        <v>8</v>
      </c>
      <c r="W18" s="1577">
        <f>J18</f>
        <v>100</v>
      </c>
      <c r="X18" s="2609"/>
      <c r="Y18" s="3383"/>
      <c r="Z18" s="2608" t="str">
        <f>Q18</f>
        <v>基础设施水平</v>
      </c>
      <c r="AA18" s="1579">
        <f t="shared" ref="AA18" si="8">D18/F18</f>
        <v>1</v>
      </c>
      <c r="AB18" s="1579">
        <f t="shared" ref="AB18" si="9">D18/H18</f>
        <v>1</v>
      </c>
      <c r="AC18" s="1579">
        <f t="shared" ref="AC18" si="10">D18/J18</f>
        <v>1</v>
      </c>
    </row>
    <row r="19" spans="1:29" ht="15">
      <c r="A19" s="518"/>
      <c r="B19" s="581"/>
      <c r="C19" s="876" t="s">
        <v>3082</v>
      </c>
      <c r="D19" s="562"/>
      <c r="E19" s="876" t="s">
        <v>3082</v>
      </c>
      <c r="F19" s="560"/>
      <c r="G19" s="876" t="s">
        <v>3082</v>
      </c>
      <c r="H19" s="558"/>
      <c r="I19" s="579" t="s">
        <v>3082</v>
      </c>
      <c r="J19" s="558"/>
      <c r="K19" s="2630"/>
      <c r="L19" s="2146"/>
      <c r="M19" s="2138"/>
      <c r="N19" s="2138"/>
      <c r="O19" s="2145"/>
      <c r="P19" s="3383"/>
      <c r="Q19" s="2607"/>
      <c r="R19" s="1576"/>
      <c r="S19" s="1577"/>
      <c r="T19" s="1576"/>
      <c r="U19" s="1577"/>
      <c r="V19" s="1576"/>
      <c r="W19" s="1577"/>
      <c r="X19" s="2609"/>
      <c r="Y19" s="3383"/>
      <c r="Z19" s="2608"/>
      <c r="AA19" s="1579">
        <v>1</v>
      </c>
      <c r="AB19" s="1579">
        <v>1</v>
      </c>
      <c r="AC19" s="1579">
        <v>1</v>
      </c>
    </row>
    <row r="20" spans="1:29" ht="57">
      <c r="A20" s="518"/>
      <c r="B20" s="563" t="s">
        <v>804</v>
      </c>
      <c r="C20" s="875" t="str">
        <f>IF(B1="工业",估价对象房地状况!G7,估价对象房地状况!C9)</f>
        <v>周边有京城体育休闲公园；综合评价环境状况一般</v>
      </c>
      <c r="D20" s="568">
        <v>100</v>
      </c>
      <c r="E20" s="3195" t="s">
        <v>3151</v>
      </c>
      <c r="F20" s="566">
        <f>SUMIF(69:69,E21,70:70)-SUMIF(69:69,C21,70:70)+100</f>
        <v>100</v>
      </c>
      <c r="G20" s="3195" t="s">
        <v>3168</v>
      </c>
      <c r="H20" s="562">
        <f>SUMIF(69:69,G21,70:70)-SUMIF(69:69,C21,70:70)+100</f>
        <v>100</v>
      </c>
      <c r="I20" s="565" t="s">
        <v>3056</v>
      </c>
      <c r="J20" s="562">
        <f>SUMIF(69:69,I21,70:70)-SUMIF(69:69,C21,70:70)+100</f>
        <v>100</v>
      </c>
      <c r="K20" s="901">
        <f>'不动产比较法-高层'!K23</f>
        <v>1</v>
      </c>
      <c r="L20" s="2146"/>
      <c r="M20" s="2138"/>
      <c r="N20" s="2138"/>
      <c r="O20" s="2145"/>
      <c r="P20" s="3383"/>
      <c r="Q20" s="1575" t="str">
        <f>B20</f>
        <v>自然及人文环境</v>
      </c>
      <c r="R20" s="1576" t="s">
        <v>8</v>
      </c>
      <c r="S20" s="1577">
        <f>F20</f>
        <v>100</v>
      </c>
      <c r="T20" s="1576" t="s">
        <v>8</v>
      </c>
      <c r="U20" s="1577">
        <f>H20</f>
        <v>100</v>
      </c>
      <c r="V20" s="1576" t="s">
        <v>8</v>
      </c>
      <c r="W20" s="1577">
        <f>J20</f>
        <v>100</v>
      </c>
      <c r="X20" s="1570"/>
      <c r="Y20" s="3383"/>
      <c r="Z20" s="1578" t="str">
        <f>Q20</f>
        <v>自然及人文环境</v>
      </c>
      <c r="AA20" s="1579">
        <f t="shared" si="3"/>
        <v>1</v>
      </c>
      <c r="AB20" s="1579">
        <f t="shared" si="4"/>
        <v>1</v>
      </c>
      <c r="AC20" s="1579">
        <f t="shared" si="5"/>
        <v>1</v>
      </c>
    </row>
    <row r="21" spans="1:29" ht="15">
      <c r="A21" s="518"/>
      <c r="B21" s="569"/>
      <c r="C21" s="579" t="s">
        <v>3099</v>
      </c>
      <c r="D21" s="558"/>
      <c r="E21" s="579" t="s">
        <v>3099</v>
      </c>
      <c r="F21" s="560"/>
      <c r="G21" s="579" t="s">
        <v>3099</v>
      </c>
      <c r="H21" s="558"/>
      <c r="I21" s="579" t="s">
        <v>3099</v>
      </c>
      <c r="J21" s="558"/>
      <c r="K21" s="902"/>
      <c r="L21" s="2146"/>
      <c r="M21" s="2138"/>
      <c r="N21" s="2138"/>
      <c r="O21" s="2145"/>
      <c r="P21" s="3383"/>
      <c r="Q21" s="1575"/>
      <c r="R21" s="1576"/>
      <c r="S21" s="1577"/>
      <c r="T21" s="1576"/>
      <c r="U21" s="1577"/>
      <c r="V21" s="1576"/>
      <c r="W21" s="1577"/>
      <c r="X21" s="1570"/>
      <c r="Y21" s="3383"/>
      <c r="Z21" s="1578"/>
      <c r="AA21" s="1579">
        <v>1</v>
      </c>
      <c r="AB21" s="1579">
        <v>1</v>
      </c>
      <c r="AC21" s="1579">
        <v>1</v>
      </c>
    </row>
    <row r="22" spans="1:29" ht="15">
      <c r="A22" s="518"/>
      <c r="B22" s="563" t="s">
        <v>805</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83"/>
      <c r="Q22" s="1575" t="str">
        <f>B22</f>
        <v>楼层</v>
      </c>
      <c r="R22" s="1576" t="s">
        <v>8</v>
      </c>
      <c r="S22" s="1577">
        <f>F22</f>
        <v>100</v>
      </c>
      <c r="T22" s="1576" t="s">
        <v>8</v>
      </c>
      <c r="U22" s="1577">
        <f>H22</f>
        <v>100</v>
      </c>
      <c r="V22" s="1576" t="s">
        <v>8</v>
      </c>
      <c r="W22" s="1577">
        <f>J22</f>
        <v>100</v>
      </c>
      <c r="X22" s="1570"/>
      <c r="Y22" s="3383"/>
      <c r="Z22" s="1578" t="str">
        <f>Q22</f>
        <v>楼层</v>
      </c>
      <c r="AA22" s="1579">
        <f t="shared" si="3"/>
        <v>1</v>
      </c>
      <c r="AB22" s="1579">
        <f t="shared" si="4"/>
        <v>1</v>
      </c>
      <c r="AC22" s="1579">
        <f t="shared" si="5"/>
        <v>1</v>
      </c>
    </row>
    <row r="23" spans="1:29" ht="15">
      <c r="A23" s="518"/>
      <c r="B23" s="928"/>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83"/>
      <c r="Q23" s="1575">
        <f>B23</f>
        <v>0</v>
      </c>
      <c r="R23" s="1576" t="s">
        <v>8</v>
      </c>
      <c r="S23" s="1577">
        <f>F23</f>
        <v>100</v>
      </c>
      <c r="T23" s="1576" t="s">
        <v>8</v>
      </c>
      <c r="U23" s="1577">
        <f>H23</f>
        <v>100</v>
      </c>
      <c r="V23" s="1576" t="s">
        <v>8</v>
      </c>
      <c r="W23" s="1577">
        <f>J23</f>
        <v>100</v>
      </c>
      <c r="X23" s="1570"/>
      <c r="Y23" s="3383"/>
      <c r="Z23" s="1578">
        <f>Q23</f>
        <v>0</v>
      </c>
      <c r="AA23" s="1579">
        <f t="shared" si="3"/>
        <v>1</v>
      </c>
      <c r="AB23" s="1579">
        <f t="shared" si="4"/>
        <v>1</v>
      </c>
      <c r="AC23" s="1579">
        <f t="shared" si="5"/>
        <v>1</v>
      </c>
    </row>
    <row r="24" spans="1:29" ht="15">
      <c r="A24" s="518"/>
      <c r="B24" s="928"/>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83"/>
      <c r="Q24" s="1575">
        <f t="shared" ref="Q24:Q36" si="11">B24</f>
        <v>0</v>
      </c>
      <c r="R24" s="1576" t="s">
        <v>8</v>
      </c>
      <c r="S24" s="1577">
        <f>F24</f>
        <v>100</v>
      </c>
      <c r="T24" s="1576" t="s">
        <v>8</v>
      </c>
      <c r="U24" s="1577">
        <f>H24</f>
        <v>100</v>
      </c>
      <c r="V24" s="1576" t="s">
        <v>8</v>
      </c>
      <c r="W24" s="1577">
        <f>J24</f>
        <v>100</v>
      </c>
      <c r="X24" s="1570"/>
      <c r="Y24" s="3383"/>
      <c r="Z24" s="1578">
        <f>Q24</f>
        <v>0</v>
      </c>
      <c r="AA24" s="1579">
        <f t="shared" si="3"/>
        <v>1</v>
      </c>
      <c r="AB24" s="1579">
        <f t="shared" si="4"/>
        <v>1</v>
      </c>
      <c r="AC24" s="1579">
        <f t="shared" si="5"/>
        <v>1</v>
      </c>
    </row>
    <row r="25" spans="1:29" s="1223" customFormat="1" ht="15.75" thickBot="1">
      <c r="A25" s="580"/>
      <c r="B25" s="917"/>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83"/>
      <c r="Q25" s="1154">
        <f t="shared" si="11"/>
        <v>0</v>
      </c>
      <c r="R25" s="1571" t="s">
        <v>8</v>
      </c>
      <c r="S25" s="1572">
        <f>F25</f>
        <v>100</v>
      </c>
      <c r="T25" s="1571" t="s">
        <v>8</v>
      </c>
      <c r="U25" s="1572">
        <f>H25</f>
        <v>100</v>
      </c>
      <c r="V25" s="1571" t="s">
        <v>8</v>
      </c>
      <c r="W25" s="1572">
        <f>J25</f>
        <v>100</v>
      </c>
      <c r="X25" s="1573"/>
      <c r="Y25" s="3383"/>
      <c r="Z25" s="1153">
        <f>Q25</f>
        <v>0</v>
      </c>
      <c r="AA25" s="1579">
        <f>D25/F25</f>
        <v>1</v>
      </c>
      <c r="AB25" s="1579">
        <f>D25/H25</f>
        <v>1</v>
      </c>
      <c r="AC25" s="1579">
        <f>D25/J25</f>
        <v>1</v>
      </c>
    </row>
    <row r="26" spans="1:29" ht="15">
      <c r="A26" s="2937" t="s">
        <v>2763</v>
      </c>
      <c r="B26" s="170" t="s">
        <v>806</v>
      </c>
      <c r="C26" s="931" t="str">
        <f>B1</f>
        <v>住宅</v>
      </c>
      <c r="D26" s="558">
        <v>100</v>
      </c>
      <c r="E26" s="579" t="s">
        <v>923</v>
      </c>
      <c r="F26" s="560">
        <f>SUMIF(79:79,E26,80:80)-SUMIF(79:79,C26,80:80)+100</f>
        <v>100</v>
      </c>
      <c r="G26" s="579" t="s">
        <v>1678</v>
      </c>
      <c r="H26" s="558">
        <f>SUMIF(79:79,G26,80:80)-SUMIF(79:79,C26,80:80)+100</f>
        <v>102</v>
      </c>
      <c r="I26" s="579" t="s">
        <v>923</v>
      </c>
      <c r="J26" s="558">
        <f>SUMIF(79:79,I26,80:80)-SUMIF(79:79,C26,80:80)+100</f>
        <v>100</v>
      </c>
      <c r="K26" s="587">
        <v>-2</v>
      </c>
      <c r="L26" s="2146"/>
      <c r="M26" s="2138"/>
      <c r="N26" s="2138"/>
      <c r="O26" s="2145"/>
      <c r="P26" s="3384" t="s">
        <v>551</v>
      </c>
      <c r="Q26" s="1575" t="str">
        <f t="shared" si="11"/>
        <v>配套类型</v>
      </c>
      <c r="R26" s="1576" t="s">
        <v>8</v>
      </c>
      <c r="S26" s="1577">
        <f t="shared" ref="S26:S36" si="12">F26</f>
        <v>100</v>
      </c>
      <c r="T26" s="1576" t="s">
        <v>8</v>
      </c>
      <c r="U26" s="1577">
        <f t="shared" ref="U26:U36" si="13">H26</f>
        <v>102</v>
      </c>
      <c r="V26" s="1576" t="s">
        <v>8</v>
      </c>
      <c r="W26" s="1577">
        <f t="shared" ref="W26:W36" si="14">J26</f>
        <v>100</v>
      </c>
      <c r="X26" s="1570"/>
      <c r="Y26" s="3385" t="s">
        <v>551</v>
      </c>
      <c r="Z26" s="1578" t="str">
        <f t="shared" ref="Z26:Z36" si="15">Q26</f>
        <v>配套类型</v>
      </c>
      <c r="AA26" s="1579">
        <f t="shared" si="3"/>
        <v>1</v>
      </c>
      <c r="AB26" s="1579">
        <f t="shared" si="4"/>
        <v>0.98039215686274506</v>
      </c>
      <c r="AC26" s="1579">
        <f t="shared" si="5"/>
        <v>1</v>
      </c>
    </row>
    <row r="27" spans="1:29" s="1342" customFormat="1" ht="15">
      <c r="A27" s="932"/>
      <c r="B27" s="585" t="s">
        <v>807</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85"/>
      <c r="Q27" s="1608" t="str">
        <f t="shared" si="11"/>
        <v>项目停车位配比</v>
      </c>
      <c r="R27" s="1580" t="s">
        <v>8</v>
      </c>
      <c r="S27" s="1581">
        <f t="shared" si="12"/>
        <v>100</v>
      </c>
      <c r="T27" s="1580" t="s">
        <v>8</v>
      </c>
      <c r="U27" s="1581">
        <f t="shared" si="13"/>
        <v>100</v>
      </c>
      <c r="V27" s="1580" t="s">
        <v>8</v>
      </c>
      <c r="W27" s="1581">
        <f t="shared" si="14"/>
        <v>100</v>
      </c>
      <c r="X27" s="1582"/>
      <c r="Y27" s="3385"/>
      <c r="Z27" s="1583" t="str">
        <f t="shared" si="15"/>
        <v>项目停车位配比</v>
      </c>
      <c r="AA27" s="1579">
        <f t="shared" si="3"/>
        <v>1</v>
      </c>
      <c r="AB27" s="1579">
        <f t="shared" si="4"/>
        <v>1</v>
      </c>
      <c r="AC27" s="1579">
        <f t="shared" si="5"/>
        <v>1</v>
      </c>
    </row>
    <row r="28" spans="1:29" ht="15">
      <c r="A28" s="934"/>
      <c r="B28" s="585" t="s">
        <v>808</v>
      </c>
      <c r="C28" s="577" t="s">
        <v>3161</v>
      </c>
      <c r="D28" s="543">
        <v>100</v>
      </c>
      <c r="E28" s="577" t="s">
        <v>3161</v>
      </c>
      <c r="F28" s="578">
        <f>SUMIF(83:83,E28,84:84)-SUMIF(83:83,C28,84:84)+100</f>
        <v>100</v>
      </c>
      <c r="G28" s="577" t="s">
        <v>3161</v>
      </c>
      <c r="H28" s="543">
        <f>SUMIF(83:83,G28,84:84)-SUMIF(83:83,C28,84:84)+100</f>
        <v>100</v>
      </c>
      <c r="I28" s="577" t="s">
        <v>3161</v>
      </c>
      <c r="J28" s="543">
        <f>SUMIF(83:83,I28,84:84)-SUMIF(83:83,C28,84:84)+100</f>
        <v>100</v>
      </c>
      <c r="K28" s="587">
        <f>'不动产比较法-高层'!K36</f>
        <v>2</v>
      </c>
      <c r="L28" s="2146"/>
      <c r="M28" s="2138"/>
      <c r="N28" s="2138"/>
      <c r="O28" s="2145"/>
      <c r="P28" s="3385"/>
      <c r="Q28" s="1575" t="str">
        <f t="shared" si="11"/>
        <v>公共部分装修</v>
      </c>
      <c r="R28" s="1576" t="s">
        <v>8</v>
      </c>
      <c r="S28" s="1577">
        <f t="shared" si="12"/>
        <v>100</v>
      </c>
      <c r="T28" s="1576" t="s">
        <v>8</v>
      </c>
      <c r="U28" s="1577">
        <f t="shared" si="13"/>
        <v>100</v>
      </c>
      <c r="V28" s="1576" t="s">
        <v>8</v>
      </c>
      <c r="W28" s="1577">
        <f t="shared" si="14"/>
        <v>100</v>
      </c>
      <c r="X28" s="1570"/>
      <c r="Y28" s="3385"/>
      <c r="Z28" s="1578" t="str">
        <f t="shared" si="15"/>
        <v>公共部分装修</v>
      </c>
      <c r="AA28" s="1579">
        <f t="shared" si="3"/>
        <v>1</v>
      </c>
      <c r="AB28" s="1579">
        <f t="shared" si="4"/>
        <v>1</v>
      </c>
      <c r="AC28" s="1579">
        <f t="shared" si="5"/>
        <v>1</v>
      </c>
    </row>
    <row r="29" spans="1:29" ht="15">
      <c r="A29" s="934"/>
      <c r="B29" s="585" t="s">
        <v>809</v>
      </c>
      <c r="C29" s="886">
        <v>1</v>
      </c>
      <c r="D29" s="543">
        <v>100</v>
      </c>
      <c r="E29" s="886">
        <v>1</v>
      </c>
      <c r="F29" s="578">
        <f>LOOKUP(E29,86:86,87:87)-LOOKUP(C29,86:86,87:87)+100</f>
        <v>100</v>
      </c>
      <c r="G29" s="887">
        <f>ROUND(1-(2017-2014)/60,2)</f>
        <v>0.95</v>
      </c>
      <c r="H29" s="578">
        <f>LOOKUP(G29,86:86,87:87)-LOOKUP(C29,86:86,87:87)+100</f>
        <v>100</v>
      </c>
      <c r="I29" s="887">
        <f>ROUND(1-(2017-2005)/60,2)</f>
        <v>0.8</v>
      </c>
      <c r="J29" s="543">
        <f>LOOKUP(I29,86:86,87:87)-LOOKUP(C29,86:86,87:87)+100</f>
        <v>96</v>
      </c>
      <c r="K29" s="587">
        <f>'不动产比较法-高层'!K37</f>
        <v>4</v>
      </c>
      <c r="L29" s="2146"/>
      <c r="M29" s="2138"/>
      <c r="N29" s="2138"/>
      <c r="O29" s="2145"/>
      <c r="P29" s="3385"/>
      <c r="Q29" s="1575" t="str">
        <f t="shared" si="11"/>
        <v>成新率</v>
      </c>
      <c r="R29" s="1576" t="s">
        <v>8</v>
      </c>
      <c r="S29" s="1577">
        <f t="shared" si="12"/>
        <v>100</v>
      </c>
      <c r="T29" s="1576" t="s">
        <v>8</v>
      </c>
      <c r="U29" s="1577">
        <f t="shared" si="13"/>
        <v>100</v>
      </c>
      <c r="V29" s="1576" t="s">
        <v>8</v>
      </c>
      <c r="W29" s="1577">
        <f t="shared" si="14"/>
        <v>96</v>
      </c>
      <c r="X29" s="1570"/>
      <c r="Y29" s="3385"/>
      <c r="Z29" s="1578" t="str">
        <f t="shared" si="15"/>
        <v>成新率</v>
      </c>
      <c r="AA29" s="1579">
        <f t="shared" si="3"/>
        <v>1</v>
      </c>
      <c r="AB29" s="1579">
        <f t="shared" si="4"/>
        <v>1</v>
      </c>
      <c r="AC29" s="1579">
        <f t="shared" si="5"/>
        <v>1.0416666666666667</v>
      </c>
    </row>
    <row r="30" spans="1:29" ht="15">
      <c r="A30" s="934"/>
      <c r="B30" s="585" t="s">
        <v>810</v>
      </c>
      <c r="C30" s="935" t="s">
        <v>3131</v>
      </c>
      <c r="D30" s="543">
        <v>100</v>
      </c>
      <c r="E30" s="935" t="s">
        <v>3131</v>
      </c>
      <c r="F30" s="578">
        <f>SUMIF(88:88,E30,89:89)-SUMIF(88:88,C30,89:89)+100</f>
        <v>100</v>
      </c>
      <c r="G30" s="935" t="s">
        <v>3131</v>
      </c>
      <c r="H30" s="543">
        <f>SUMIF(88:88,E30,89:89)-SUMIF(88:88,C30,89:89)+100</f>
        <v>100</v>
      </c>
      <c r="I30" s="935" t="s">
        <v>3131</v>
      </c>
      <c r="J30" s="543">
        <f>SUMIF(88:88,E30,89:89)-SUMIF(88:88,C30,89:89)+100</f>
        <v>100</v>
      </c>
      <c r="K30" s="587">
        <f>'不动产比较法-高层'!K38</f>
        <v>1</v>
      </c>
      <c r="L30" s="2146"/>
      <c r="M30" s="2138"/>
      <c r="N30" s="2138"/>
      <c r="O30" s="2145"/>
      <c r="P30" s="3385"/>
      <c r="Q30" s="1575" t="str">
        <f t="shared" si="11"/>
        <v>物业等级</v>
      </c>
      <c r="R30" s="1576" t="s">
        <v>8</v>
      </c>
      <c r="S30" s="1577">
        <f t="shared" si="12"/>
        <v>100</v>
      </c>
      <c r="T30" s="1576" t="s">
        <v>8</v>
      </c>
      <c r="U30" s="1577">
        <f t="shared" si="13"/>
        <v>100</v>
      </c>
      <c r="V30" s="1576" t="s">
        <v>8</v>
      </c>
      <c r="W30" s="1577">
        <f t="shared" si="14"/>
        <v>100</v>
      </c>
      <c r="X30" s="1570"/>
      <c r="Y30" s="3385"/>
      <c r="Z30" s="1578" t="str">
        <f t="shared" si="15"/>
        <v>物业等级</v>
      </c>
      <c r="AA30" s="1579">
        <f t="shared" si="3"/>
        <v>1</v>
      </c>
      <c r="AB30" s="1579">
        <f t="shared" si="4"/>
        <v>1</v>
      </c>
      <c r="AC30" s="1579">
        <f t="shared" si="5"/>
        <v>1</v>
      </c>
    </row>
    <row r="31" spans="1:29" s="1223" customFormat="1" ht="15">
      <c r="A31" s="936"/>
      <c r="B31" s="585" t="s">
        <v>811</v>
      </c>
      <c r="C31" s="883">
        <v>35</v>
      </c>
      <c r="D31" s="255">
        <v>100</v>
      </c>
      <c r="E31" s="883">
        <v>44</v>
      </c>
      <c r="F31" s="578">
        <f>LOOKUP(E31,91:91,92:92)-LOOKUP(C31,91:91,92:92)+100</f>
        <v>100</v>
      </c>
      <c r="G31" s="883">
        <v>35</v>
      </c>
      <c r="H31" s="543">
        <f>LOOKUP(G31,91:91,92:92)-LOOKUP(C31,91:91,92:92)+100</f>
        <v>100</v>
      </c>
      <c r="I31" s="883">
        <v>31.6</v>
      </c>
      <c r="J31" s="543">
        <f>LOOKUP(I31,91:91,92:92)-LOOKUP(C31,91:91,92:92)+100</f>
        <v>100</v>
      </c>
      <c r="K31" s="587">
        <v>1</v>
      </c>
      <c r="L31" s="2139"/>
      <c r="M31" s="2140"/>
      <c r="N31" s="2140"/>
      <c r="O31" s="2141"/>
      <c r="P31" s="3385"/>
      <c r="Q31" s="1154" t="str">
        <f t="shared" si="11"/>
        <v>停车位面积</v>
      </c>
      <c r="R31" s="1571" t="s">
        <v>8</v>
      </c>
      <c r="S31" s="1572">
        <f t="shared" si="12"/>
        <v>100</v>
      </c>
      <c r="T31" s="1571" t="s">
        <v>8</v>
      </c>
      <c r="U31" s="1572">
        <f t="shared" si="13"/>
        <v>100</v>
      </c>
      <c r="V31" s="1571" t="s">
        <v>8</v>
      </c>
      <c r="W31" s="1572">
        <f t="shared" si="14"/>
        <v>100</v>
      </c>
      <c r="X31" s="1573"/>
      <c r="Y31" s="3385"/>
      <c r="Z31" s="1153" t="str">
        <f t="shared" si="15"/>
        <v>停车位面积</v>
      </c>
      <c r="AA31" s="1574">
        <f t="shared" si="3"/>
        <v>1</v>
      </c>
      <c r="AB31" s="1574">
        <f t="shared" si="4"/>
        <v>1</v>
      </c>
      <c r="AC31" s="1574">
        <f t="shared" si="5"/>
        <v>1</v>
      </c>
    </row>
    <row r="32" spans="1:29" ht="15">
      <c r="A32" s="934"/>
      <c r="B32" s="585" t="s">
        <v>812</v>
      </c>
      <c r="C32" s="577" t="s">
        <v>3163</v>
      </c>
      <c r="D32" s="543">
        <v>100</v>
      </c>
      <c r="E32" s="577" t="s">
        <v>3163</v>
      </c>
      <c r="F32" s="578">
        <f>SUMIF(93:93,E32,94:94)-SUMIF(93:93,C32,94:94)+100</f>
        <v>100</v>
      </c>
      <c r="G32" s="577" t="s">
        <v>3163</v>
      </c>
      <c r="H32" s="543">
        <f>SUMIF(93:93,G32,94:94)-SUMIF(93:93,C32,94:94)+100</f>
        <v>100</v>
      </c>
      <c r="I32" s="577" t="s">
        <v>3163</v>
      </c>
      <c r="J32" s="543">
        <f>SUMIF(93:93,I32,94:94)-SUMIF(93:93,C32,94:94)+100</f>
        <v>100</v>
      </c>
      <c r="K32" s="587">
        <v>1</v>
      </c>
      <c r="L32" s="2146"/>
      <c r="M32" s="2138"/>
      <c r="N32" s="2138"/>
      <c r="O32" s="2145"/>
      <c r="P32" s="3385" t="s">
        <v>551</v>
      </c>
      <c r="Q32" s="1575" t="str">
        <f t="shared" si="11"/>
        <v>车位类型</v>
      </c>
      <c r="R32" s="1576" t="s">
        <v>8</v>
      </c>
      <c r="S32" s="1577">
        <f t="shared" si="12"/>
        <v>100</v>
      </c>
      <c r="T32" s="1576" t="s">
        <v>8</v>
      </c>
      <c r="U32" s="1577">
        <f t="shared" si="13"/>
        <v>100</v>
      </c>
      <c r="V32" s="1576" t="s">
        <v>8</v>
      </c>
      <c r="W32" s="1577">
        <f t="shared" si="14"/>
        <v>100</v>
      </c>
      <c r="X32" s="1570"/>
      <c r="Y32" s="3385" t="s">
        <v>551</v>
      </c>
      <c r="Z32" s="1578" t="str">
        <f t="shared" si="15"/>
        <v>车位类型</v>
      </c>
      <c r="AA32" s="1579">
        <f t="shared" si="3"/>
        <v>1</v>
      </c>
      <c r="AB32" s="1579">
        <f t="shared" si="4"/>
        <v>1</v>
      </c>
      <c r="AC32" s="1579">
        <f t="shared" si="5"/>
        <v>1</v>
      </c>
    </row>
    <row r="33" spans="1:29" ht="15">
      <c r="A33" s="934"/>
      <c r="B33" s="585" t="s">
        <v>813</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85"/>
      <c r="Q33" s="1575" t="str">
        <f t="shared" si="11"/>
        <v>是否直接入户</v>
      </c>
      <c r="R33" s="1576" t="s">
        <v>8</v>
      </c>
      <c r="S33" s="1577">
        <f t="shared" si="12"/>
        <v>100</v>
      </c>
      <c r="T33" s="1576" t="s">
        <v>8</v>
      </c>
      <c r="U33" s="1577">
        <f t="shared" si="13"/>
        <v>100</v>
      </c>
      <c r="V33" s="1576" t="s">
        <v>8</v>
      </c>
      <c r="W33" s="1577">
        <f t="shared" si="14"/>
        <v>100</v>
      </c>
      <c r="X33" s="1570"/>
      <c r="Y33" s="3385"/>
      <c r="Z33" s="1578" t="str">
        <f t="shared" si="15"/>
        <v>是否直接入户</v>
      </c>
      <c r="AA33" s="1579">
        <f t="shared" si="3"/>
        <v>1</v>
      </c>
      <c r="AB33" s="1579">
        <f t="shared" si="4"/>
        <v>1</v>
      </c>
      <c r="AC33" s="1579">
        <f t="shared" si="5"/>
        <v>1</v>
      </c>
    </row>
    <row r="34" spans="1:29" ht="15">
      <c r="A34" s="934"/>
      <c r="B34" s="928"/>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85"/>
      <c r="Q34" s="1575">
        <f t="shared" si="11"/>
        <v>0</v>
      </c>
      <c r="R34" s="1576" t="s">
        <v>8</v>
      </c>
      <c r="S34" s="1577">
        <f t="shared" si="12"/>
        <v>100</v>
      </c>
      <c r="T34" s="1576" t="s">
        <v>8</v>
      </c>
      <c r="U34" s="1577">
        <f t="shared" si="13"/>
        <v>100</v>
      </c>
      <c r="V34" s="1576" t="s">
        <v>8</v>
      </c>
      <c r="W34" s="1577">
        <f t="shared" si="14"/>
        <v>100</v>
      </c>
      <c r="X34" s="1570"/>
      <c r="Y34" s="3385"/>
      <c r="Z34" s="1578">
        <f t="shared" si="15"/>
        <v>0</v>
      </c>
      <c r="AA34" s="1579">
        <f t="shared" si="3"/>
        <v>1</v>
      </c>
      <c r="AB34" s="1579">
        <f t="shared" si="4"/>
        <v>1</v>
      </c>
      <c r="AC34" s="1579">
        <f t="shared" si="5"/>
        <v>1</v>
      </c>
    </row>
    <row r="35" spans="1:29" s="1342" customFormat="1" ht="15">
      <c r="A35" s="932"/>
      <c r="B35" s="928"/>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85"/>
      <c r="Q35" s="1608">
        <f t="shared" si="11"/>
        <v>0</v>
      </c>
      <c r="R35" s="1580" t="s">
        <v>8</v>
      </c>
      <c r="S35" s="1581">
        <f t="shared" si="12"/>
        <v>100</v>
      </c>
      <c r="T35" s="1580" t="s">
        <v>8</v>
      </c>
      <c r="U35" s="1581">
        <f t="shared" si="13"/>
        <v>100</v>
      </c>
      <c r="V35" s="1580" t="s">
        <v>8</v>
      </c>
      <c r="W35" s="1581">
        <f t="shared" si="14"/>
        <v>100</v>
      </c>
      <c r="X35" s="1582"/>
      <c r="Y35" s="3385"/>
      <c r="Z35" s="1583">
        <f t="shared" si="15"/>
        <v>0</v>
      </c>
      <c r="AA35" s="1579">
        <f t="shared" si="3"/>
        <v>1</v>
      </c>
      <c r="AB35" s="1579">
        <f t="shared" si="4"/>
        <v>1</v>
      </c>
      <c r="AC35" s="1579">
        <f t="shared" si="5"/>
        <v>1</v>
      </c>
    </row>
    <row r="36" spans="1:29" ht="15.75" thickBot="1">
      <c r="A36" s="937"/>
      <c r="B36" s="917"/>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85"/>
      <c r="Q36" s="1575">
        <f t="shared" si="11"/>
        <v>0</v>
      </c>
      <c r="R36" s="1576" t="s">
        <v>8</v>
      </c>
      <c r="S36" s="1577">
        <f t="shared" si="12"/>
        <v>100</v>
      </c>
      <c r="T36" s="1576" t="s">
        <v>8</v>
      </c>
      <c r="U36" s="1577">
        <f t="shared" si="13"/>
        <v>100</v>
      </c>
      <c r="V36" s="1576" t="s">
        <v>8</v>
      </c>
      <c r="W36" s="1577">
        <f t="shared" si="14"/>
        <v>100</v>
      </c>
      <c r="X36" s="1570"/>
      <c r="Y36" s="3385"/>
      <c r="Z36" s="1578">
        <f t="shared" si="15"/>
        <v>0</v>
      </c>
      <c r="AA36" s="1579">
        <f t="shared" si="3"/>
        <v>1</v>
      </c>
      <c r="AB36" s="1579">
        <f t="shared" si="4"/>
        <v>1</v>
      </c>
      <c r="AC36" s="1579">
        <f t="shared" si="5"/>
        <v>1</v>
      </c>
    </row>
    <row r="37" spans="1:29" ht="15">
      <c r="A37" s="1850" t="s">
        <v>2080</v>
      </c>
      <c r="B37" s="1851" t="s">
        <v>3159</v>
      </c>
      <c r="C37" s="2655" t="s">
        <v>1</v>
      </c>
      <c r="D37" s="2656"/>
      <c r="E37" s="2657">
        <v>250000</v>
      </c>
      <c r="F37" s="2658"/>
      <c r="G37" s="2659">
        <v>311050</v>
      </c>
      <c r="H37" s="2660"/>
      <c r="I37" s="2657">
        <v>243000</v>
      </c>
      <c r="J37" s="2660"/>
      <c r="K37" s="1614"/>
      <c r="L37" s="2148"/>
      <c r="M37" s="2149"/>
      <c r="N37" s="2138"/>
      <c r="O37" s="2149"/>
      <c r="P37" s="3380" t="str">
        <f>A37</f>
        <v>成交单价</v>
      </c>
      <c r="Q37" s="3380"/>
      <c r="R37" s="3441">
        <f>E37</f>
        <v>250000</v>
      </c>
      <c r="S37" s="3441"/>
      <c r="T37" s="3441">
        <f>G37</f>
        <v>311050</v>
      </c>
      <c r="U37" s="3441"/>
      <c r="V37" s="3441">
        <f>I37</f>
        <v>243000</v>
      </c>
      <c r="W37" s="3441"/>
      <c r="X37" s="1562"/>
      <c r="Y37" s="1584"/>
      <c r="Z37" s="1562"/>
      <c r="AA37" s="1562"/>
      <c r="AB37" s="1562"/>
      <c r="AC37" s="1562"/>
    </row>
    <row r="38" spans="1:29" ht="15.75" thickBot="1">
      <c r="A38" s="618" t="s">
        <v>2768</v>
      </c>
      <c r="B38" s="891"/>
      <c r="C38" s="2661">
        <f>R39</f>
        <v>265544</v>
      </c>
      <c r="D38" s="2662"/>
      <c r="E38" s="2663">
        <f>R38</f>
        <v>247525</v>
      </c>
      <c r="F38" s="2663"/>
      <c r="G38" s="2661">
        <f>T38</f>
        <v>295982</v>
      </c>
      <c r="H38" s="2662"/>
      <c r="I38" s="2663">
        <f>V38</f>
        <v>253125</v>
      </c>
      <c r="J38" s="2662"/>
      <c r="K38" s="1615"/>
      <c r="L38" s="2148"/>
      <c r="M38" s="2149"/>
      <c r="N38" s="2149"/>
      <c r="O38" s="2149"/>
      <c r="P38" s="3380" t="str">
        <f>A38</f>
        <v>比较价格（元/平方米）</v>
      </c>
      <c r="Q38" s="3380"/>
      <c r="R38" s="3441">
        <f>IF(F1="售价",ROUND(PRODUCT(R37,AA7:AA36),0),ROUND(PRODUCT(R37,AA7:AA36),1))</f>
        <v>247525</v>
      </c>
      <c r="S38" s="3441"/>
      <c r="T38" s="3441">
        <f>IF(F1="售价",ROUND(PRODUCT(T37,AB7:AB36),0),ROUND(PRODUCT(T37,AB7:AB36),1))</f>
        <v>295982</v>
      </c>
      <c r="U38" s="3441"/>
      <c r="V38" s="3441">
        <f>IF(F1="售价",ROUND(PRODUCT(V37,AC7:AC36),0),ROUND(PRODUCT(V37,AC7:AC36),1))</f>
        <v>253125</v>
      </c>
      <c r="W38" s="3441"/>
      <c r="X38" s="1562"/>
      <c r="Y38" s="1562"/>
      <c r="Z38" s="1562"/>
      <c r="AA38" s="1562"/>
      <c r="AB38" s="1562"/>
      <c r="AC38" s="1562"/>
    </row>
    <row r="39" spans="1:29" ht="15.75" thickBot="1">
      <c r="A39" s="624" t="s">
        <v>2939</v>
      </c>
      <c r="B39" s="625"/>
      <c r="C39" s="2664">
        <f>R39</f>
        <v>265544</v>
      </c>
      <c r="D39" s="2664"/>
      <c r="E39" s="2664"/>
      <c r="F39" s="2664"/>
      <c r="G39" s="2664"/>
      <c r="H39" s="2664"/>
      <c r="I39" s="2664"/>
      <c r="J39" s="2664"/>
      <c r="K39" s="1616"/>
      <c r="L39" s="2148"/>
      <c r="M39" s="2149"/>
      <c r="N39" s="2149"/>
      <c r="O39" s="2149"/>
      <c r="P39" s="3402" t="str">
        <f>A39</f>
        <v>估价对象XX用房的比较价格（楼面单价，元/平方米）</v>
      </c>
      <c r="Q39" s="3403"/>
      <c r="R39" s="3442">
        <f>IF(F1="售价",ROUND(AVERAGE(R38:V38),0),ROUND(AVERAGE(R38:V38),1))</f>
        <v>265544</v>
      </c>
      <c r="S39" s="3442"/>
      <c r="T39" s="3442"/>
      <c r="U39" s="3442"/>
      <c r="V39" s="3442"/>
      <c r="W39" s="3442"/>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f>IF(E37&lt;E38,E38/E37-1,E37/E38-1)</f>
        <v>9.9989900010100108E-3</v>
      </c>
      <c r="F42" s="630" t="str">
        <f>IF(OR(E42&gt;=0.3,E42&lt;=-0.3),"超过30%","")</f>
        <v/>
      </c>
      <c r="G42" s="629">
        <f>IF(G37&lt;G38,G38/G37-1,G37/G38-1)</f>
        <v>5.090850119264001E-2</v>
      </c>
      <c r="H42" s="630" t="str">
        <f>IF(OR(G42&gt;=0.3,G42&lt;=-0.3),"超过30%","")</f>
        <v/>
      </c>
      <c r="I42" s="629">
        <f>IF(I37&lt;I38,I38/I37-1,I37/I38-1)</f>
        <v>4.1666666666666741E-2</v>
      </c>
      <c r="J42" s="630" t="str">
        <f>IF(OR(I42&gt;=0.3,I42&lt;=-0.3),"超过30%","")</f>
        <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f>IF(E38&lt;G38,G38/E38-1,E38/G38-1)</f>
        <v>0.19576608423391573</v>
      </c>
      <c r="F43" s="630" t="str">
        <f>IF(OR(E43&gt;=0.2,E43&lt;=-0.2),"超过20%","")</f>
        <v/>
      </c>
      <c r="G43" s="629">
        <f>IF(G38&lt;I38,I38/G38-1,G38/I38-1)</f>
        <v>0.16931160493827169</v>
      </c>
      <c r="H43" s="630" t="str">
        <f>IF(OR(G43&gt;=0.2,G43&lt;=-0.2),"超过20%","")</f>
        <v/>
      </c>
      <c r="I43" s="629">
        <f>IF(I38&lt;E38,E38/I38-1,I38/E38-1)</f>
        <v>2.2623977376022619E-2</v>
      </c>
      <c r="J43" s="630" t="str">
        <f>IF(OR(I43&gt;=0.2,I43&lt;=-0.2),"超过20%","")</f>
        <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f>IF(E37&lt;G37,G37/E37-1,E37/G37-1)</f>
        <v>0.24419999999999997</v>
      </c>
      <c r="F44" s="630" t="str">
        <f>IF(OR(E44&gt;=0.3,E44&lt;=-0.3),"超过30%","")</f>
        <v/>
      </c>
      <c r="G44" s="629">
        <f>IF(G37&lt;I37,I37/G37-1,G37/I37-1)</f>
        <v>0.28004115226337456</v>
      </c>
      <c r="H44" s="630" t="str">
        <f>IF(OR(G44&gt;=0.3,G44&lt;=-0.3),"超过30%","")</f>
        <v/>
      </c>
      <c r="I44" s="629">
        <f>IF(I37&lt;E37,E37/I37-1,I37/E37-1)</f>
        <v>2.8806584362139898E-2</v>
      </c>
      <c r="J44" s="630" t="str">
        <f>IF(OR(I44&gt;=0.3,I44&lt;=-0.3),"超过30%","")</f>
        <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2" t="str">
        <f>YEAR(C7)&amp;"-"&amp;MONTH(C7)</f>
        <v>2017-11</v>
      </c>
      <c r="D48" s="2834">
        <f>EDATE(C48,-1)</f>
        <v>43009</v>
      </c>
      <c r="E48" s="2834">
        <f t="shared" ref="E48:O48" si="16">EDATE(D48,-1)</f>
        <v>42979</v>
      </c>
      <c r="F48" s="2834">
        <f t="shared" si="16"/>
        <v>42948</v>
      </c>
      <c r="G48" s="2834">
        <f t="shared" si="16"/>
        <v>42917</v>
      </c>
      <c r="H48" s="2834">
        <f t="shared" si="16"/>
        <v>42887</v>
      </c>
      <c r="I48" s="2834">
        <f t="shared" si="16"/>
        <v>42856</v>
      </c>
      <c r="J48" s="2834">
        <f t="shared" si="16"/>
        <v>42826</v>
      </c>
      <c r="K48" s="2834">
        <f t="shared" si="16"/>
        <v>42795</v>
      </c>
      <c r="L48" s="2834">
        <f t="shared" si="16"/>
        <v>42767</v>
      </c>
      <c r="M48" s="2834">
        <f t="shared" si="16"/>
        <v>42736</v>
      </c>
      <c r="N48" s="2834">
        <f t="shared" si="16"/>
        <v>42705</v>
      </c>
      <c r="O48" s="2834">
        <f t="shared" si="16"/>
        <v>42675</v>
      </c>
      <c r="P48" s="2164"/>
      <c r="Q48" s="2165"/>
      <c r="R48" s="2165"/>
      <c r="S48" s="2165"/>
      <c r="T48" s="2165"/>
      <c r="U48" s="2165"/>
      <c r="V48" s="2165"/>
      <c r="W48" s="2165"/>
      <c r="X48" s="2165"/>
      <c r="Y48" s="2165"/>
      <c r="Z48" s="2165"/>
      <c r="AA48" s="2165"/>
      <c r="AB48" s="2165"/>
      <c r="AC48" s="2165"/>
    </row>
    <row r="49" spans="1:29" s="1223" customFormat="1" ht="15">
      <c r="A49" s="650"/>
      <c r="B49" s="651"/>
      <c r="C49" s="2833">
        <v>100</v>
      </c>
      <c r="D49" s="653">
        <v>100</v>
      </c>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t="str">
        <f>C9</f>
        <v>车库</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737</v>
      </c>
      <c r="D55" s="677" t="s">
        <v>738</v>
      </c>
      <c r="E55" s="677" t="s">
        <v>739</v>
      </c>
      <c r="F55" s="677" t="s">
        <v>740</v>
      </c>
      <c r="G55" s="677" t="s">
        <v>741</v>
      </c>
      <c r="H55" s="677" t="s">
        <v>742</v>
      </c>
      <c r="I55" s="677" t="s">
        <v>743</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0</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0</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0</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99</v>
      </c>
      <c r="E64" s="682">
        <f>D64-$K14</f>
        <v>98</v>
      </c>
      <c r="F64" s="682">
        <f>E64-$K14</f>
        <v>97</v>
      </c>
      <c r="G64" s="682">
        <f>F64-$K14</f>
        <v>96</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99</v>
      </c>
      <c r="E66" s="682">
        <f>D66-$K16</f>
        <v>98</v>
      </c>
      <c r="F66" s="682">
        <f>E66-$K16</f>
        <v>97</v>
      </c>
      <c r="G66" s="682">
        <f>F66-$K16</f>
        <v>96</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2564</v>
      </c>
      <c r="C67" s="2626" t="s">
        <v>2565</v>
      </c>
      <c r="D67" s="2626" t="s">
        <v>2566</v>
      </c>
      <c r="E67" s="2626" t="s">
        <v>2567</v>
      </c>
      <c r="F67" s="2626" t="s">
        <v>2568</v>
      </c>
      <c r="G67" s="2626" t="s">
        <v>2569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99</v>
      </c>
      <c r="E68" s="682">
        <f>D68-$K18</f>
        <v>98</v>
      </c>
      <c r="F68" s="682">
        <f>E68-$K18</f>
        <v>97</v>
      </c>
      <c r="G68" s="682">
        <f>F68-$K18</f>
        <v>96</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744</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99</v>
      </c>
      <c r="E70" s="682">
        <f>D70-$K20</f>
        <v>98</v>
      </c>
      <c r="F70" s="682">
        <f>E70-$K20</f>
        <v>97</v>
      </c>
      <c r="G70" s="682">
        <f>F70-$K20</f>
        <v>96</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745</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0</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0</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0</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814</v>
      </c>
      <c r="C79" s="707" t="str">
        <f>C26</f>
        <v>住宅</v>
      </c>
      <c r="D79" s="3183" t="s">
        <v>3166</v>
      </c>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102</v>
      </c>
      <c r="E80" s="682">
        <f t="shared" si="17"/>
        <v>104</v>
      </c>
      <c r="F80" s="682">
        <f t="shared" si="17"/>
        <v>106</v>
      </c>
      <c r="G80" s="682">
        <f t="shared" si="17"/>
        <v>108</v>
      </c>
      <c r="H80" s="682">
        <f t="shared" si="17"/>
        <v>110</v>
      </c>
      <c r="I80" s="682">
        <f t="shared" si="17"/>
        <v>112</v>
      </c>
      <c r="J80" s="682">
        <f t="shared" si="17"/>
        <v>114</v>
      </c>
      <c r="K80" s="682">
        <f t="shared" si="17"/>
        <v>116</v>
      </c>
      <c r="L80" s="682">
        <f t="shared" si="17"/>
        <v>118</v>
      </c>
      <c r="M80" s="683">
        <f t="shared" si="17"/>
        <v>120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815</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751</v>
      </c>
      <c r="C83" s="3185" t="s">
        <v>3162</v>
      </c>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98</v>
      </c>
      <c r="E84" s="682">
        <f t="shared" si="18"/>
        <v>96</v>
      </c>
      <c r="F84" s="682">
        <f t="shared" si="18"/>
        <v>94</v>
      </c>
      <c r="G84" s="682">
        <f t="shared" si="18"/>
        <v>92</v>
      </c>
      <c r="H84" s="682">
        <f t="shared" si="18"/>
        <v>90</v>
      </c>
      <c r="I84" s="682">
        <f t="shared" si="18"/>
        <v>88</v>
      </c>
      <c r="J84" s="682">
        <f t="shared" si="18"/>
        <v>86</v>
      </c>
      <c r="K84" s="682">
        <f t="shared" si="18"/>
        <v>84</v>
      </c>
      <c r="L84" s="682">
        <f t="shared" si="18"/>
        <v>82</v>
      </c>
      <c r="M84" s="683">
        <f t="shared" si="18"/>
        <v>80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816</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104</v>
      </c>
      <c r="E87" s="682">
        <f t="shared" ref="E87:M87" si="19">D87+$K$29</f>
        <v>108</v>
      </c>
      <c r="F87" s="682">
        <f t="shared" si="19"/>
        <v>112</v>
      </c>
      <c r="G87" s="682">
        <f t="shared" si="19"/>
        <v>116</v>
      </c>
      <c r="H87" s="682">
        <f t="shared" si="19"/>
        <v>120</v>
      </c>
      <c r="I87" s="682">
        <f t="shared" si="19"/>
        <v>124</v>
      </c>
      <c r="J87" s="682">
        <f t="shared" si="19"/>
        <v>128</v>
      </c>
      <c r="K87" s="682">
        <f t="shared" si="19"/>
        <v>132</v>
      </c>
      <c r="L87" s="682">
        <f t="shared" si="19"/>
        <v>136</v>
      </c>
      <c r="M87" s="682">
        <f t="shared" si="19"/>
        <v>140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817</v>
      </c>
      <c r="C88" s="3183" t="s">
        <v>3160</v>
      </c>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101</v>
      </c>
      <c r="E89" s="682">
        <f t="shared" si="20"/>
        <v>102</v>
      </c>
      <c r="F89" s="682">
        <f t="shared" si="20"/>
        <v>103</v>
      </c>
      <c r="G89" s="682">
        <f t="shared" si="20"/>
        <v>104</v>
      </c>
      <c r="H89" s="682">
        <f t="shared" si="20"/>
        <v>105</v>
      </c>
      <c r="I89" s="682">
        <f t="shared" si="20"/>
        <v>106</v>
      </c>
      <c r="J89" s="682">
        <f t="shared" si="20"/>
        <v>107</v>
      </c>
      <c r="K89" s="682">
        <f t="shared" si="20"/>
        <v>108</v>
      </c>
      <c r="L89" s="682">
        <f t="shared" si="20"/>
        <v>109</v>
      </c>
      <c r="M89" s="682">
        <f t="shared" si="20"/>
        <v>110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818</v>
      </c>
      <c r="C90" s="711" t="str">
        <f>C91&amp;"(含)"&amp;"-"&amp;D91</f>
        <v>0(含)-50</v>
      </c>
      <c r="D90" s="711" t="str">
        <f t="shared" ref="D90:L90" si="21">D91&amp;"(含)"&amp;"-"&amp;E91</f>
        <v>50(含)-70</v>
      </c>
      <c r="E90" s="711" t="str">
        <f t="shared" si="21"/>
        <v>70(含)-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v>0</v>
      </c>
      <c r="D91" s="733">
        <v>50</v>
      </c>
      <c r="E91" s="733">
        <v>70</v>
      </c>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v>100</v>
      </c>
      <c r="D92" s="674">
        <v>100.5</v>
      </c>
      <c r="E92" s="674">
        <v>101</v>
      </c>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819</v>
      </c>
      <c r="C93" s="3185" t="s">
        <v>3164</v>
      </c>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99</v>
      </c>
      <c r="E94" s="682">
        <f t="shared" si="22"/>
        <v>98</v>
      </c>
      <c r="F94" s="682">
        <f t="shared" si="22"/>
        <v>97</v>
      </c>
      <c r="G94" s="682">
        <f t="shared" si="22"/>
        <v>96</v>
      </c>
      <c r="H94" s="682">
        <f t="shared" si="22"/>
        <v>95</v>
      </c>
      <c r="I94" s="682">
        <f t="shared" si="22"/>
        <v>94</v>
      </c>
      <c r="J94" s="682">
        <f t="shared" si="22"/>
        <v>93</v>
      </c>
      <c r="K94" s="682">
        <f t="shared" si="22"/>
        <v>92</v>
      </c>
      <c r="L94" s="682">
        <f t="shared" si="22"/>
        <v>91</v>
      </c>
      <c r="M94" s="683">
        <f t="shared" si="22"/>
        <v>90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820</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0</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0</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0</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94" priority="14" stopIfTrue="1" operator="containsText" text="超过">
      <formula>NOT(ISERROR(SEARCH("超过",F42)))</formula>
    </cfRule>
  </conditionalFormatting>
  <conditionalFormatting sqref="J44">
    <cfRule type="containsText" dxfId="93" priority="13" stopIfTrue="1" operator="containsText" text="超过">
      <formula>NOT(ISERROR(SEARCH("超过",J44)))</formula>
    </cfRule>
  </conditionalFormatting>
  <conditionalFormatting sqref="H44">
    <cfRule type="containsText" dxfId="92" priority="12" stopIfTrue="1" operator="containsText" text="超过">
      <formula>NOT(ISERROR(SEARCH("超过",H44)))</formula>
    </cfRule>
  </conditionalFormatting>
  <conditionalFormatting sqref="F44">
    <cfRule type="containsText" dxfId="91" priority="11" stopIfTrue="1" operator="containsText" text="超过">
      <formula>NOT(ISERROR(SEARCH("超过",F44)))</formula>
    </cfRule>
  </conditionalFormatting>
  <conditionalFormatting sqref="F43 H43 J43">
    <cfRule type="containsText" dxfId="90" priority="10" stopIfTrue="1" operator="containsText" text="超过">
      <formula>NOT(ISERROR(SEARCH("超过",F43)))</formula>
    </cfRule>
  </conditionalFormatting>
  <conditionalFormatting sqref="E42">
    <cfRule type="expression" dxfId="89" priority="9" stopIfTrue="1">
      <formula>$F$42="超过30%"</formula>
    </cfRule>
  </conditionalFormatting>
  <conditionalFormatting sqref="G44">
    <cfRule type="expression" dxfId="88" priority="8" stopIfTrue="1">
      <formula>$H$54+$H$44="超过30%"</formula>
    </cfRule>
  </conditionalFormatting>
  <conditionalFormatting sqref="E43">
    <cfRule type="expression" dxfId="87" priority="7" stopIfTrue="1">
      <formula>$F$43="超过20%"</formula>
    </cfRule>
  </conditionalFormatting>
  <conditionalFormatting sqref="E44">
    <cfRule type="expression" dxfId="86" priority="6" stopIfTrue="1">
      <formula>$F$44="超过30%"</formula>
    </cfRule>
  </conditionalFormatting>
  <conditionalFormatting sqref="G42">
    <cfRule type="expression" dxfId="85" priority="5" stopIfTrue="1">
      <formula>$H$52+$H$42="超过30%"</formula>
    </cfRule>
  </conditionalFormatting>
  <conditionalFormatting sqref="G43">
    <cfRule type="expression" dxfId="84" priority="4" stopIfTrue="1">
      <formula>$H$43="超过20%"</formula>
    </cfRule>
  </conditionalFormatting>
  <conditionalFormatting sqref="I42">
    <cfRule type="expression" dxfId="83" priority="3" stopIfTrue="1">
      <formula>$J$52+$J$42="超过30%"</formula>
    </cfRule>
  </conditionalFormatting>
  <conditionalFormatting sqref="I43">
    <cfRule type="expression" dxfId="82" priority="2" stopIfTrue="1">
      <formula>$J$53+$J$43="超过20%"</formula>
    </cfRule>
  </conditionalFormatting>
  <conditionalFormatting sqref="I44">
    <cfRule type="expression" dxfId="8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I56" sqref="I56"/>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3042</v>
      </c>
      <c r="D1" s="3158" t="s">
        <v>3063</v>
      </c>
      <c r="E1" s="2415" t="s">
        <v>2378</v>
      </c>
      <c r="F1" s="2416">
        <f ca="1">J53</f>
        <v>33.83</v>
      </c>
      <c r="G1" s="777">
        <f>MATCH(C1,'数据-取费表'!A6:A16,0)+5</f>
        <v>10</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14978</v>
      </c>
      <c r="C2" s="2061"/>
      <c r="D2" s="2059"/>
      <c r="E2" s="2060"/>
      <c r="F2" s="2060"/>
      <c r="G2" s="1593"/>
      <c r="H2" s="2061"/>
      <c r="I2" s="2061"/>
      <c r="J2" s="2061"/>
      <c r="K2" s="2062"/>
      <c r="L2" s="2061"/>
      <c r="M2" s="2061"/>
    </row>
    <row r="3" spans="1:33" ht="18" customHeight="1" thickBot="1">
      <c r="A3" s="836" t="s">
        <v>1728</v>
      </c>
      <c r="B3" s="837">
        <f ca="1">IF(ISERROR(B2*10000/F43),0,ROUND(B2*10000/F43,0))</f>
        <v>7215</v>
      </c>
      <c r="C3" s="2061"/>
      <c r="D3" s="2059"/>
      <c r="E3" s="2060"/>
      <c r="F3" s="2060"/>
      <c r="G3" s="1593"/>
      <c r="H3" s="779" t="s">
        <v>696</v>
      </c>
      <c r="I3" s="1366"/>
      <c r="J3" s="1366"/>
      <c r="K3" s="1594"/>
      <c r="L3" s="1366"/>
      <c r="M3" s="1366"/>
    </row>
    <row r="4" spans="1:33" ht="18" customHeight="1">
      <c r="A4" s="780" t="s">
        <v>1729</v>
      </c>
      <c r="B4" s="781" t="s">
        <v>1730</v>
      </c>
      <c r="C4" s="781" t="s">
        <v>1731</v>
      </c>
      <c r="D4" s="781" t="s">
        <v>634</v>
      </c>
      <c r="E4" s="782" t="s">
        <v>1732</v>
      </c>
      <c r="F4" s="783"/>
      <c r="G4" s="1595"/>
      <c r="H4" s="780" t="s">
        <v>1733</v>
      </c>
      <c r="I4" s="781" t="s">
        <v>1734</v>
      </c>
      <c r="J4" s="781" t="s">
        <v>1735</v>
      </c>
      <c r="K4" s="781" t="s">
        <v>1736</v>
      </c>
      <c r="L4" s="782" t="s">
        <v>1737</v>
      </c>
      <c r="M4" s="783"/>
    </row>
    <row r="5" spans="1:33" ht="18" customHeight="1">
      <c r="A5" s="784">
        <v>1</v>
      </c>
      <c r="B5" s="785" t="s">
        <v>2463</v>
      </c>
      <c r="C5" s="55">
        <f ca="1">C6+C10+C12</f>
        <v>1024</v>
      </c>
      <c r="D5" s="2524" t="s">
        <v>2466</v>
      </c>
      <c r="E5" s="2518"/>
      <c r="F5" s="2519"/>
      <c r="G5" s="1595"/>
      <c r="H5" s="784">
        <v>1</v>
      </c>
      <c r="I5" s="785" t="s">
        <v>2463</v>
      </c>
      <c r="J5" s="55">
        <f ca="1">J6+J10+J12</f>
        <v>0</v>
      </c>
      <c r="K5" s="2524" t="s">
        <v>2466</v>
      </c>
      <c r="L5" s="2518"/>
      <c r="M5" s="2519"/>
    </row>
    <row r="6" spans="1:33" ht="18" customHeight="1">
      <c r="A6" s="1834" t="s">
        <v>1825</v>
      </c>
      <c r="B6" s="3425" t="s">
        <v>2468</v>
      </c>
      <c r="C6" s="786">
        <f ca="1">ROUND(F6*F8*F7*(1-F9)/10000,0)</f>
        <v>1023</v>
      </c>
      <c r="D6" s="2525" t="s">
        <v>2467</v>
      </c>
      <c r="E6" s="787" t="s">
        <v>1739</v>
      </c>
      <c r="F6" s="788">
        <f ca="1">INDIRECT("'数据-取费表'!u"&amp;$G$1)</f>
        <v>1.5</v>
      </c>
      <c r="G6" s="1595"/>
      <c r="H6" s="2532" t="s">
        <v>1831</v>
      </c>
      <c r="I6" s="3425" t="s">
        <v>2468</v>
      </c>
      <c r="J6" s="786">
        <f ca="1">ROUND(M6*M8*M7*(1-M9)/10000,0)</f>
        <v>0</v>
      </c>
      <c r="K6" s="344" t="s">
        <v>1738</v>
      </c>
      <c r="L6" s="787" t="s">
        <v>1739</v>
      </c>
      <c r="M6" s="788">
        <f ca="1">INDIRECT("'数据-取费表'!z"&amp;$G$1)</f>
        <v>0</v>
      </c>
    </row>
    <row r="7" spans="1:33" ht="18" customHeight="1">
      <c r="A7" s="2528"/>
      <c r="B7" s="3426"/>
      <c r="C7" s="791"/>
      <c r="D7" s="792"/>
      <c r="E7" s="787" t="s">
        <v>1740</v>
      </c>
      <c r="F7" s="788">
        <f ca="1">IF(INDIRECT("'数据-取费表'!ah"&amp;$G$1)="",INDIRECT("'数据-取费表'!k"&amp;$G$1),INDIRECT("'数据-取费表'!ah"&amp;$G$1))</f>
        <v>20759.810000000005</v>
      </c>
      <c r="G7" s="1595"/>
      <c r="H7" s="2517"/>
      <c r="I7" s="3426"/>
      <c r="J7" s="791"/>
      <c r="K7" s="792"/>
      <c r="L7" s="787" t="s">
        <v>1740</v>
      </c>
      <c r="M7" s="788">
        <f ca="1">F7</f>
        <v>20759.810000000005</v>
      </c>
    </row>
    <row r="8" spans="1:33" ht="18" customHeight="1">
      <c r="A8" s="2521"/>
      <c r="B8" s="3427"/>
      <c r="C8" s="791"/>
      <c r="D8" s="792"/>
      <c r="E8" s="787" t="s">
        <v>1741</v>
      </c>
      <c r="F8" s="788">
        <f ca="1">INDIRECT("'数据-取费表'!ai"&amp;$G$1)</f>
        <v>365</v>
      </c>
      <c r="G8" s="1595"/>
      <c r="H8" s="2517"/>
      <c r="I8" s="3427"/>
      <c r="J8" s="791"/>
      <c r="K8" s="792"/>
      <c r="L8" s="787" t="s">
        <v>1741</v>
      </c>
      <c r="M8" s="788">
        <f ca="1">INDIRECT("'数据-取费表'!ai"&amp;$G$1)</f>
        <v>365</v>
      </c>
    </row>
    <row r="9" spans="1:33" ht="18" customHeight="1">
      <c r="A9" s="789"/>
      <c r="B9" s="3428"/>
      <c r="C9" s="791"/>
      <c r="D9" s="792"/>
      <c r="E9" s="787" t="s">
        <v>1742</v>
      </c>
      <c r="F9" s="797">
        <f ca="1">INDIRECT("'数据-取费表'!w"&amp;$G$1)</f>
        <v>0.1</v>
      </c>
      <c r="G9" s="1595"/>
      <c r="H9" s="2533"/>
      <c r="I9" s="3427"/>
      <c r="J9" s="791"/>
      <c r="K9" s="792"/>
      <c r="L9" s="798" t="s">
        <v>1742</v>
      </c>
      <c r="M9" s="799">
        <f ca="1">INDIRECT("'数据-取费表'!ab"&amp;$G$1)</f>
        <v>0</v>
      </c>
    </row>
    <row r="10" spans="1:33" ht="18" customHeight="1">
      <c r="A10" s="1834" t="s">
        <v>1826</v>
      </c>
      <c r="B10" s="2522" t="s">
        <v>2464</v>
      </c>
      <c r="C10" s="802">
        <f ca="1">ROUND(IF(F10="押一",F6*F8*F7/12*F11,IF(F10="押二",F6*F8*F7/12*2*F11,IF(F10="押三",F6*F8*F7/12*3*F11,C11*F11)))/10000,0)</f>
        <v>1</v>
      </c>
      <c r="D10" s="2529" t="s">
        <v>2471</v>
      </c>
      <c r="E10" s="2526" t="s">
        <v>2469</v>
      </c>
      <c r="F10" s="2649" t="s">
        <v>3064</v>
      </c>
      <c r="G10" s="1595"/>
      <c r="H10" s="2589" t="s">
        <v>1826</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2461</v>
      </c>
      <c r="F11" s="799">
        <f ca="1">'数据-取费表'!B39</f>
        <v>1.4999999999999999E-2</v>
      </c>
      <c r="G11" s="1595"/>
      <c r="H11" s="2590"/>
      <c r="I11" s="2523" t="s">
        <v>2579</v>
      </c>
      <c r="J11" s="2527"/>
      <c r="K11" s="2591"/>
      <c r="L11" s="2526" t="s">
        <v>2461</v>
      </c>
      <c r="M11" s="2520">
        <f ca="1">'数据-取费表'!B39</f>
        <v>1.4999999999999999E-2</v>
      </c>
    </row>
    <row r="12" spans="1:33" ht="18" customHeight="1" thickBot="1">
      <c r="A12" s="2565" t="s">
        <v>2473</v>
      </c>
      <c r="B12" s="2566" t="s">
        <v>2465</v>
      </c>
      <c r="C12" s="2567"/>
      <c r="D12" s="2568"/>
      <c r="E12" s="2569"/>
      <c r="F12" s="2570"/>
      <c r="G12" s="1595"/>
      <c r="H12" s="2579" t="s">
        <v>2473</v>
      </c>
      <c r="I12" s="2592" t="s">
        <v>2465</v>
      </c>
      <c r="J12" s="2593"/>
      <c r="K12" s="2568"/>
      <c r="L12" s="2569"/>
      <c r="M12" s="2582"/>
    </row>
    <row r="13" spans="1:33" ht="18" customHeight="1" thickTop="1">
      <c r="A13" s="1833">
        <v>2</v>
      </c>
      <c r="B13" s="1831" t="s">
        <v>1743</v>
      </c>
      <c r="C13" s="795">
        <f ca="1">ROUND(C29*F13,0)</f>
        <v>9569</v>
      </c>
      <c r="D13" s="1838" t="s">
        <v>2300</v>
      </c>
      <c r="E13" s="1838" t="s">
        <v>1745</v>
      </c>
      <c r="F13" s="2564">
        <f ca="1">INDIRECT("'数据-取费表'!y"&amp;$G$1)</f>
        <v>1</v>
      </c>
      <c r="G13" s="1595"/>
      <c r="H13" s="1833">
        <v>2</v>
      </c>
      <c r="I13" s="1831" t="s">
        <v>1743</v>
      </c>
      <c r="J13" s="1823">
        <f ca="1">ROUND(J14*J15,0)</f>
        <v>0</v>
      </c>
      <c r="K13" s="1825" t="s">
        <v>1744</v>
      </c>
      <c r="L13" s="2580"/>
      <c r="M13" s="2581"/>
    </row>
    <row r="14" spans="1:33" ht="18" customHeight="1">
      <c r="A14" s="1651" t="s">
        <v>1832</v>
      </c>
      <c r="B14" s="787" t="s">
        <v>646</v>
      </c>
      <c r="C14" s="807">
        <f ca="1">INDIRECT("'数据-取费表'!m"&amp;$G$1)+INDIRECT("'数据-取费表'!t"&amp;$G$1)</f>
        <v>6384</v>
      </c>
      <c r="D14" s="3168" t="s">
        <v>1746</v>
      </c>
      <c r="E14" s="3169"/>
      <c r="F14" s="808"/>
      <c r="G14" s="1595"/>
      <c r="H14" s="1652" t="s">
        <v>1831</v>
      </c>
      <c r="I14" s="2235" t="s">
        <v>2832</v>
      </c>
      <c r="J14" s="53">
        <f ca="1">C29</f>
        <v>9569</v>
      </c>
      <c r="K14" s="26"/>
      <c r="L14" s="804"/>
      <c r="M14" s="805"/>
    </row>
    <row r="15" spans="1:33" s="2068" customFormat="1" ht="18" customHeight="1" thickBot="1">
      <c r="A15" s="1651" t="s">
        <v>1886</v>
      </c>
      <c r="B15" s="787" t="s">
        <v>648</v>
      </c>
      <c r="C15" s="53">
        <f ca="1">ROUND(C14*F15,0)</f>
        <v>319</v>
      </c>
      <c r="D15" s="809" t="s">
        <v>1747</v>
      </c>
      <c r="E15" s="809" t="s">
        <v>1748</v>
      </c>
      <c r="F15" s="810">
        <f>'数据-取费表'!B33</f>
        <v>0.05</v>
      </c>
      <c r="G15" s="1596"/>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1887</v>
      </c>
      <c r="B16" s="787" t="s">
        <v>651</v>
      </c>
      <c r="C16" s="53">
        <f ca="1">ROUND(INDIRECT("'数据-取费表'!m"&amp;$G$1)*F16,0)</f>
        <v>0</v>
      </c>
      <c r="D16" s="787" t="s">
        <v>1747</v>
      </c>
      <c r="E16" s="787" t="s">
        <v>1748</v>
      </c>
      <c r="F16" s="812">
        <f ca="1">IF(INDIRECT("'数据-取费表'!c"&amp;$G$1)="住宅",'数据-取费表'!B34,0)</f>
        <v>0</v>
      </c>
      <c r="G16" s="1595"/>
      <c r="H16" s="1833" t="s">
        <v>1749</v>
      </c>
      <c r="I16" s="1831" t="s">
        <v>1750</v>
      </c>
      <c r="J16" s="795">
        <f ca="1">ROUND(J17+J22+J23+J24,0)</f>
        <v>226</v>
      </c>
      <c r="K16" s="1825" t="s">
        <v>1751</v>
      </c>
      <c r="L16" s="3170"/>
      <c r="M16" s="2519"/>
    </row>
    <row r="17" spans="1:33" s="2068" customFormat="1" ht="18" customHeight="1">
      <c r="A17" s="1651" t="s">
        <v>1888</v>
      </c>
      <c r="B17" s="787" t="s">
        <v>654</v>
      </c>
      <c r="C17" s="53">
        <f ca="1">ROUND(F17*(F43+INDIRECT("'数据-取费表'!S"&amp;$G$1))/10000,0)</f>
        <v>426</v>
      </c>
      <c r="D17" s="787" t="s">
        <v>1752</v>
      </c>
      <c r="E17" s="787" t="s">
        <v>1753</v>
      </c>
      <c r="F17" s="56">
        <f>'数据-取费表'!B35</f>
        <v>200</v>
      </c>
      <c r="G17" s="1596"/>
      <c r="H17" s="1652" t="s">
        <v>1831</v>
      </c>
      <c r="I17" s="787" t="s">
        <v>657</v>
      </c>
      <c r="J17" s="53">
        <f ca="1">ROUND(IF(项目基本情况!B11="自然人",J5*M17,J18+J19+J20),0)</f>
        <v>82</v>
      </c>
      <c r="K17" s="3168" t="s">
        <v>1754</v>
      </c>
      <c r="L17" s="3166"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1889</v>
      </c>
      <c r="B18" s="787" t="s">
        <v>660</v>
      </c>
      <c r="C18" s="53">
        <f ca="1">ROUND(C14*F18,0)</f>
        <v>96</v>
      </c>
      <c r="D18" s="787" t="s">
        <v>1747</v>
      </c>
      <c r="E18" s="787" t="s">
        <v>1748</v>
      </c>
      <c r="F18" s="812">
        <f>'数据-取费表'!B36</f>
        <v>1.4999999999999999E-2</v>
      </c>
      <c r="G18" s="1596"/>
      <c r="H18" s="1651" t="s">
        <v>1832</v>
      </c>
      <c r="I18" s="787" t="s">
        <v>1756</v>
      </c>
      <c r="J18" s="53">
        <f ca="1">ROUND(J5*M18/1.05,1)</f>
        <v>0</v>
      </c>
      <c r="K18" s="3166" t="s">
        <v>1757</v>
      </c>
      <c r="L18" s="787" t="s">
        <v>1748</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1831</v>
      </c>
      <c r="B19" s="787" t="s">
        <v>663</v>
      </c>
      <c r="C19" s="53">
        <f ca="1">SUM(C14:C18)</f>
        <v>7225</v>
      </c>
      <c r="D19" s="261" t="s">
        <v>1758</v>
      </c>
      <c r="E19" s="3176"/>
      <c r="F19" s="56"/>
      <c r="G19" s="1595"/>
      <c r="H19" s="1651" t="s">
        <v>1886</v>
      </c>
      <c r="I19" s="787" t="s">
        <v>1759</v>
      </c>
      <c r="J19" s="53">
        <f ca="1">IF(K19="按租金收入计税",ROUND(J5*M19,1),ROUND(C29*F33*0.7,1))</f>
        <v>80.400000000000006</v>
      </c>
      <c r="K19" s="814" t="s">
        <v>666</v>
      </c>
      <c r="L19" s="787" t="s">
        <v>1748</v>
      </c>
      <c r="M19" s="812">
        <f>IF(K19="按租金收入计税",'数据-取费表'!B51,'数据-取费表'!B50)</f>
        <v>1.2E-2</v>
      </c>
    </row>
    <row r="20" spans="1:33" s="2068" customFormat="1" ht="18" customHeight="1">
      <c r="A20" s="1652" t="s">
        <v>1890</v>
      </c>
      <c r="B20" s="787" t="s">
        <v>667</v>
      </c>
      <c r="C20" s="53">
        <f ca="1">ROUND(C19*F20,0)</f>
        <v>217</v>
      </c>
      <c r="D20" s="815" t="s">
        <v>1760</v>
      </c>
      <c r="E20" s="787" t="s">
        <v>1748</v>
      </c>
      <c r="F20" s="812">
        <f>'数据-取费表'!B37</f>
        <v>0.03</v>
      </c>
      <c r="G20" s="1596"/>
      <c r="H20" s="1654" t="s">
        <v>1881</v>
      </c>
      <c r="I20" s="344" t="s">
        <v>1761</v>
      </c>
      <c r="J20" s="54">
        <f ca="1">ROUND(M20*M21/10000,0)</f>
        <v>2</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1891</v>
      </c>
      <c r="B21" s="787" t="s">
        <v>1764</v>
      </c>
      <c r="C21" s="53" t="s">
        <v>1765</v>
      </c>
      <c r="D21" s="815" t="s">
        <v>2301</v>
      </c>
      <c r="E21" s="787" t="s">
        <v>1766</v>
      </c>
      <c r="F21" s="812">
        <f>'数据-取费表'!B38</f>
        <v>0.03</v>
      </c>
      <c r="G21" s="1596"/>
      <c r="H21" s="2534"/>
      <c r="I21" s="796"/>
      <c r="J21" s="69"/>
      <c r="K21" s="819"/>
      <c r="L21" s="787" t="s">
        <v>1767</v>
      </c>
      <c r="M21" s="788">
        <f ca="1">INDIRECT("'数据-取费表'!r"&amp;$G$1)</f>
        <v>6918.89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1892</v>
      </c>
      <c r="B22" s="787" t="s">
        <v>1768</v>
      </c>
      <c r="C22" s="53"/>
      <c r="D22" s="2600" t="str">
        <f>IF(F23&lt;=1,"单利计息。","复利计息。")&amp;"建造成本、管理费用、销售费用产生的利息。"</f>
        <v>复利计息。建造成本、管理费用、销售费用产生的利息。</v>
      </c>
      <c r="E22" s="3176"/>
      <c r="F22" s="56"/>
      <c r="G22" s="1595"/>
      <c r="H22" s="1652" t="s">
        <v>1890</v>
      </c>
      <c r="I22" s="787" t="s">
        <v>1769</v>
      </c>
      <c r="J22" s="53">
        <f ca="1">ROUND(J14*M22,0)</f>
        <v>144</v>
      </c>
      <c r="K22" s="3166" t="s">
        <v>1770</v>
      </c>
      <c r="L22" s="787" t="s">
        <v>1748</v>
      </c>
      <c r="M22" s="820">
        <f ca="1">INDIRECT("'数据-取费表'!Ak"&amp;$G$1)</f>
        <v>1.4999999999999999E-2</v>
      </c>
    </row>
    <row r="23" spans="1:33" s="2068" customFormat="1" ht="18" customHeight="1">
      <c r="A23" s="1651" t="s">
        <v>1832</v>
      </c>
      <c r="B23" s="787" t="s">
        <v>2441</v>
      </c>
      <c r="C23" s="53">
        <f ca="1">ROUND(IF('数据-取费表'!B22&lt;=1,(C19+C20)*F24*F23/2,(C19+C20)*(POWER((1+F24),F23/2)-1)),0)</f>
        <v>536</v>
      </c>
      <c r="D23" s="2599" t="str">
        <f>IF(F23&lt;=1,"(建造成本+管理费用)×利率×(建设周期÷2)","(建造成本+管理费用)×((1+利率)^(建设周期÷2)-1)")</f>
        <v>(建造成本+管理费用)×((1+利率)^(建设周期÷2)-1)</v>
      </c>
      <c r="E23" s="787" t="s">
        <v>1771</v>
      </c>
      <c r="F23" s="643">
        <f>'数据-取费表'!B20</f>
        <v>3</v>
      </c>
      <c r="G23" s="1596"/>
      <c r="H23" s="1652" t="s">
        <v>1891</v>
      </c>
      <c r="I23" s="787" t="s">
        <v>680</v>
      </c>
      <c r="J23" s="53">
        <f ca="1">ROUND(J13*M23,0)</f>
        <v>0</v>
      </c>
      <c r="K23" s="3166" t="s">
        <v>1772</v>
      </c>
      <c r="L23" s="787" t="s">
        <v>1748</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1833</v>
      </c>
      <c r="B24" s="787" t="s">
        <v>1773</v>
      </c>
      <c r="C24" s="53">
        <f ca="1">ROUND(IF('数据-取费表'!B22&lt;=1,F21*F24*F23/2,F21*(POWER((1+F24),F23/2)-1)),4)</f>
        <v>2.2000000000000001E-3</v>
      </c>
      <c r="D24" s="2599" t="str">
        <f>IF(F23&lt;=1,"销售费用×利率×(建设周期÷2)","销售费用×((1+利率)^(建设周期÷2)-1)")</f>
        <v>销售费用×((1+利率)^(建设周期÷2)-1)</v>
      </c>
      <c r="E24" s="787" t="s">
        <v>1774</v>
      </c>
      <c r="F24" s="822">
        <f ca="1">'数据-取费表'!B40</f>
        <v>4.7500000000000001E-2</v>
      </c>
      <c r="G24" s="1596"/>
      <c r="H24" s="2579" t="s">
        <v>1892</v>
      </c>
      <c r="I24" s="2574" t="s">
        <v>667</v>
      </c>
      <c r="J24" s="2572">
        <f ca="1">ROUND(J5*M24,0)</f>
        <v>0</v>
      </c>
      <c r="K24" s="2573" t="s">
        <v>1775</v>
      </c>
      <c r="L24" s="2574" t="s">
        <v>1748</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1841</v>
      </c>
      <c r="B25" s="787" t="s">
        <v>685</v>
      </c>
      <c r="C25" s="53"/>
      <c r="D25" s="261" t="s">
        <v>1776</v>
      </c>
      <c r="E25" s="3176"/>
      <c r="F25" s="56"/>
      <c r="G25" s="1595"/>
      <c r="H25" s="1833" t="s">
        <v>1777</v>
      </c>
      <c r="I25" s="3039" t="s">
        <v>2829</v>
      </c>
      <c r="J25" s="795">
        <f ca="1">J5-J16</f>
        <v>-226</v>
      </c>
      <c r="K25" s="2576" t="s">
        <v>1778</v>
      </c>
      <c r="L25" s="2577"/>
      <c r="M25" s="2578"/>
    </row>
    <row r="26" spans="1:33" ht="18" customHeight="1">
      <c r="A26" s="1651" t="s">
        <v>1832</v>
      </c>
      <c r="B26" s="787" t="s">
        <v>2442</v>
      </c>
      <c r="C26" s="53">
        <f ca="1">ROUND((C19+C20)*F26,0)</f>
        <v>744</v>
      </c>
      <c r="D26" s="815" t="s">
        <v>1779</v>
      </c>
      <c r="E26" s="798" t="s">
        <v>1780</v>
      </c>
      <c r="F26" s="797">
        <f ca="1">INDIRECT("'数据-取费表'!q"&amp;$G$1)</f>
        <v>0.1</v>
      </c>
      <c r="G26" s="1595"/>
      <c r="H26" s="2530" t="s">
        <v>1781</v>
      </c>
      <c r="I26" s="2236" t="s">
        <v>2834</v>
      </c>
      <c r="J26" s="786">
        <f ca="1">IF(J5&lt;&gt;0,ROUND(J25*(1-((1+M28)/(1+M26))^M27)/(M26-M28),0),0)</f>
        <v>0</v>
      </c>
      <c r="K26" s="817" t="s">
        <v>1782</v>
      </c>
      <c r="L26" s="787" t="s">
        <v>2423</v>
      </c>
      <c r="M26" s="797">
        <f ca="1">INDIRECT("'数据-取费表'!I"&amp;$G$1)</f>
        <v>0.05</v>
      </c>
    </row>
    <row r="27" spans="1:33" ht="18" customHeight="1">
      <c r="A27" s="1651" t="s">
        <v>1833</v>
      </c>
      <c r="B27" s="787" t="s">
        <v>687</v>
      </c>
      <c r="C27" s="53">
        <f ca="1">ROUND(F21*F26,4)</f>
        <v>3.0000000000000001E-3</v>
      </c>
      <c r="D27" s="815" t="s">
        <v>1783</v>
      </c>
      <c r="E27" s="809"/>
      <c r="F27" s="810"/>
      <c r="G27" s="1595"/>
      <c r="H27" s="2531"/>
      <c r="I27" s="790"/>
      <c r="J27" s="791"/>
      <c r="K27" s="824" t="s">
        <v>1784</v>
      </c>
      <c r="L27" s="787" t="s">
        <v>1785</v>
      </c>
      <c r="M27" s="825">
        <f ca="1">INDIRECT("'数据-取费表'!ag"&amp;$G$1)</f>
        <v>0</v>
      </c>
    </row>
    <row r="28" spans="1:33" s="2068" customFormat="1" ht="18" customHeight="1">
      <c r="A28" s="1653" t="s">
        <v>1842</v>
      </c>
      <c r="B28" s="787" t="s">
        <v>688</v>
      </c>
      <c r="C28" s="53">
        <f>ROUND(F28/(1+'数据-取费表'!C42),4)</f>
        <v>5.33E-2</v>
      </c>
      <c r="D28" s="815" t="s">
        <v>2302</v>
      </c>
      <c r="E28" s="787" t="s">
        <v>1786</v>
      </c>
      <c r="F28" s="812">
        <f>'数据-取费表'!B41</f>
        <v>5.6000000000000001E-2</v>
      </c>
      <c r="G28" s="1596"/>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2303</v>
      </c>
      <c r="C29" s="2572">
        <f ca="1">ROUND((C19+C20+C23+C26)/(1-F21-C24-C27-C28),0)</f>
        <v>9569</v>
      </c>
      <c r="D29" s="2573"/>
      <c r="E29" s="2574"/>
      <c r="F29" s="2575"/>
      <c r="G29" s="1596"/>
      <c r="H29" s="826" t="s">
        <v>1788</v>
      </c>
      <c r="I29" s="827" t="s">
        <v>1789</v>
      </c>
      <c r="J29" s="828">
        <f ca="1">ROUND(J26/(1+F40)^F41,0)</f>
        <v>0</v>
      </c>
      <c r="K29" s="829" t="s">
        <v>1790</v>
      </c>
      <c r="L29" s="830"/>
      <c r="M29" s="831">
        <f ca="1">INDIRECT("'数据-取费表'!k"&amp;$G$1)</f>
        <v>20759.810000000005</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1749</v>
      </c>
      <c r="B30" s="1831" t="s">
        <v>1750</v>
      </c>
      <c r="C30" s="795">
        <f ca="1">ROUND(C31+C36+C37+C38,0)</f>
        <v>305</v>
      </c>
      <c r="D30" s="1825" t="s">
        <v>1792</v>
      </c>
      <c r="E30" s="3170"/>
      <c r="F30" s="2519"/>
      <c r="G30" s="2066"/>
      <c r="H30" s="2069"/>
      <c r="I30" s="2070"/>
      <c r="J30" s="2071"/>
      <c r="K30" s="2072"/>
      <c r="L30" s="2073"/>
      <c r="M30" s="2074"/>
    </row>
    <row r="31" spans="1:33" ht="18" customHeight="1">
      <c r="A31" s="1652" t="s">
        <v>1831</v>
      </c>
      <c r="B31" s="787" t="s">
        <v>657</v>
      </c>
      <c r="C31" s="53">
        <f ca="1">ROUND(IF(项目基本情况!B11="自然人",C5*F31,C32+C33+C34),1)</f>
        <v>137.1</v>
      </c>
      <c r="D31" s="3168" t="s">
        <v>1754</v>
      </c>
      <c r="E31" s="3166"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1832</v>
      </c>
      <c r="B32" s="787" t="s">
        <v>1756</v>
      </c>
      <c r="C32" s="53">
        <f ca="1">ROUND(C5*F32/1.05,1)</f>
        <v>54.6</v>
      </c>
      <c r="D32" s="3166" t="s">
        <v>1757</v>
      </c>
      <c r="E32" s="787" t="s">
        <v>1797</v>
      </c>
      <c r="F32" s="812">
        <f>'数据-取费表'!B41</f>
        <v>5.6000000000000001E-2</v>
      </c>
      <c r="G32" s="2066"/>
      <c r="H32" s="2075"/>
      <c r="I32" s="2076"/>
      <c r="J32" s="2077"/>
      <c r="K32" s="2078"/>
      <c r="L32" s="2079"/>
      <c r="M32" s="2080"/>
    </row>
    <row r="33" spans="1:18" ht="18" customHeight="1">
      <c r="A33" s="1651" t="s">
        <v>1833</v>
      </c>
      <c r="B33" s="787" t="s">
        <v>1798</v>
      </c>
      <c r="C33" s="53">
        <f ca="1">IF(D33="按租金收入计税",ROUND(C5*F33,1),IF(D33="按房产原值计税",ROUND(C29*F33*0.7,1),INDIRECT("'数据-取费表'!Aj"&amp;$G$1)))</f>
        <v>80.400000000000006</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4" t="s">
        <v>1834</v>
      </c>
      <c r="B34" s="344" t="s">
        <v>1799</v>
      </c>
      <c r="C34" s="54">
        <f ca="1">ROUND(F34*F35/10000,1)</f>
        <v>2.1</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6918.89</v>
      </c>
      <c r="G35" s="2066"/>
      <c r="H35" s="2069"/>
      <c r="I35" s="840" t="s">
        <v>1815</v>
      </c>
      <c r="J35" s="841">
        <f ca="1">ROUND(C13*J36,0)</f>
        <v>813</v>
      </c>
      <c r="K35" s="2082"/>
      <c r="L35" s="2081"/>
      <c r="M35" s="2081"/>
    </row>
    <row r="36" spans="1:18" ht="18" customHeight="1">
      <c r="A36" s="1652" t="s">
        <v>1890</v>
      </c>
      <c r="B36" s="787" t="s">
        <v>1803</v>
      </c>
      <c r="C36" s="53">
        <f ca="1">ROUND(C29*F36,1)</f>
        <v>143.5</v>
      </c>
      <c r="D36" s="3166" t="s">
        <v>1804</v>
      </c>
      <c r="E36" s="787" t="s">
        <v>1797</v>
      </c>
      <c r="F36" s="820">
        <f ca="1">INDIRECT("'数据-取费表'!Ak"&amp;$G$1)</f>
        <v>1.4999999999999999E-2</v>
      </c>
      <c r="G36" s="2066"/>
      <c r="H36" s="2081"/>
      <c r="I36" s="842" t="s">
        <v>1816</v>
      </c>
      <c r="J36" s="843">
        <f ca="1">INDIRECT("'数据-取费表'!j"&amp;$G$1)</f>
        <v>8.5000000000000006E-2</v>
      </c>
      <c r="K36" s="2086"/>
      <c r="L36" s="2081"/>
      <c r="M36" s="2081"/>
    </row>
    <row r="37" spans="1:18" ht="18" customHeight="1">
      <c r="A37" s="1652" t="s">
        <v>1891</v>
      </c>
      <c r="B37" s="787" t="s">
        <v>680</v>
      </c>
      <c r="C37" s="53">
        <f ca="1">ROUND(C13*F37,1)</f>
        <v>14.4</v>
      </c>
      <c r="D37" s="3166" t="s">
        <v>1772</v>
      </c>
      <c r="E37" s="787" t="s">
        <v>1797</v>
      </c>
      <c r="F37" s="821">
        <f ca="1">INDIRECT("'数据-取费表'!Al"&amp;$G$1)</f>
        <v>1.5E-3</v>
      </c>
      <c r="G37" s="2066"/>
      <c r="H37" s="2081"/>
      <c r="I37" s="844" t="s">
        <v>1817</v>
      </c>
      <c r="J37" s="845"/>
      <c r="K37" s="2086"/>
      <c r="L37" s="2081"/>
      <c r="M37" s="2081"/>
    </row>
    <row r="38" spans="1:18" ht="18" customHeight="1" thickBot="1">
      <c r="A38" s="2579" t="s">
        <v>1892</v>
      </c>
      <c r="B38" s="2574" t="s">
        <v>667</v>
      </c>
      <c r="C38" s="2572">
        <f ca="1">ROUND(C5*F38,1)</f>
        <v>10.199999999999999</v>
      </c>
      <c r="D38" s="2573" t="s">
        <v>1775</v>
      </c>
      <c r="E38" s="2574" t="s">
        <v>1797</v>
      </c>
      <c r="F38" s="2570">
        <f ca="1">INDIRECT("'数据-取费表'!Am"&amp;$G$1)</f>
        <v>0.01</v>
      </c>
      <c r="G38" s="2066"/>
      <c r="H38" s="2081"/>
      <c r="I38" s="846" t="s">
        <v>1818</v>
      </c>
      <c r="J38" s="847"/>
      <c r="K38" s="2087"/>
      <c r="L38" s="2081"/>
      <c r="M38" s="2081"/>
    </row>
    <row r="39" spans="1:18" ht="24.6" customHeight="1" thickTop="1">
      <c r="A39" s="1833" t="s">
        <v>1777</v>
      </c>
      <c r="B39" s="3039" t="s">
        <v>2829</v>
      </c>
      <c r="C39" s="795">
        <f ca="1">C5-C30</f>
        <v>719</v>
      </c>
      <c r="D39" s="2576" t="s">
        <v>1807</v>
      </c>
      <c r="E39" s="2577"/>
      <c r="F39" s="2578"/>
      <c r="G39" s="2066"/>
      <c r="H39" s="2081"/>
      <c r="I39" s="840" t="s">
        <v>1819</v>
      </c>
      <c r="J39" s="848">
        <f ca="1">ROUND(J35/C39,3)</f>
        <v>1.131</v>
      </c>
      <c r="K39" s="2087"/>
      <c r="L39" s="2081"/>
      <c r="M39" s="2081"/>
    </row>
    <row r="40" spans="1:18" ht="18" customHeight="1">
      <c r="A40" s="784" t="s">
        <v>1896</v>
      </c>
      <c r="B40" s="2236" t="s">
        <v>2304</v>
      </c>
      <c r="C40" s="786">
        <f ca="1">ROUND(C39*(1-((1+F42)/(1+F40))^F41)/(F40-F42),0)</f>
        <v>14978</v>
      </c>
      <c r="D40" s="817" t="s">
        <v>1782</v>
      </c>
      <c r="E40" s="787" t="s">
        <v>2423</v>
      </c>
      <c r="F40" s="797">
        <f ca="1">INDIRECT("'数据-取费表'!I"&amp;$G$1)</f>
        <v>0.05</v>
      </c>
      <c r="G40" s="2066"/>
      <c r="H40" s="2066"/>
      <c r="I40" s="840" t="s">
        <v>1820</v>
      </c>
      <c r="J40" s="848">
        <f ca="1">1-J39</f>
        <v>-0.13100000000000001</v>
      </c>
      <c r="K40" s="2087"/>
      <c r="L40" s="2066"/>
      <c r="M40" s="2066"/>
    </row>
    <row r="41" spans="1:18" ht="18" customHeight="1">
      <c r="A41" s="789"/>
      <c r="B41" s="790"/>
      <c r="C41" s="791"/>
      <c r="D41" s="824" t="s">
        <v>1809</v>
      </c>
      <c r="E41" s="787" t="s">
        <v>1785</v>
      </c>
      <c r="F41" s="825">
        <f ca="1">IF(INDIRECT("'数据-取费表'!af"&amp;$G$1)=0,INDIRECT("'数据-取费表'!ae"&amp;$G$1),INDIRECT("'数据-取费表'!af"&amp;$G$1))</f>
        <v>33.83</v>
      </c>
      <c r="G41" s="2066"/>
      <c r="H41" s="1992"/>
      <c r="I41" s="846" t="s">
        <v>1821</v>
      </c>
      <c r="J41" s="849"/>
      <c r="K41" s="2086"/>
      <c r="L41" s="1992"/>
      <c r="M41" s="1992"/>
    </row>
    <row r="42" spans="1:18" ht="18" customHeight="1">
      <c r="A42" s="793"/>
      <c r="B42" s="794"/>
      <c r="C42" s="795"/>
      <c r="D42" s="819"/>
      <c r="E42" s="787" t="s">
        <v>1810</v>
      </c>
      <c r="F42" s="797">
        <f ca="1">INDIRECT("'数据-取费表'!v"&amp;$G$1)</f>
        <v>0.02</v>
      </c>
      <c r="G42" s="2066"/>
      <c r="H42" s="1992"/>
      <c r="I42" s="850" t="s">
        <v>1822</v>
      </c>
      <c r="J42" s="848">
        <f ca="1">ROUND(C13/C40,3)</f>
        <v>0.63900000000000001</v>
      </c>
      <c r="K42" s="2086"/>
      <c r="L42" s="1992"/>
      <c r="M42" s="1992"/>
    </row>
    <row r="43" spans="1:18" ht="18" customHeight="1" thickBot="1">
      <c r="A43" s="826" t="s">
        <v>1788</v>
      </c>
      <c r="B43" s="827" t="s">
        <v>1811</v>
      </c>
      <c r="C43" s="828">
        <f ca="1">ROUND(C40*10000/F43,0)</f>
        <v>7215</v>
      </c>
      <c r="D43" s="829" t="s">
        <v>1812</v>
      </c>
      <c r="E43" s="830" t="s">
        <v>1813</v>
      </c>
      <c r="F43" s="831">
        <f ca="1">INDIRECT("'数据-取费表'!k"&amp;$G$1)</f>
        <v>20759.810000000005</v>
      </c>
      <c r="G43" s="2066"/>
      <c r="H43" s="1992"/>
      <c r="I43" s="850" t="s">
        <v>1823</v>
      </c>
      <c r="J43" s="851">
        <f ca="1">1-J42</f>
        <v>0.36099999999999999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2298</v>
      </c>
      <c r="B46" s="2089"/>
      <c r="C46" s="2602">
        <f ca="1">C67-C40</f>
        <v>-18857</v>
      </c>
      <c r="D46" s="2089"/>
      <c r="E46" s="2089"/>
      <c r="F46" s="2089"/>
      <c r="I46" s="2382" t="s">
        <v>2346</v>
      </c>
      <c r="J46" s="2383"/>
      <c r="K46" s="2384"/>
      <c r="L46" s="2385" t="str">
        <f ca="1">IF(M47="住宅",0,IF(L48&gt;J51,L60,J60))</f>
        <v>0</v>
      </c>
      <c r="O46" s="2422" t="s">
        <v>2414</v>
      </c>
      <c r="P46" s="1595"/>
      <c r="Q46" s="1607"/>
      <c r="R46" s="1595"/>
    </row>
    <row r="47" spans="1:18" s="2063" customFormat="1" ht="18" customHeight="1" thickBot="1">
      <c r="A47" s="2376">
        <v>1</v>
      </c>
      <c r="B47" s="2377" t="s">
        <v>636</v>
      </c>
      <c r="C47" s="2602">
        <f ca="1">C48+C52+C54</f>
        <v>0</v>
      </c>
      <c r="D47" s="2089"/>
      <c r="E47" s="2089"/>
      <c r="F47" s="2089"/>
      <c r="I47" s="2386" t="s">
        <v>2347</v>
      </c>
      <c r="J47" s="2391" t="s">
        <v>3065</v>
      </c>
      <c r="K47" s="2392" t="s">
        <v>2353</v>
      </c>
      <c r="L47" s="2393">
        <f ca="1">INDIRECT("'数据-取费表'!d"&amp;$G$1)</f>
        <v>50</v>
      </c>
      <c r="M47" s="1607" t="str">
        <f>IF(ISNUMBER(FIND("住宅",C1)),"住宅","非住宅")</f>
        <v>非住宅</v>
      </c>
      <c r="O47" s="2423" t="s">
        <v>2379</v>
      </c>
      <c r="P47" s="2424" t="s">
        <v>2380</v>
      </c>
      <c r="Q47" s="2425" t="s">
        <v>2381</v>
      </c>
      <c r="R47" s="2424" t="s">
        <v>2382</v>
      </c>
    </row>
    <row r="48" spans="1:18" s="2063" customFormat="1" ht="18" customHeight="1" thickBot="1">
      <c r="A48" s="2671" t="s">
        <v>1871</v>
      </c>
      <c r="B48" s="2672" t="s">
        <v>2544</v>
      </c>
      <c r="C48" s="2378">
        <f ca="1">ROUND(F48*F50*F49*(1-F51)/10000,0)</f>
        <v>0</v>
      </c>
      <c r="D48" s="2379" t="s">
        <v>637</v>
      </c>
      <c r="E48" s="2380" t="s">
        <v>2299</v>
      </c>
      <c r="F48" s="2381"/>
      <c r="G48" s="2094"/>
      <c r="I48" s="2387" t="s">
        <v>2348</v>
      </c>
      <c r="J48" s="2394" t="s">
        <v>2354</v>
      </c>
      <c r="K48" s="2395" t="s">
        <v>2355</v>
      </c>
      <c r="L48" s="2396">
        <f ca="1">INDIRECT("'数据-取费表'!f"&amp;$G$1)</f>
        <v>36.83</v>
      </c>
      <c r="O48" s="2426" t="s">
        <v>2383</v>
      </c>
      <c r="P48" s="2427" t="s">
        <v>2409</v>
      </c>
      <c r="Q48" s="2428">
        <f ca="1">C40+J29</f>
        <v>14978</v>
      </c>
      <c r="R48" s="2427" t="s">
        <v>2384</v>
      </c>
    </row>
    <row r="49" spans="1:18" s="2063" customFormat="1" ht="18" customHeight="1" thickBot="1">
      <c r="A49" s="789"/>
      <c r="B49" s="790"/>
      <c r="C49" s="791"/>
      <c r="D49" s="792"/>
      <c r="E49" s="787" t="s">
        <v>1740</v>
      </c>
      <c r="F49" s="788">
        <f ca="1">F7</f>
        <v>20759.810000000005</v>
      </c>
      <c r="G49" s="2094"/>
      <c r="H49" s="2097"/>
      <c r="I49" s="2387" t="s">
        <v>2349</v>
      </c>
      <c r="J49" s="2397"/>
      <c r="K49" s="2398" t="s">
        <v>2356</v>
      </c>
      <c r="L49" s="2399"/>
      <c r="O49" s="2426" t="s">
        <v>2385</v>
      </c>
      <c r="P49" s="2427" t="s">
        <v>2410</v>
      </c>
      <c r="Q49" s="2428" t="str">
        <f ca="1">J60</f>
        <v>0</v>
      </c>
      <c r="R49" s="2427" t="s">
        <v>2386</v>
      </c>
    </row>
    <row r="50" spans="1:18" s="2063" customFormat="1" ht="18" customHeight="1" thickBot="1">
      <c r="A50" s="789"/>
      <c r="B50" s="790"/>
      <c r="C50" s="791"/>
      <c r="D50" s="792"/>
      <c r="E50" s="787" t="s">
        <v>1741</v>
      </c>
      <c r="F50" s="788">
        <f ca="1">F8</f>
        <v>365</v>
      </c>
      <c r="G50" s="2099"/>
      <c r="H50" s="2097"/>
      <c r="I50" s="2387" t="s">
        <v>2350</v>
      </c>
      <c r="J50" s="2400">
        <f>SUMPRODUCT((I63:I65=J47)*(J62:L62=J48)*(J63:L65))</f>
        <v>60</v>
      </c>
      <c r="K50" s="2398" t="s">
        <v>2357</v>
      </c>
      <c r="L50" s="2399"/>
      <c r="O50" s="2429" t="s">
        <v>2387</v>
      </c>
      <c r="P50" s="2427" t="s">
        <v>2411</v>
      </c>
      <c r="Q50" s="2428">
        <f ca="1">C29</f>
        <v>9569</v>
      </c>
      <c r="R50" s="2427" t="s">
        <v>2384</v>
      </c>
    </row>
    <row r="51" spans="1:18" s="2063" customFormat="1" ht="18" customHeight="1" thickBot="1">
      <c r="A51" s="789"/>
      <c r="B51" s="790"/>
      <c r="C51" s="791"/>
      <c r="D51" s="792"/>
      <c r="E51" s="787" t="s">
        <v>641</v>
      </c>
      <c r="F51" s="2375"/>
      <c r="H51" s="2097"/>
      <c r="I51" s="2388" t="s">
        <v>2351</v>
      </c>
      <c r="J51" s="2401">
        <f>IF(J49="",J50,J49+J50-YEAR('数据-取费表'!B2))</f>
        <v>60</v>
      </c>
      <c r="K51" s="2387" t="s">
        <v>2358</v>
      </c>
      <c r="L51" s="2402">
        <f ca="1">ROUND(-PV(INDIRECT("'数据-取费表'!h"&amp;$G$1),L48,(C39-C13*J36),0),0)</f>
        <v>-1682</v>
      </c>
      <c r="O51" s="2429" t="s">
        <v>2388</v>
      </c>
      <c r="P51" s="2427" t="s">
        <v>2389</v>
      </c>
      <c r="Q51" s="2430" t="e">
        <f ca="1">J58</f>
        <v>#VALUE!</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2425</v>
      </c>
      <c r="J52" s="2403"/>
      <c r="K52" s="2389" t="s">
        <v>2424</v>
      </c>
      <c r="L52" s="2403"/>
      <c r="O52" s="2429" t="s">
        <v>2390</v>
      </c>
      <c r="P52" s="2427" t="s">
        <v>2391</v>
      </c>
      <c r="Q52" s="2430">
        <f>J52</f>
        <v>0</v>
      </c>
      <c r="R52" s="2431"/>
    </row>
    <row r="53" spans="1:18" s="2063" customFormat="1" ht="39.75" customHeight="1" thickBot="1">
      <c r="A53" s="789"/>
      <c r="B53" s="2523" t="s">
        <v>2579</v>
      </c>
      <c r="C53" s="2527"/>
      <c r="D53" s="2529"/>
      <c r="E53" s="2526"/>
      <c r="F53" s="803"/>
      <c r="I53" s="2390" t="s">
        <v>2352</v>
      </c>
      <c r="J53" s="2404">
        <f ca="1">IF(M47="住宅",J51,IF(D1="——",MIN(J51,L48),IF(D1="土地（套用方法）",MIN(J51,L48-'数据-取费表'!B20))))</f>
        <v>33.83</v>
      </c>
      <c r="K53" s="3448" t="s">
        <v>2972</v>
      </c>
      <c r="L53" s="3449"/>
      <c r="O53" s="2429" t="s">
        <v>2392</v>
      </c>
      <c r="P53" s="2427" t="s">
        <v>2393</v>
      </c>
      <c r="Q53" s="2428">
        <f ca="1">J53</f>
        <v>33.83</v>
      </c>
      <c r="R53" s="2427" t="s">
        <v>2394</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2395</v>
      </c>
      <c r="P54" s="2427" t="s">
        <v>2412</v>
      </c>
      <c r="Q54" s="2428">
        <f ca="1">Q48+Q49</f>
        <v>14978</v>
      </c>
      <c r="R54" s="2431" t="s">
        <v>2396</v>
      </c>
    </row>
    <row r="55" spans="1:18" s="2063" customFormat="1" ht="18" customHeight="1" thickTop="1" thickBot="1">
      <c r="A55" s="800">
        <v>2</v>
      </c>
      <c r="B55" s="801" t="s">
        <v>645</v>
      </c>
      <c r="C55" s="802">
        <f ca="1">C13</f>
        <v>9569</v>
      </c>
      <c r="D55" s="798"/>
      <c r="E55" s="798"/>
      <c r="F55" s="803"/>
      <c r="I55" s="3129" t="s">
        <v>2359</v>
      </c>
      <c r="J55" s="3128" t="e">
        <f ca="1">ROUND(IF(J47="钢混",J57/J50,1-(1-2%)*(J50-J57)/J50),3)</f>
        <v>#VALUE!</v>
      </c>
      <c r="K55" s="2405" t="s">
        <v>2360</v>
      </c>
      <c r="L55" s="2406"/>
      <c r="O55" s="2432" t="s">
        <v>2415</v>
      </c>
      <c r="P55" s="1595"/>
      <c r="Q55" s="1607"/>
      <c r="R55" s="1595"/>
    </row>
    <row r="56" spans="1:18" s="2063" customFormat="1" ht="42.75" customHeight="1" thickBot="1">
      <c r="A56" s="1653"/>
      <c r="B56" s="2235" t="s">
        <v>2303</v>
      </c>
      <c r="C56" s="53">
        <f ca="1">C29</f>
        <v>9569</v>
      </c>
      <c r="D56" s="3166"/>
      <c r="E56" s="787"/>
      <c r="F56" s="812"/>
      <c r="I56" s="2407" t="s">
        <v>2361</v>
      </c>
      <c r="J56" s="3152" t="s">
        <v>1679</v>
      </c>
      <c r="K56" s="2387" t="s">
        <v>2366</v>
      </c>
      <c r="L56" s="2396" t="str">
        <f ca="1">IF(L48&lt;J51,"——",L48-J51)</f>
        <v>——</v>
      </c>
      <c r="O56" s="2423" t="s">
        <v>2379</v>
      </c>
      <c r="P56" s="2424" t="s">
        <v>2380</v>
      </c>
      <c r="Q56" s="2425" t="s">
        <v>2381</v>
      </c>
      <c r="R56" s="2424" t="s">
        <v>2382</v>
      </c>
    </row>
    <row r="57" spans="1:18" s="2063" customFormat="1" ht="28.5" customHeight="1" thickBot="1">
      <c r="A57" s="800" t="s">
        <v>1749</v>
      </c>
      <c r="B57" s="801" t="s">
        <v>652</v>
      </c>
      <c r="C57" s="802">
        <f ca="1">ROUND(C58+C63+C64+C65,0)</f>
        <v>240</v>
      </c>
      <c r="D57" s="26" t="s">
        <v>1751</v>
      </c>
      <c r="E57" s="3176"/>
      <c r="F57" s="56"/>
      <c r="I57" s="2408" t="s">
        <v>2362</v>
      </c>
      <c r="J57" s="2410" t="str">
        <f ca="1">IF(OR(M47="住宅",J51&lt;L48,J56="是"),"——",J51-L48)</f>
        <v>——</v>
      </c>
      <c r="K57" s="2387" t="s">
        <v>2367</v>
      </c>
      <c r="L57" s="2396" t="str">
        <f ca="1">IF(L48&lt;J51,"——",IF(L55="比较法",L49,IF(L55="基准地价",L50,L51)))</f>
        <v>——</v>
      </c>
      <c r="O57" s="2426" t="s">
        <v>2383</v>
      </c>
      <c r="P57" s="2427" t="s">
        <v>2409</v>
      </c>
      <c r="Q57" s="2428">
        <f ca="1">C40+J29</f>
        <v>14978</v>
      </c>
      <c r="R57" s="2427" t="s">
        <v>2384</v>
      </c>
    </row>
    <row r="58" spans="1:18" s="2063" customFormat="1" ht="28.5" customHeight="1" thickBot="1">
      <c r="A58" s="1652" t="s">
        <v>1825</v>
      </c>
      <c r="B58" s="787" t="s">
        <v>657</v>
      </c>
      <c r="C58" s="53">
        <f ca="1">ROUND(IF(项目基本情况!B11="自然人",C47*F58,C59+C60+C61),1)</f>
        <v>82.5</v>
      </c>
      <c r="D58" s="3168" t="s">
        <v>658</v>
      </c>
      <c r="E58" s="3166" t="s">
        <v>691</v>
      </c>
      <c r="F58" s="813" t="str">
        <f ca="1">IF(项目基本情况!B11="企业","",IF(INDIRECT("'数据-取费表'!c"&amp;$G$1)="住宅",5%,IF(F48*F49*F50/12/(1+'数据-取费表'!C42)&gt;20000,12%,7%)))</f>
        <v/>
      </c>
      <c r="I58" s="2408" t="s">
        <v>2363</v>
      </c>
      <c r="J58" s="3130" t="e">
        <f ca="1">IF(J55&lt;0.4,0.4,J55)</f>
        <v>#VALUE!</v>
      </c>
      <c r="K58" s="2387" t="s">
        <v>2368</v>
      </c>
      <c r="L58" s="2396" t="e">
        <f ca="1">ROUND(POWER(1+L52,L47-L48)*(POWER(1+L52,L48)-1)/(POWER(1+L52,L47)-1),4)</f>
        <v>#DIV/0!</v>
      </c>
      <c r="O58" s="2426" t="s">
        <v>2385</v>
      </c>
      <c r="P58" s="2427" t="s">
        <v>2416</v>
      </c>
      <c r="Q58" s="2428">
        <f ca="1">L60</f>
        <v>0</v>
      </c>
      <c r="R58" s="2431" t="s">
        <v>2418</v>
      </c>
    </row>
    <row r="59" spans="1:18" s="2063" customFormat="1" ht="28.5" customHeight="1" thickBot="1">
      <c r="A59" s="1651" t="s">
        <v>1832</v>
      </c>
      <c r="B59" s="787" t="s">
        <v>661</v>
      </c>
      <c r="C59" s="53">
        <f ca="1">ROUND(C47*F59/1.05,1)</f>
        <v>0</v>
      </c>
      <c r="D59" s="3166" t="s">
        <v>1757</v>
      </c>
      <c r="E59" s="787" t="s">
        <v>1748</v>
      </c>
      <c r="F59" s="812">
        <f t="shared" ref="F59:F65" si="0">F32</f>
        <v>5.6000000000000001E-2</v>
      </c>
      <c r="I59" s="2408" t="s">
        <v>2364</v>
      </c>
      <c r="J59" s="2410"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2387</v>
      </c>
      <c r="P59" s="2427" t="s">
        <v>2417</v>
      </c>
      <c r="Q59" s="2428">
        <f>IF(L55="比较法",L49,IF(L55="基准地价",L50,0))</f>
        <v>0</v>
      </c>
      <c r="R59" s="2427" t="s">
        <v>2384</v>
      </c>
    </row>
    <row r="60" spans="1:18" s="2063" customFormat="1" ht="18" customHeight="1" thickBot="1">
      <c r="A60" s="1651" t="s">
        <v>1833</v>
      </c>
      <c r="B60" s="787" t="s">
        <v>1759</v>
      </c>
      <c r="C60" s="53">
        <f ca="1">IF(D60="按租金收入计税",ROUND(C47*F60,1),IF(D60="按房产原值计税",ROUND(C56*F60*0.7,1),INDIRECT("'数据-取费表'!Aj"&amp;$G$1)))</f>
        <v>80.400000000000006</v>
      </c>
      <c r="D60" s="3166" t="str">
        <f>D33</f>
        <v>按房产原值计税</v>
      </c>
      <c r="E60" s="787" t="s">
        <v>1748</v>
      </c>
      <c r="F60" s="812">
        <f t="shared" si="0"/>
        <v>1.2E-2</v>
      </c>
      <c r="I60" s="2409" t="s">
        <v>2365</v>
      </c>
      <c r="J60" s="2411" t="str">
        <f ca="1">IF(OR(M47="住宅",J51&lt;L48,J56="是"),"0",ROUND(J59/(1+J52)^J53,0))</f>
        <v>0</v>
      </c>
      <c r="K60" s="2412" t="s">
        <v>2370</v>
      </c>
      <c r="L60" s="2411">
        <f ca="1">IF(OR(M47="住宅",L48&lt;J51),0,ROUND(L57*(L58/L59-1),0))</f>
        <v>0</v>
      </c>
      <c r="O60" s="2429" t="s">
        <v>2388</v>
      </c>
      <c r="P60" s="2427" t="s">
        <v>2397</v>
      </c>
      <c r="Q60" s="2430">
        <f>L52</f>
        <v>0</v>
      </c>
      <c r="R60" s="2431"/>
    </row>
    <row r="61" spans="1:18" s="2063" customFormat="1" ht="18" customHeight="1" thickBot="1">
      <c r="A61" s="1654" t="s">
        <v>1834</v>
      </c>
      <c r="B61" s="344" t="s">
        <v>669</v>
      </c>
      <c r="C61" s="54">
        <f ca="1">ROUND(F61*F62/10000,1)</f>
        <v>2.1</v>
      </c>
      <c r="D61" s="817" t="s">
        <v>670</v>
      </c>
      <c r="E61" s="787" t="s">
        <v>671</v>
      </c>
      <c r="F61" s="643">
        <f t="shared" si="0"/>
        <v>3</v>
      </c>
      <c r="K61" s="2090"/>
      <c r="O61" s="2429" t="s">
        <v>2390</v>
      </c>
      <c r="P61" s="2427" t="s">
        <v>2398</v>
      </c>
      <c r="Q61" s="2428" t="e">
        <f ca="1">L58</f>
        <v>#DIV/0!</v>
      </c>
      <c r="R61" s="2431" t="s">
        <v>2399</v>
      </c>
    </row>
    <row r="62" spans="1:18" s="2063" customFormat="1" ht="15.75" thickBot="1">
      <c r="A62" s="818"/>
      <c r="B62" s="796"/>
      <c r="C62" s="69"/>
      <c r="D62" s="819"/>
      <c r="E62" s="787" t="s">
        <v>675</v>
      </c>
      <c r="F62" s="788">
        <f t="shared" ca="1" si="0"/>
        <v>6918.89</v>
      </c>
      <c r="I62" s="2413" t="s">
        <v>2371</v>
      </c>
      <c r="J62" s="2414" t="s">
        <v>2372</v>
      </c>
      <c r="K62" s="2414" t="s">
        <v>2373</v>
      </c>
      <c r="L62" s="2414" t="s">
        <v>2354</v>
      </c>
      <c r="M62" s="3131" t="s">
        <v>2947</v>
      </c>
      <c r="O62" s="2429" t="s">
        <v>2392</v>
      </c>
      <c r="P62" s="2427" t="str">
        <f>K59</f>
        <v>建设期及建筑物耐用年限下的土地年期修正系数Kn</v>
      </c>
      <c r="Q62" s="2428" t="e">
        <f ca="1">L59</f>
        <v>#DIV/0!</v>
      </c>
      <c r="R62" s="2431" t="s">
        <v>2401</v>
      </c>
    </row>
    <row r="63" spans="1:18" s="2063" customFormat="1" ht="15.75" thickBot="1">
      <c r="A63" s="1652" t="s">
        <v>1890</v>
      </c>
      <c r="B63" s="787" t="s">
        <v>677</v>
      </c>
      <c r="C63" s="53">
        <f ca="1">ROUND(C56*F63,1)</f>
        <v>143.5</v>
      </c>
      <c r="D63" s="3166" t="s">
        <v>1804</v>
      </c>
      <c r="E63" s="787" t="s">
        <v>1748</v>
      </c>
      <c r="F63" s="820">
        <f t="shared" ca="1" si="0"/>
        <v>1.4999999999999999E-2</v>
      </c>
      <c r="I63" s="2413" t="s">
        <v>2374</v>
      </c>
      <c r="J63" s="2414">
        <v>70</v>
      </c>
      <c r="K63" s="2414">
        <v>50</v>
      </c>
      <c r="L63" s="2414">
        <v>80</v>
      </c>
      <c r="M63" s="3132">
        <v>0.02</v>
      </c>
      <c r="O63" s="2426" t="s">
        <v>2395</v>
      </c>
      <c r="P63" s="2427" t="s">
        <v>2412</v>
      </c>
      <c r="Q63" s="2428">
        <f ca="1">Q57+Q58</f>
        <v>14978</v>
      </c>
      <c r="R63" s="2431" t="s">
        <v>2396</v>
      </c>
    </row>
    <row r="64" spans="1:18" s="2063" customFormat="1" ht="16.5" thickBot="1">
      <c r="A64" s="1652" t="s">
        <v>1891</v>
      </c>
      <c r="B64" s="787" t="s">
        <v>680</v>
      </c>
      <c r="C64" s="53">
        <f ca="1">ROUND(C55*F64,1)</f>
        <v>14.4</v>
      </c>
      <c r="D64" s="3166" t="s">
        <v>681</v>
      </c>
      <c r="E64" s="787" t="s">
        <v>1748</v>
      </c>
      <c r="F64" s="821">
        <f t="shared" ca="1" si="0"/>
        <v>1.5E-3</v>
      </c>
      <c r="I64" s="2413" t="s">
        <v>2375</v>
      </c>
      <c r="J64" s="2414">
        <v>50</v>
      </c>
      <c r="K64" s="2414">
        <v>35</v>
      </c>
      <c r="L64" s="2414">
        <v>60</v>
      </c>
      <c r="M64" s="3133">
        <v>0</v>
      </c>
      <c r="O64" s="2432" t="s">
        <v>2419</v>
      </c>
      <c r="P64" s="1595"/>
      <c r="Q64" s="1607"/>
      <c r="R64" s="1595"/>
    </row>
    <row r="65" spans="1:18" s="2063" customFormat="1" ht="15.75" thickBot="1">
      <c r="A65" s="1652" t="s">
        <v>1892</v>
      </c>
      <c r="B65" s="787" t="s">
        <v>667</v>
      </c>
      <c r="C65" s="53">
        <f ca="1">ROUND(C47*F65,1)</f>
        <v>0</v>
      </c>
      <c r="D65" s="3166" t="s">
        <v>684</v>
      </c>
      <c r="E65" s="787" t="s">
        <v>1748</v>
      </c>
      <c r="F65" s="797">
        <f t="shared" ca="1" si="0"/>
        <v>0.01</v>
      </c>
      <c r="I65" s="2413" t="s">
        <v>2376</v>
      </c>
      <c r="J65" s="2414">
        <v>40</v>
      </c>
      <c r="K65" s="2414">
        <v>30</v>
      </c>
      <c r="L65" s="2414">
        <v>50</v>
      </c>
      <c r="M65" s="3132">
        <v>0.02</v>
      </c>
      <c r="O65" s="2423" t="s">
        <v>2379</v>
      </c>
      <c r="P65" s="2424" t="s">
        <v>2380</v>
      </c>
      <c r="Q65" s="2425" t="s">
        <v>2381</v>
      </c>
      <c r="R65" s="2424" t="s">
        <v>2382</v>
      </c>
    </row>
    <row r="66" spans="1:18" s="2063" customFormat="1" ht="24.75" thickBot="1">
      <c r="A66" s="800" t="s">
        <v>1777</v>
      </c>
      <c r="B66" s="3040" t="s">
        <v>2829</v>
      </c>
      <c r="C66" s="802">
        <f ca="1">C47-C57</f>
        <v>-240</v>
      </c>
      <c r="D66" s="3168" t="s">
        <v>701</v>
      </c>
      <c r="E66" s="3171"/>
      <c r="F66" s="823"/>
      <c r="K66" s="2090"/>
      <c r="O66" s="2426" t="s">
        <v>2383</v>
      </c>
      <c r="P66" s="2427" t="s">
        <v>2409</v>
      </c>
      <c r="Q66" s="2428">
        <f ca="1">C40+J29</f>
        <v>14978</v>
      </c>
      <c r="R66" s="2427" t="s">
        <v>2384</v>
      </c>
    </row>
    <row r="67" spans="1:18" s="2063" customFormat="1" ht="20.25" thickBot="1">
      <c r="A67" s="784" t="s">
        <v>1781</v>
      </c>
      <c r="B67" s="2236" t="s">
        <v>2304</v>
      </c>
      <c r="C67" s="786">
        <f ca="1">ROUND(C66*(1-((1+F69)/(1+F67))^F68)/(F67-F69),0)</f>
        <v>-3879</v>
      </c>
      <c r="D67" s="817" t="s">
        <v>705</v>
      </c>
      <c r="E67" s="787" t="s">
        <v>706</v>
      </c>
      <c r="F67" s="797">
        <f ca="1">F40</f>
        <v>0.05</v>
      </c>
      <c r="K67" s="2090"/>
      <c r="O67" s="2426" t="s">
        <v>2385</v>
      </c>
      <c r="P67" s="2427" t="s">
        <v>2416</v>
      </c>
      <c r="Q67" s="2428">
        <f ca="1">L60</f>
        <v>0</v>
      </c>
      <c r="R67" s="2431" t="s">
        <v>2418</v>
      </c>
    </row>
    <row r="68" spans="1:18" ht="21.75" thickBot="1">
      <c r="A68" s="789"/>
      <c r="B68" s="790"/>
      <c r="C68" s="791"/>
      <c r="D68" s="824" t="s">
        <v>1809</v>
      </c>
      <c r="E68" s="787" t="s">
        <v>1785</v>
      </c>
      <c r="F68" s="825">
        <f ca="1">F41</f>
        <v>33.83</v>
      </c>
      <c r="O68" s="2429" t="s">
        <v>2387</v>
      </c>
      <c r="P68" s="2427" t="s">
        <v>2417</v>
      </c>
      <c r="Q68" s="2433">
        <f ca="1">L51</f>
        <v>-1682</v>
      </c>
      <c r="R68" s="2434" t="s">
        <v>2420</v>
      </c>
    </row>
    <row r="69" spans="1:18" ht="20.25" thickBot="1">
      <c r="A69" s="793"/>
      <c r="B69" s="794"/>
      <c r="C69" s="795"/>
      <c r="D69" s="819"/>
      <c r="E69" s="787" t="s">
        <v>711</v>
      </c>
      <c r="F69" s="2375"/>
      <c r="O69" s="2429" t="s">
        <v>2388</v>
      </c>
      <c r="P69" s="2435" t="s">
        <v>2402</v>
      </c>
      <c r="Q69" s="2428">
        <f ca="1">ROUND(Q70-Q71*Q72,0)</f>
        <v>-94</v>
      </c>
      <c r="R69" s="2431"/>
    </row>
    <row r="70" spans="1:18" ht="15.75" thickBot="1">
      <c r="A70" s="826" t="s">
        <v>1788</v>
      </c>
      <c r="B70" s="827" t="s">
        <v>1811</v>
      </c>
      <c r="C70" s="828">
        <f ca="1">ROUND(C67*10000/F70,0)</f>
        <v>-1869</v>
      </c>
      <c r="D70" s="829" t="s">
        <v>1812</v>
      </c>
      <c r="E70" s="830" t="s">
        <v>1813</v>
      </c>
      <c r="F70" s="831">
        <f ca="1">F43</f>
        <v>20759.810000000005</v>
      </c>
      <c r="O70" s="2429" t="s">
        <v>2403</v>
      </c>
      <c r="P70" s="2435" t="s">
        <v>2404</v>
      </c>
      <c r="Q70" s="2428">
        <f ca="1">C39</f>
        <v>719</v>
      </c>
      <c r="R70" s="2427" t="s">
        <v>2384</v>
      </c>
    </row>
    <row r="71" spans="1:18" ht="15.75" thickBot="1">
      <c r="O71" s="2429" t="s">
        <v>2405</v>
      </c>
      <c r="P71" s="2435" t="s">
        <v>2406</v>
      </c>
      <c r="Q71" s="2428">
        <f ca="1">C13</f>
        <v>9569</v>
      </c>
      <c r="R71" s="2427" t="s">
        <v>2384</v>
      </c>
    </row>
    <row r="72" spans="1:18" ht="15.75" thickBot="1">
      <c r="O72" s="2429" t="s">
        <v>2407</v>
      </c>
      <c r="P72" s="2435" t="s">
        <v>2408</v>
      </c>
      <c r="Q72" s="2430">
        <f ca="1">J36</f>
        <v>8.5000000000000006E-2</v>
      </c>
      <c r="R72" s="2431"/>
    </row>
    <row r="73" spans="1:18" ht="15.75" thickBot="1">
      <c r="O73" s="2429" t="s">
        <v>2390</v>
      </c>
      <c r="P73" s="2427" t="s">
        <v>2397</v>
      </c>
      <c r="Q73" s="2430">
        <f>L52</f>
        <v>0</v>
      </c>
      <c r="R73" s="2431"/>
    </row>
    <row r="74" spans="1:18" ht="20.25" thickBot="1">
      <c r="O74" s="2429" t="s">
        <v>2392</v>
      </c>
      <c r="P74" s="2427" t="s">
        <v>2398</v>
      </c>
      <c r="Q74" s="2428" t="e">
        <f ca="1">L58</f>
        <v>#DIV/0!</v>
      </c>
      <c r="R74" s="2431" t="s">
        <v>2399</v>
      </c>
    </row>
    <row r="75" spans="1:18" ht="15.75" thickBot="1">
      <c r="O75" s="2429" t="s">
        <v>2421</v>
      </c>
      <c r="P75" s="2427" t="str">
        <f>K59</f>
        <v>建设期及建筑物耐用年限下的土地年期修正系数Kn</v>
      </c>
      <c r="Q75" s="2428" t="e">
        <f ca="1">L59</f>
        <v>#DIV/0!</v>
      </c>
      <c r="R75" s="2431" t="s">
        <v>2401</v>
      </c>
    </row>
    <row r="76" spans="1:18" ht="15.75" thickBot="1">
      <c r="O76" s="2426" t="s">
        <v>2395</v>
      </c>
      <c r="P76" s="2427" t="s">
        <v>2412</v>
      </c>
      <c r="Q76" s="2428">
        <f ca="1">Q66+Q67</f>
        <v>14978</v>
      </c>
      <c r="R76" s="2431"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J49" sqref="J49"/>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3027</v>
      </c>
      <c r="D1" s="3158" t="s">
        <v>3063</v>
      </c>
      <c r="E1" s="2415" t="s">
        <v>2378</v>
      </c>
      <c r="F1" s="2416">
        <f ca="1">J53</f>
        <v>33.83</v>
      </c>
      <c r="G1" s="777">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29091</v>
      </c>
      <c r="C2" s="2061"/>
      <c r="D2" s="2059"/>
      <c r="E2" s="2060"/>
      <c r="F2" s="2060"/>
      <c r="G2" s="1593"/>
      <c r="H2" s="2061"/>
      <c r="I2" s="2061"/>
      <c r="J2" s="2061"/>
      <c r="K2" s="2062"/>
      <c r="L2" s="2061"/>
      <c r="M2" s="2061"/>
    </row>
    <row r="3" spans="1:33" ht="18" customHeight="1" thickBot="1">
      <c r="A3" s="836" t="s">
        <v>1728</v>
      </c>
      <c r="B3" s="837">
        <f ca="1">IF(ISERROR(B2*10000/F43),0,ROUND(B2*10000/F43,0))</f>
        <v>24243</v>
      </c>
      <c r="C3" s="2061"/>
      <c r="D3" s="2059"/>
      <c r="E3" s="2060"/>
      <c r="F3" s="2060"/>
      <c r="G3" s="1593"/>
      <c r="H3" s="779" t="s">
        <v>696</v>
      </c>
      <c r="I3" s="1366"/>
      <c r="J3" s="1366"/>
      <c r="K3" s="1594"/>
      <c r="L3" s="1366"/>
      <c r="M3" s="1366"/>
    </row>
    <row r="4" spans="1:33" ht="18" customHeight="1">
      <c r="A4" s="780" t="s">
        <v>1729</v>
      </c>
      <c r="B4" s="781" t="s">
        <v>1730</v>
      </c>
      <c r="C4" s="781" t="s">
        <v>1731</v>
      </c>
      <c r="D4" s="781" t="s">
        <v>634</v>
      </c>
      <c r="E4" s="782" t="s">
        <v>1732</v>
      </c>
      <c r="F4" s="783"/>
      <c r="G4" s="1595"/>
      <c r="H4" s="780" t="s">
        <v>1733</v>
      </c>
      <c r="I4" s="781" t="s">
        <v>1734</v>
      </c>
      <c r="J4" s="781" t="s">
        <v>1735</v>
      </c>
      <c r="K4" s="781" t="s">
        <v>1736</v>
      </c>
      <c r="L4" s="782" t="s">
        <v>1737</v>
      </c>
      <c r="M4" s="783"/>
    </row>
    <row r="5" spans="1:33" ht="18" customHeight="1">
      <c r="A5" s="784">
        <v>1</v>
      </c>
      <c r="B5" s="785" t="s">
        <v>2463</v>
      </c>
      <c r="C5" s="55">
        <f ca="1">C6+C10+C12</f>
        <v>1776</v>
      </c>
      <c r="D5" s="2524" t="s">
        <v>2466</v>
      </c>
      <c r="E5" s="2518"/>
      <c r="F5" s="2519"/>
      <c r="G5" s="1595"/>
      <c r="H5" s="784">
        <v>1</v>
      </c>
      <c r="I5" s="785" t="s">
        <v>2463</v>
      </c>
      <c r="J5" s="55">
        <f ca="1">J6+J10+J12</f>
        <v>0</v>
      </c>
      <c r="K5" s="2524" t="s">
        <v>2466</v>
      </c>
      <c r="L5" s="2518"/>
      <c r="M5" s="2519"/>
    </row>
    <row r="6" spans="1:33" ht="18" customHeight="1">
      <c r="A6" s="1834" t="s">
        <v>1825</v>
      </c>
      <c r="B6" s="3425" t="s">
        <v>2468</v>
      </c>
      <c r="C6" s="786">
        <f ca="1">ROUND(F6*F8*F7*(1-F9)/10000,0)</f>
        <v>1774</v>
      </c>
      <c r="D6" s="2525" t="s">
        <v>2467</v>
      </c>
      <c r="E6" s="787" t="s">
        <v>1739</v>
      </c>
      <c r="F6" s="788">
        <f ca="1">INDIRECT("'数据-取费表'!u"&amp;$G$1)</f>
        <v>4.5</v>
      </c>
      <c r="G6" s="1595"/>
      <c r="H6" s="2532" t="s">
        <v>2474</v>
      </c>
      <c r="I6" s="3425" t="s">
        <v>2468</v>
      </c>
      <c r="J6" s="786">
        <f ca="1">ROUND(M6*M8*M7*(1-M9)/10000,0)</f>
        <v>0</v>
      </c>
      <c r="K6" s="344" t="s">
        <v>1738</v>
      </c>
      <c r="L6" s="787" t="s">
        <v>1739</v>
      </c>
      <c r="M6" s="788">
        <f ca="1">INDIRECT("'数据-取费表'!z"&amp;$G$1)</f>
        <v>0</v>
      </c>
    </row>
    <row r="7" spans="1:33" ht="18" customHeight="1">
      <c r="A7" s="2528"/>
      <c r="B7" s="3426"/>
      <c r="C7" s="791"/>
      <c r="D7" s="792"/>
      <c r="E7" s="787" t="s">
        <v>1740</v>
      </c>
      <c r="F7" s="788">
        <f ca="1">IF(INDIRECT("'数据-取费表'!ah"&amp;$G$1)="",INDIRECT("'数据-取费表'!k"&amp;$G$1),INDIRECT("'数据-取费表'!ah"&amp;$G$1))</f>
        <v>12000</v>
      </c>
      <c r="G7" s="1595"/>
      <c r="H7" s="2517"/>
      <c r="I7" s="3426"/>
      <c r="J7" s="791"/>
      <c r="K7" s="792"/>
      <c r="L7" s="787" t="s">
        <v>1740</v>
      </c>
      <c r="M7" s="788">
        <f ca="1">F7</f>
        <v>12000</v>
      </c>
    </row>
    <row r="8" spans="1:33" ht="18" customHeight="1">
      <c r="A8" s="2521"/>
      <c r="B8" s="3427"/>
      <c r="C8" s="791"/>
      <c r="D8" s="792"/>
      <c r="E8" s="787" t="s">
        <v>1741</v>
      </c>
      <c r="F8" s="788">
        <f ca="1">INDIRECT("'数据-取费表'!ai"&amp;$G$1)</f>
        <v>365</v>
      </c>
      <c r="G8" s="1595"/>
      <c r="H8" s="2517"/>
      <c r="I8" s="3427"/>
      <c r="J8" s="791"/>
      <c r="K8" s="792"/>
      <c r="L8" s="787" t="s">
        <v>1741</v>
      </c>
      <c r="M8" s="788">
        <f ca="1">INDIRECT("'数据-取费表'!ai"&amp;$G$1)</f>
        <v>365</v>
      </c>
    </row>
    <row r="9" spans="1:33" ht="18" customHeight="1">
      <c r="A9" s="789"/>
      <c r="B9" s="3428"/>
      <c r="C9" s="791"/>
      <c r="D9" s="792"/>
      <c r="E9" s="787" t="s">
        <v>1742</v>
      </c>
      <c r="F9" s="797">
        <f ca="1">INDIRECT("'数据-取费表'!w"&amp;$G$1)</f>
        <v>0.1</v>
      </c>
      <c r="G9" s="1595"/>
      <c r="H9" s="2533"/>
      <c r="I9" s="3427"/>
      <c r="J9" s="791"/>
      <c r="K9" s="792"/>
      <c r="L9" s="798" t="s">
        <v>1742</v>
      </c>
      <c r="M9" s="799">
        <f ca="1">INDIRECT("'数据-取费表'!ab"&amp;$G$1)</f>
        <v>0</v>
      </c>
    </row>
    <row r="10" spans="1:33" ht="18" customHeight="1">
      <c r="A10" s="1834" t="s">
        <v>2472</v>
      </c>
      <c r="B10" s="2522" t="s">
        <v>2464</v>
      </c>
      <c r="C10" s="802">
        <f ca="1">ROUND(IF(F10="押一",F6*F8*F7/12*F11,IF(F10="押二",F6*F8*F7/12*2*F11,IF(F10="押三",F6*F8*F7/12*3*F11,C11*F11)))/10000,0)</f>
        <v>2</v>
      </c>
      <c r="D10" s="2529" t="s">
        <v>2471</v>
      </c>
      <c r="E10" s="2526" t="s">
        <v>2469</v>
      </c>
      <c r="F10" s="2649" t="s">
        <v>3064</v>
      </c>
      <c r="G10" s="1595"/>
      <c r="H10" s="2589" t="s">
        <v>2475</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2470</v>
      </c>
      <c r="F11" s="799">
        <f ca="1">'数据-取费表'!B39</f>
        <v>1.4999999999999999E-2</v>
      </c>
      <c r="G11" s="1595"/>
      <c r="H11" s="2590"/>
      <c r="I11" s="2523" t="s">
        <v>2579</v>
      </c>
      <c r="J11" s="2527"/>
      <c r="K11" s="2591"/>
      <c r="L11" s="2526" t="s">
        <v>2470</v>
      </c>
      <c r="M11" s="2520">
        <f ca="1">'数据-取费表'!B39</f>
        <v>1.4999999999999999E-2</v>
      </c>
    </row>
    <row r="12" spans="1:33" ht="18" customHeight="1" thickBot="1">
      <c r="A12" s="2565" t="s">
        <v>2473</v>
      </c>
      <c r="B12" s="2566" t="s">
        <v>2465</v>
      </c>
      <c r="C12" s="2567"/>
      <c r="D12" s="2568"/>
      <c r="E12" s="2569"/>
      <c r="F12" s="2570"/>
      <c r="G12" s="1595"/>
      <c r="H12" s="2579" t="s">
        <v>2476</v>
      </c>
      <c r="I12" s="2592" t="s">
        <v>2465</v>
      </c>
      <c r="J12" s="2593"/>
      <c r="K12" s="2568"/>
      <c r="L12" s="2569"/>
      <c r="M12" s="2582"/>
    </row>
    <row r="13" spans="1:33" ht="18" customHeight="1" thickTop="1">
      <c r="A13" s="1833">
        <v>2</v>
      </c>
      <c r="B13" s="1831" t="s">
        <v>1743</v>
      </c>
      <c r="C13" s="795">
        <f ca="1">ROUND(C29*F13,0)</f>
        <v>6659</v>
      </c>
      <c r="D13" s="1838" t="s">
        <v>2300</v>
      </c>
      <c r="E13" s="1838" t="s">
        <v>1745</v>
      </c>
      <c r="F13" s="2564">
        <f ca="1">INDIRECT("'数据-取费表'!y"&amp;$G$1)</f>
        <v>1</v>
      </c>
      <c r="G13" s="1595"/>
      <c r="H13" s="1833">
        <v>2</v>
      </c>
      <c r="I13" s="1831" t="s">
        <v>1743</v>
      </c>
      <c r="J13" s="1823">
        <f ca="1">ROUND(J14*J15,0)</f>
        <v>0</v>
      </c>
      <c r="K13" s="1825" t="s">
        <v>1744</v>
      </c>
      <c r="L13" s="2580"/>
      <c r="M13" s="2581"/>
    </row>
    <row r="14" spans="1:33" ht="18" customHeight="1">
      <c r="A14" s="1651" t="s">
        <v>1885</v>
      </c>
      <c r="B14" s="787" t="s">
        <v>646</v>
      </c>
      <c r="C14" s="807">
        <f ca="1">INDIRECT("'数据-取费表'!m"&amp;$G$1)+INDIRECT("'数据-取费表'!t"&amp;$G$1)</f>
        <v>4290</v>
      </c>
      <c r="D14" s="1983" t="s">
        <v>1746</v>
      </c>
      <c r="E14" s="1984"/>
      <c r="F14" s="808"/>
      <c r="G14" s="1595"/>
      <c r="H14" s="1652" t="s">
        <v>1831</v>
      </c>
      <c r="I14" s="2235" t="s">
        <v>2833</v>
      </c>
      <c r="J14" s="53">
        <f ca="1">C29</f>
        <v>6659</v>
      </c>
      <c r="K14" s="26"/>
      <c r="L14" s="804"/>
      <c r="M14" s="805"/>
    </row>
    <row r="15" spans="1:33" s="2068" customFormat="1" ht="18" customHeight="1" thickBot="1">
      <c r="A15" s="1651" t="s">
        <v>1886</v>
      </c>
      <c r="B15" s="787" t="s">
        <v>648</v>
      </c>
      <c r="C15" s="53">
        <f ca="1">ROUND(C14*F15,0)</f>
        <v>215</v>
      </c>
      <c r="D15" s="809" t="s">
        <v>1747</v>
      </c>
      <c r="E15" s="809" t="s">
        <v>1748</v>
      </c>
      <c r="F15" s="810">
        <f>'数据-取费表'!B33</f>
        <v>0.05</v>
      </c>
      <c r="G15" s="1596"/>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1887</v>
      </c>
      <c r="B16" s="787" t="s">
        <v>651</v>
      </c>
      <c r="C16" s="53">
        <f ca="1">ROUND(INDIRECT("'数据-取费表'!m"&amp;$G$1)*F16,0)</f>
        <v>0</v>
      </c>
      <c r="D16" s="787" t="s">
        <v>1747</v>
      </c>
      <c r="E16" s="787" t="s">
        <v>1748</v>
      </c>
      <c r="F16" s="812">
        <f ca="1">IF(INDIRECT("'数据-取费表'!c"&amp;$G$1)="住宅",'数据-取费表'!B34,0)</f>
        <v>0</v>
      </c>
      <c r="G16" s="1595"/>
      <c r="H16" s="1833" t="s">
        <v>1749</v>
      </c>
      <c r="I16" s="1831" t="s">
        <v>1750</v>
      </c>
      <c r="J16" s="795">
        <f ca="1">ROUND(J17+J22+J23+J24,0)</f>
        <v>157</v>
      </c>
      <c r="K16" s="1825" t="s">
        <v>1751</v>
      </c>
      <c r="L16" s="2514"/>
      <c r="M16" s="2519"/>
    </row>
    <row r="17" spans="1:33" s="2068" customFormat="1" ht="18" customHeight="1">
      <c r="A17" s="1651" t="s">
        <v>1888</v>
      </c>
      <c r="B17" s="787" t="s">
        <v>654</v>
      </c>
      <c r="C17" s="53">
        <f ca="1">ROUND(F17*(F43+INDIRECT("'数据-取费表'!S"&amp;$G$1))/10000,0)</f>
        <v>246</v>
      </c>
      <c r="D17" s="787" t="s">
        <v>1752</v>
      </c>
      <c r="E17" s="787" t="s">
        <v>1753</v>
      </c>
      <c r="F17" s="56">
        <f>'数据-取费表'!B35</f>
        <v>200</v>
      </c>
      <c r="G17" s="1596"/>
      <c r="H17" s="1652" t="s">
        <v>1831</v>
      </c>
      <c r="I17" s="787" t="s">
        <v>657</v>
      </c>
      <c r="J17" s="53">
        <f ca="1">ROUND(IF(项目基本情况!B11="自然人",J5*M17,J18+J19+J20),0)</f>
        <v>57</v>
      </c>
      <c r="K17" s="2513" t="s">
        <v>1754</v>
      </c>
      <c r="L17" s="2512"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1889</v>
      </c>
      <c r="B18" s="787" t="s">
        <v>660</v>
      </c>
      <c r="C18" s="53">
        <f ca="1">ROUND(C14*F18,0)</f>
        <v>64</v>
      </c>
      <c r="D18" s="787" t="s">
        <v>1747</v>
      </c>
      <c r="E18" s="787" t="s">
        <v>1748</v>
      </c>
      <c r="F18" s="812">
        <f>'数据-取费表'!B36</f>
        <v>1.4999999999999999E-2</v>
      </c>
      <c r="G18" s="1596"/>
      <c r="H18" s="1651" t="s">
        <v>1885</v>
      </c>
      <c r="I18" s="787" t="s">
        <v>1756</v>
      </c>
      <c r="J18" s="53">
        <f ca="1">ROUND(J5*M18/1.05,1)</f>
        <v>0</v>
      </c>
      <c r="K18" s="2512" t="s">
        <v>1757</v>
      </c>
      <c r="L18" s="787" t="s">
        <v>1748</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1831</v>
      </c>
      <c r="B19" s="787" t="s">
        <v>663</v>
      </c>
      <c r="C19" s="53">
        <f ca="1">SUM(C14:C18)</f>
        <v>4815</v>
      </c>
      <c r="D19" s="261" t="s">
        <v>1758</v>
      </c>
      <c r="E19" s="1986"/>
      <c r="F19" s="56"/>
      <c r="G19" s="1595"/>
      <c r="H19" s="1651" t="s">
        <v>1886</v>
      </c>
      <c r="I19" s="787" t="s">
        <v>1759</v>
      </c>
      <c r="J19" s="53">
        <f ca="1">IF(K19="按租金收入计税",ROUND(J5*M19,1),ROUND(C29*F33*0.7,1))</f>
        <v>55.9</v>
      </c>
      <c r="K19" s="814" t="s">
        <v>666</v>
      </c>
      <c r="L19" s="787" t="s">
        <v>1748</v>
      </c>
      <c r="M19" s="812">
        <f>IF(K19="按租金收入计税",'数据-取费表'!B51,'数据-取费表'!B50)</f>
        <v>1.2E-2</v>
      </c>
    </row>
    <row r="20" spans="1:33" s="2068" customFormat="1" ht="18" customHeight="1">
      <c r="A20" s="1652" t="s">
        <v>1890</v>
      </c>
      <c r="B20" s="787" t="s">
        <v>667</v>
      </c>
      <c r="C20" s="53">
        <f ca="1">ROUND(C19*F20,0)</f>
        <v>144</v>
      </c>
      <c r="D20" s="815" t="s">
        <v>1760</v>
      </c>
      <c r="E20" s="787" t="s">
        <v>1748</v>
      </c>
      <c r="F20" s="812">
        <f>'数据-取费表'!B37</f>
        <v>0.03</v>
      </c>
      <c r="G20" s="1596"/>
      <c r="H20" s="1654" t="s">
        <v>1881</v>
      </c>
      <c r="I20" s="344" t="s">
        <v>1761</v>
      </c>
      <c r="J20" s="54">
        <f ca="1">ROUND(M20*M21/10000,0)</f>
        <v>1</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1891</v>
      </c>
      <c r="B21" s="787" t="s">
        <v>1764</v>
      </c>
      <c r="C21" s="53" t="s">
        <v>1765</v>
      </c>
      <c r="D21" s="815" t="s">
        <v>2301</v>
      </c>
      <c r="E21" s="787" t="s">
        <v>1766</v>
      </c>
      <c r="F21" s="812">
        <f>'数据-取费表'!B38</f>
        <v>0.03</v>
      </c>
      <c r="G21" s="1596"/>
      <c r="H21" s="2534"/>
      <c r="I21" s="796"/>
      <c r="J21" s="69"/>
      <c r="K21" s="819"/>
      <c r="L21" s="787" t="s">
        <v>1767</v>
      </c>
      <c r="M21" s="788">
        <f ca="1">INDIRECT("'数据-取费表'!r"&amp;$G$1)</f>
        <v>3999.3900000000003</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1892</v>
      </c>
      <c r="B22" s="787" t="s">
        <v>1768</v>
      </c>
      <c r="C22" s="53"/>
      <c r="D22" s="2600" t="str">
        <f>IF(F23&lt;=1,"单利计息。","复利计息。")&amp;"建造成本、管理费用、销售费用产生的利息。"</f>
        <v>复利计息。建造成本、管理费用、销售费用产生的利息。</v>
      </c>
      <c r="E22" s="1986"/>
      <c r="F22" s="56"/>
      <c r="G22" s="1595"/>
      <c r="H22" s="1652" t="s">
        <v>1890</v>
      </c>
      <c r="I22" s="787" t="s">
        <v>1769</v>
      </c>
      <c r="J22" s="53">
        <f ca="1">ROUND(J14*M22,0)</f>
        <v>100</v>
      </c>
      <c r="K22" s="2512" t="s">
        <v>1770</v>
      </c>
      <c r="L22" s="787" t="s">
        <v>1748</v>
      </c>
      <c r="M22" s="820">
        <f ca="1">INDIRECT("'数据-取费表'!Ak"&amp;$G$1)</f>
        <v>1.4999999999999999E-2</v>
      </c>
    </row>
    <row r="23" spans="1:33" s="2068" customFormat="1" ht="18" customHeight="1">
      <c r="A23" s="1651" t="s">
        <v>1832</v>
      </c>
      <c r="B23" s="787" t="s">
        <v>2541</v>
      </c>
      <c r="C23" s="53">
        <f ca="1">ROUND(IF('数据-取费表'!B22&lt;=1,(C19+C20)*F24*F23/2,(C19+C20)*(POWER((1+F24),F23/2)-1)),0)</f>
        <v>357</v>
      </c>
      <c r="D23" s="2599" t="str">
        <f>IF(F23&lt;=1,"(建造成本+管理费用)×利率×(建设周期÷2)","(建造成本+管理费用)×((1+利率)^(建设周期÷2)-1)")</f>
        <v>(建造成本+管理费用)×((1+利率)^(建设周期÷2)-1)</v>
      </c>
      <c r="E23" s="787" t="s">
        <v>1771</v>
      </c>
      <c r="F23" s="643">
        <f>'数据-取费表'!B20</f>
        <v>3</v>
      </c>
      <c r="G23" s="1596"/>
      <c r="H23" s="1652" t="s">
        <v>1891</v>
      </c>
      <c r="I23" s="787" t="s">
        <v>680</v>
      </c>
      <c r="J23" s="53">
        <f ca="1">ROUND(J13*M23,0)</f>
        <v>0</v>
      </c>
      <c r="K23" s="2512" t="s">
        <v>1772</v>
      </c>
      <c r="L23" s="787" t="s">
        <v>1748</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1833</v>
      </c>
      <c r="B24" s="787" t="s">
        <v>1773</v>
      </c>
      <c r="C24" s="53">
        <f ca="1">ROUND(IF('数据-取费表'!B22&lt;=1,F21*F24*F23/2,F21*(POWER((1+F24),F23/2)-1)),4)</f>
        <v>2.2000000000000001E-3</v>
      </c>
      <c r="D24" s="2599" t="str">
        <f>IF(F23&lt;=1,"销售费用×利率×(建设周期÷2)","销售费用×((1+利率)^(建设周期÷2)-1)")</f>
        <v>销售费用×((1+利率)^(建设周期÷2)-1)</v>
      </c>
      <c r="E24" s="787" t="s">
        <v>1774</v>
      </c>
      <c r="F24" s="822">
        <f ca="1">'数据-取费表'!B40</f>
        <v>4.7500000000000001E-2</v>
      </c>
      <c r="G24" s="1596"/>
      <c r="H24" s="2579" t="s">
        <v>1892</v>
      </c>
      <c r="I24" s="2574" t="s">
        <v>667</v>
      </c>
      <c r="J24" s="2572">
        <f ca="1">ROUND(J5*M24,0)</f>
        <v>0</v>
      </c>
      <c r="K24" s="2573" t="s">
        <v>1775</v>
      </c>
      <c r="L24" s="2574" t="s">
        <v>1748</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1841</v>
      </c>
      <c r="B25" s="787" t="s">
        <v>685</v>
      </c>
      <c r="C25" s="53"/>
      <c r="D25" s="261" t="s">
        <v>1776</v>
      </c>
      <c r="E25" s="1986"/>
      <c r="F25" s="56"/>
      <c r="G25" s="1595"/>
      <c r="H25" s="1833" t="s">
        <v>1777</v>
      </c>
      <c r="I25" s="3039" t="s">
        <v>2829</v>
      </c>
      <c r="J25" s="795">
        <f ca="1">J5-J16</f>
        <v>-157</v>
      </c>
      <c r="K25" s="2576" t="s">
        <v>1778</v>
      </c>
      <c r="L25" s="2577"/>
      <c r="M25" s="2578"/>
    </row>
    <row r="26" spans="1:33" ht="18" customHeight="1">
      <c r="A26" s="1651" t="s">
        <v>1832</v>
      </c>
      <c r="B26" s="787" t="s">
        <v>2442</v>
      </c>
      <c r="C26" s="53">
        <f ca="1">ROUND((C19+C20)*F26,0)</f>
        <v>744</v>
      </c>
      <c r="D26" s="815" t="s">
        <v>1779</v>
      </c>
      <c r="E26" s="798" t="s">
        <v>1780</v>
      </c>
      <c r="F26" s="797">
        <f ca="1">INDIRECT("'数据-取费表'!q"&amp;$G$1)</f>
        <v>0.15</v>
      </c>
      <c r="G26" s="1595"/>
      <c r="H26" s="2530" t="s">
        <v>1781</v>
      </c>
      <c r="I26" s="2236" t="s">
        <v>2834</v>
      </c>
      <c r="J26" s="786">
        <f ca="1">IF(J5&lt;&gt;0,ROUND(J25*(1-((1+M28)/(1+M26))^M27)/(M26-M28),0),0)</f>
        <v>0</v>
      </c>
      <c r="K26" s="817" t="s">
        <v>1782</v>
      </c>
      <c r="L26" s="787" t="s">
        <v>2423</v>
      </c>
      <c r="M26" s="797">
        <f ca="1">INDIRECT("'数据-取费表'!I"&amp;$G$1)</f>
        <v>5.5E-2</v>
      </c>
    </row>
    <row r="27" spans="1:33" ht="18" customHeight="1">
      <c r="A27" s="1651" t="s">
        <v>1833</v>
      </c>
      <c r="B27" s="787" t="s">
        <v>687</v>
      </c>
      <c r="C27" s="53">
        <f ca="1">ROUND(F21*F26,4)</f>
        <v>4.4999999999999997E-3</v>
      </c>
      <c r="D27" s="815" t="s">
        <v>1783</v>
      </c>
      <c r="E27" s="809"/>
      <c r="F27" s="810"/>
      <c r="G27" s="1595"/>
      <c r="H27" s="2531"/>
      <c r="I27" s="790"/>
      <c r="J27" s="791"/>
      <c r="K27" s="824" t="s">
        <v>1784</v>
      </c>
      <c r="L27" s="787" t="s">
        <v>1785</v>
      </c>
      <c r="M27" s="825">
        <f ca="1">INDIRECT("'数据-取费表'!ag"&amp;$G$1)</f>
        <v>0</v>
      </c>
    </row>
    <row r="28" spans="1:33" s="2068" customFormat="1" ht="18" customHeight="1">
      <c r="A28" s="1653" t="s">
        <v>1842</v>
      </c>
      <c r="B28" s="787" t="s">
        <v>688</v>
      </c>
      <c r="C28" s="53">
        <f>ROUND(F28/(1+'数据-取费表'!C42),4)</f>
        <v>5.33E-2</v>
      </c>
      <c r="D28" s="815" t="s">
        <v>2302</v>
      </c>
      <c r="E28" s="787" t="s">
        <v>1786</v>
      </c>
      <c r="F28" s="812">
        <f>'数据-取费表'!B41</f>
        <v>5.6000000000000001E-2</v>
      </c>
      <c r="G28" s="1596"/>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2303</v>
      </c>
      <c r="C29" s="2572">
        <f ca="1">ROUND((C19+C20+C23+C26)/(1-F21-C24-C27-C28),0)</f>
        <v>6659</v>
      </c>
      <c r="D29" s="2573"/>
      <c r="E29" s="2574"/>
      <c r="F29" s="2575"/>
      <c r="G29" s="1596"/>
      <c r="H29" s="826" t="s">
        <v>1788</v>
      </c>
      <c r="I29" s="827" t="s">
        <v>1789</v>
      </c>
      <c r="J29" s="828">
        <f ca="1">ROUND(J26/(1+F40)^F41,0)</f>
        <v>0</v>
      </c>
      <c r="K29" s="829" t="s">
        <v>1790</v>
      </c>
      <c r="L29" s="830"/>
      <c r="M29" s="831">
        <f ca="1">INDIRECT("'数据-取费表'!k"&amp;$G$1)</f>
        <v>12000</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1894</v>
      </c>
      <c r="B30" s="1831" t="s">
        <v>1791</v>
      </c>
      <c r="C30" s="795">
        <f ca="1">ROUND(C31+C36+C37+C38,0)</f>
        <v>280</v>
      </c>
      <c r="D30" s="1825" t="s">
        <v>1792</v>
      </c>
      <c r="E30" s="2514"/>
      <c r="F30" s="2519"/>
      <c r="G30" s="2066"/>
      <c r="H30" s="2069"/>
      <c r="I30" s="2070"/>
      <c r="J30" s="2071"/>
      <c r="K30" s="2072"/>
      <c r="L30" s="2073"/>
      <c r="M30" s="2074"/>
    </row>
    <row r="31" spans="1:33" ht="18" customHeight="1">
      <c r="A31" s="1652" t="s">
        <v>1831</v>
      </c>
      <c r="B31" s="787" t="s">
        <v>657</v>
      </c>
      <c r="C31" s="53">
        <f ca="1">ROUND(IF(项目基本情况!B11="自然人",C5*F31,C32+C33+C34),1)</f>
        <v>151.80000000000001</v>
      </c>
      <c r="D31" s="1983" t="s">
        <v>1793</v>
      </c>
      <c r="E31" s="1981"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1832</v>
      </c>
      <c r="B32" s="787" t="s">
        <v>1795</v>
      </c>
      <c r="C32" s="53">
        <f ca="1">ROUND(C5*F32/1.05,1)</f>
        <v>94.7</v>
      </c>
      <c r="D32" s="1981" t="s">
        <v>1796</v>
      </c>
      <c r="E32" s="787" t="s">
        <v>1797</v>
      </c>
      <c r="F32" s="812">
        <f>'数据-取费表'!B41</f>
        <v>5.6000000000000001E-2</v>
      </c>
      <c r="G32" s="2066"/>
      <c r="H32" s="2075"/>
      <c r="I32" s="2076"/>
      <c r="J32" s="2077"/>
      <c r="K32" s="2078"/>
      <c r="L32" s="2079"/>
      <c r="M32" s="2080"/>
    </row>
    <row r="33" spans="1:18" ht="18" customHeight="1">
      <c r="A33" s="1651" t="s">
        <v>1833</v>
      </c>
      <c r="B33" s="787" t="s">
        <v>1798</v>
      </c>
      <c r="C33" s="53">
        <f ca="1">IF(D33="按租金收入计税",ROUND(C5*F33,1),IF(D33="按房产原值计税",ROUND(C29*F33*0.7,1),INDIRECT("'数据-取费表'!Aj"&amp;$G$1)))</f>
        <v>55.9</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4" t="s">
        <v>1834</v>
      </c>
      <c r="B34" s="344" t="s">
        <v>1799</v>
      </c>
      <c r="C34" s="54">
        <f ca="1">ROUND(F34*F35/10000,1)</f>
        <v>1.2</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3999.3900000000003</v>
      </c>
      <c r="G35" s="2066"/>
      <c r="H35" s="2069"/>
      <c r="I35" s="840" t="s">
        <v>1815</v>
      </c>
      <c r="J35" s="841">
        <f ca="1">ROUND(C13*J36,0)</f>
        <v>566</v>
      </c>
      <c r="K35" s="2082"/>
      <c r="L35" s="2081"/>
      <c r="M35" s="2081"/>
    </row>
    <row r="36" spans="1:18" ht="18" customHeight="1">
      <c r="A36" s="1652" t="s">
        <v>1890</v>
      </c>
      <c r="B36" s="787" t="s">
        <v>1803</v>
      </c>
      <c r="C36" s="53">
        <f ca="1">ROUND(C29*F36,1)</f>
        <v>99.9</v>
      </c>
      <c r="D36" s="1981" t="s">
        <v>1804</v>
      </c>
      <c r="E36" s="787" t="s">
        <v>1797</v>
      </c>
      <c r="F36" s="820">
        <f ca="1">INDIRECT("'数据-取费表'!Ak"&amp;$G$1)</f>
        <v>1.4999999999999999E-2</v>
      </c>
      <c r="G36" s="2066"/>
      <c r="H36" s="2081"/>
      <c r="I36" s="842" t="s">
        <v>1816</v>
      </c>
      <c r="J36" s="843">
        <f ca="1">INDIRECT("'数据-取费表'!j"&amp;$G$1)</f>
        <v>8.5000000000000006E-2</v>
      </c>
      <c r="K36" s="2086"/>
      <c r="L36" s="2081"/>
      <c r="M36" s="2081"/>
    </row>
    <row r="37" spans="1:18" ht="18" customHeight="1">
      <c r="A37" s="1652" t="s">
        <v>1891</v>
      </c>
      <c r="B37" s="787" t="s">
        <v>680</v>
      </c>
      <c r="C37" s="53">
        <f ca="1">ROUND(C13*F37,1)</f>
        <v>10</v>
      </c>
      <c r="D37" s="1981" t="s">
        <v>1805</v>
      </c>
      <c r="E37" s="787" t="s">
        <v>1797</v>
      </c>
      <c r="F37" s="821">
        <f ca="1">INDIRECT("'数据-取费表'!Al"&amp;$G$1)</f>
        <v>1.5E-3</v>
      </c>
      <c r="G37" s="2066"/>
      <c r="H37" s="2081"/>
      <c r="I37" s="844" t="s">
        <v>1817</v>
      </c>
      <c r="J37" s="845"/>
      <c r="K37" s="2086"/>
      <c r="L37" s="2081"/>
      <c r="M37" s="2081"/>
    </row>
    <row r="38" spans="1:18" ht="18" customHeight="1" thickBot="1">
      <c r="A38" s="2579" t="s">
        <v>1892</v>
      </c>
      <c r="B38" s="2574" t="s">
        <v>667</v>
      </c>
      <c r="C38" s="2572">
        <f ca="1">ROUND(C5*F38,1)</f>
        <v>17.8</v>
      </c>
      <c r="D38" s="2573" t="s">
        <v>1806</v>
      </c>
      <c r="E38" s="2574" t="s">
        <v>1797</v>
      </c>
      <c r="F38" s="2570">
        <f ca="1">INDIRECT("'数据-取费表'!Am"&amp;$G$1)</f>
        <v>0.01</v>
      </c>
      <c r="G38" s="2066"/>
      <c r="H38" s="2081"/>
      <c r="I38" s="846" t="s">
        <v>1818</v>
      </c>
      <c r="J38" s="847"/>
      <c r="K38" s="2087"/>
      <c r="L38" s="2081"/>
      <c r="M38" s="2081"/>
    </row>
    <row r="39" spans="1:18" ht="24.6" customHeight="1" thickTop="1">
      <c r="A39" s="1833" t="s">
        <v>1895</v>
      </c>
      <c r="B39" s="3039" t="s">
        <v>2829</v>
      </c>
      <c r="C39" s="795">
        <f ca="1">C5-C30</f>
        <v>1496</v>
      </c>
      <c r="D39" s="2576" t="s">
        <v>1807</v>
      </c>
      <c r="E39" s="2577"/>
      <c r="F39" s="2578"/>
      <c r="G39" s="2066"/>
      <c r="H39" s="2081"/>
      <c r="I39" s="840" t="s">
        <v>1819</v>
      </c>
      <c r="J39" s="848">
        <f ca="1">ROUND(J35/C39,3)</f>
        <v>0.378</v>
      </c>
      <c r="K39" s="2087"/>
      <c r="L39" s="2081"/>
      <c r="M39" s="2081"/>
    </row>
    <row r="40" spans="1:18" ht="18" customHeight="1">
      <c r="A40" s="784" t="s">
        <v>1896</v>
      </c>
      <c r="B40" s="2236" t="s">
        <v>2304</v>
      </c>
      <c r="C40" s="786">
        <f ca="1">ROUND(C39*(1-((1+F42)/(1+F40))^F41)/(F40-F42),0)</f>
        <v>29091</v>
      </c>
      <c r="D40" s="817" t="s">
        <v>1808</v>
      </c>
      <c r="E40" s="787" t="s">
        <v>2423</v>
      </c>
      <c r="F40" s="797">
        <f ca="1">INDIRECT("'数据-取费表'!I"&amp;$G$1)</f>
        <v>5.5E-2</v>
      </c>
      <c r="G40" s="2066"/>
      <c r="H40" s="2066"/>
      <c r="I40" s="840" t="s">
        <v>1820</v>
      </c>
      <c r="J40" s="848">
        <f ca="1">1-J39</f>
        <v>0.622</v>
      </c>
      <c r="K40" s="2087"/>
      <c r="L40" s="2066"/>
      <c r="M40" s="2066"/>
    </row>
    <row r="41" spans="1:18" ht="18" customHeight="1">
      <c r="A41" s="789"/>
      <c r="B41" s="790"/>
      <c r="C41" s="791"/>
      <c r="D41" s="824" t="s">
        <v>1809</v>
      </c>
      <c r="E41" s="787" t="s">
        <v>2970</v>
      </c>
      <c r="F41" s="825">
        <f ca="1">IF(INDIRECT("'数据-取费表'!af"&amp;$G$1)=0,INDIRECT("'数据-取费表'!ae"&amp;$G$1),INDIRECT("'数据-取费表'!af"&amp;$G$1))</f>
        <v>33.83</v>
      </c>
      <c r="G41" s="2066"/>
      <c r="H41" s="1992"/>
      <c r="I41" s="846" t="s">
        <v>1821</v>
      </c>
      <c r="J41" s="849"/>
      <c r="K41" s="2086"/>
      <c r="L41" s="1992"/>
      <c r="M41" s="1992"/>
    </row>
    <row r="42" spans="1:18" ht="18" customHeight="1">
      <c r="A42" s="793"/>
      <c r="B42" s="794"/>
      <c r="C42" s="795"/>
      <c r="D42" s="819"/>
      <c r="E42" s="787" t="s">
        <v>1810</v>
      </c>
      <c r="F42" s="797">
        <f ca="1">INDIRECT("'数据-取费表'!v"&amp;$G$1)</f>
        <v>0.02</v>
      </c>
      <c r="G42" s="2066"/>
      <c r="H42" s="1992"/>
      <c r="I42" s="850" t="s">
        <v>1822</v>
      </c>
      <c r="J42" s="848">
        <f ca="1">ROUND(C13/C40,3)</f>
        <v>0.22900000000000001</v>
      </c>
      <c r="K42" s="2086"/>
      <c r="L42" s="1992"/>
      <c r="M42" s="1992"/>
    </row>
    <row r="43" spans="1:18" ht="18" customHeight="1" thickBot="1">
      <c r="A43" s="826" t="s">
        <v>1788</v>
      </c>
      <c r="B43" s="827" t="s">
        <v>1811</v>
      </c>
      <c r="C43" s="828">
        <f ca="1">ROUND(C40*10000/F43,0)</f>
        <v>24243</v>
      </c>
      <c r="D43" s="829" t="s">
        <v>1812</v>
      </c>
      <c r="E43" s="830" t="s">
        <v>1813</v>
      </c>
      <c r="F43" s="831">
        <f ca="1">INDIRECT("'数据-取费表'!k"&amp;$G$1)</f>
        <v>12000</v>
      </c>
      <c r="G43" s="2066"/>
      <c r="H43" s="1992"/>
      <c r="I43" s="850" t="s">
        <v>1823</v>
      </c>
      <c r="J43" s="851">
        <f ca="1">1-J42</f>
        <v>0.77100000000000002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2298</v>
      </c>
      <c r="B46" s="2089"/>
      <c r="C46" s="2602">
        <f ca="1">C67-C40</f>
        <v>-31631</v>
      </c>
      <c r="D46" s="2089"/>
      <c r="E46" s="2089"/>
      <c r="F46" s="2089"/>
      <c r="I46" s="2382" t="s">
        <v>2346</v>
      </c>
      <c r="J46" s="2383"/>
      <c r="K46" s="2384"/>
      <c r="L46" s="2385" t="str">
        <f ca="1">IF(M47="住宅",0,IF(L48&gt;J51,L60,J60))</f>
        <v>0</v>
      </c>
      <c r="O46" s="2422" t="s">
        <v>2414</v>
      </c>
      <c r="P46" s="1595"/>
      <c r="Q46" s="1607"/>
      <c r="R46" s="1595"/>
    </row>
    <row r="47" spans="1:18" s="2063" customFormat="1" ht="18" customHeight="1" thickBot="1">
      <c r="A47" s="2376">
        <v>1</v>
      </c>
      <c r="B47" s="2377" t="s">
        <v>636</v>
      </c>
      <c r="C47" s="2602">
        <f ca="1">C48+C52+C54</f>
        <v>0</v>
      </c>
      <c r="D47" s="2089"/>
      <c r="E47" s="2089"/>
      <c r="F47" s="2089"/>
      <c r="I47" s="2386" t="s">
        <v>2347</v>
      </c>
      <c r="J47" s="2391" t="s">
        <v>3065</v>
      </c>
      <c r="K47" s="2392" t="s">
        <v>2353</v>
      </c>
      <c r="L47" s="2393">
        <f ca="1">INDIRECT("'数据-取费表'!d"&amp;$G$1)</f>
        <v>50</v>
      </c>
      <c r="M47" s="1607" t="str">
        <f>IF(ISNUMBER(FIND("住宅",C1)),"住宅","非住宅")</f>
        <v>非住宅</v>
      </c>
      <c r="O47" s="2423" t="s">
        <v>2379</v>
      </c>
      <c r="P47" s="2424" t="s">
        <v>2380</v>
      </c>
      <c r="Q47" s="2425" t="s">
        <v>2381</v>
      </c>
      <c r="R47" s="2424" t="s">
        <v>2382</v>
      </c>
    </row>
    <row r="48" spans="1:18" s="2063" customFormat="1" ht="18" customHeight="1" thickBot="1">
      <c r="A48" s="2671" t="s">
        <v>2543</v>
      </c>
      <c r="B48" s="2672" t="s">
        <v>2544</v>
      </c>
      <c r="C48" s="2378">
        <f ca="1">ROUND(F48*F50*F49*(1-F51)/10000,0)</f>
        <v>0</v>
      </c>
      <c r="D48" s="2379" t="s">
        <v>637</v>
      </c>
      <c r="E48" s="2380" t="s">
        <v>2299</v>
      </c>
      <c r="F48" s="2381"/>
      <c r="G48" s="2094"/>
      <c r="I48" s="2387" t="s">
        <v>2348</v>
      </c>
      <c r="J48" s="2394" t="s">
        <v>2354</v>
      </c>
      <c r="K48" s="2395" t="s">
        <v>2355</v>
      </c>
      <c r="L48" s="2396">
        <f ca="1">INDIRECT("'数据-取费表'!f"&amp;$G$1)</f>
        <v>36.83</v>
      </c>
      <c r="O48" s="2426" t="s">
        <v>2383</v>
      </c>
      <c r="P48" s="2427" t="s">
        <v>2409</v>
      </c>
      <c r="Q48" s="2428">
        <f ca="1">C40+J29</f>
        <v>29091</v>
      </c>
      <c r="R48" s="2427" t="s">
        <v>2384</v>
      </c>
    </row>
    <row r="49" spans="1:18" s="2063" customFormat="1" ht="18" customHeight="1" thickBot="1">
      <c r="A49" s="789"/>
      <c r="B49" s="790"/>
      <c r="C49" s="791"/>
      <c r="D49" s="792"/>
      <c r="E49" s="787" t="s">
        <v>1740</v>
      </c>
      <c r="F49" s="788">
        <f ca="1">F7</f>
        <v>12000</v>
      </c>
      <c r="G49" s="2094"/>
      <c r="H49" s="2097"/>
      <c r="I49" s="2387" t="s">
        <v>2349</v>
      </c>
      <c r="J49" s="2397"/>
      <c r="K49" s="2398" t="s">
        <v>2356</v>
      </c>
      <c r="L49" s="2399"/>
      <c r="O49" s="2426" t="s">
        <v>2385</v>
      </c>
      <c r="P49" s="2427" t="s">
        <v>2410</v>
      </c>
      <c r="Q49" s="2428" t="str">
        <f ca="1">J60</f>
        <v>0</v>
      </c>
      <c r="R49" s="2427" t="s">
        <v>2386</v>
      </c>
    </row>
    <row r="50" spans="1:18" s="2063" customFormat="1" ht="18" customHeight="1" thickBot="1">
      <c r="A50" s="789"/>
      <c r="B50" s="790"/>
      <c r="C50" s="791"/>
      <c r="D50" s="792"/>
      <c r="E50" s="787" t="s">
        <v>1741</v>
      </c>
      <c r="F50" s="788">
        <f ca="1">F8</f>
        <v>365</v>
      </c>
      <c r="G50" s="2099"/>
      <c r="H50" s="2097"/>
      <c r="I50" s="2387" t="s">
        <v>2350</v>
      </c>
      <c r="J50" s="2400">
        <f>SUMPRODUCT((I63:I65=J47)*(J62:L62=J48)*(J63:L65))</f>
        <v>60</v>
      </c>
      <c r="K50" s="2398" t="s">
        <v>2357</v>
      </c>
      <c r="L50" s="2399"/>
      <c r="O50" s="2429" t="s">
        <v>2387</v>
      </c>
      <c r="P50" s="2427" t="s">
        <v>2411</v>
      </c>
      <c r="Q50" s="2428">
        <f ca="1">C29</f>
        <v>6659</v>
      </c>
      <c r="R50" s="2427" t="s">
        <v>2384</v>
      </c>
    </row>
    <row r="51" spans="1:18" s="2063" customFormat="1" ht="18" customHeight="1" thickBot="1">
      <c r="A51" s="789"/>
      <c r="B51" s="790"/>
      <c r="C51" s="791"/>
      <c r="D51" s="792"/>
      <c r="E51" s="787" t="s">
        <v>641</v>
      </c>
      <c r="F51" s="2375"/>
      <c r="H51" s="2097"/>
      <c r="I51" s="2388" t="s">
        <v>2351</v>
      </c>
      <c r="J51" s="2401">
        <f>IF(J49="",J50,J49+J50-YEAR('数据-取费表'!B2))</f>
        <v>60</v>
      </c>
      <c r="K51" s="2387" t="s">
        <v>2358</v>
      </c>
      <c r="L51" s="2402">
        <f ca="1">ROUND(-PV(INDIRECT("'数据-取费表'!h"&amp;$G$1),L48,(C39-C13*J36),0),0)</f>
        <v>16581</v>
      </c>
      <c r="O51" s="2429" t="s">
        <v>2388</v>
      </c>
      <c r="P51" s="2427" t="s">
        <v>2389</v>
      </c>
      <c r="Q51" s="2430" t="e">
        <f ca="1">J58</f>
        <v>#VALUE!</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2425</v>
      </c>
      <c r="J52" s="2403"/>
      <c r="K52" s="2389" t="s">
        <v>2424</v>
      </c>
      <c r="L52" s="2403"/>
      <c r="O52" s="2429" t="s">
        <v>2390</v>
      </c>
      <c r="P52" s="2427" t="s">
        <v>2391</v>
      </c>
      <c r="Q52" s="2430">
        <f>J52</f>
        <v>0</v>
      </c>
      <c r="R52" s="2431"/>
    </row>
    <row r="53" spans="1:18" s="2063" customFormat="1" ht="39.75" customHeight="1" thickBot="1">
      <c r="A53" s="789"/>
      <c r="B53" s="2523" t="s">
        <v>2579</v>
      </c>
      <c r="C53" s="2527"/>
      <c r="D53" s="2529"/>
      <c r="E53" s="2526"/>
      <c r="F53" s="803"/>
      <c r="I53" s="2390" t="s">
        <v>2352</v>
      </c>
      <c r="J53" s="2404">
        <f ca="1">IF(M47="住宅",J51,IF(D1="——",MIN(J51,L48),IF(D1="土地（套用方法）",MIN(J51,L48-'数据-取费表'!B20))))</f>
        <v>33.83</v>
      </c>
      <c r="K53" s="3448" t="s">
        <v>2972</v>
      </c>
      <c r="L53" s="3449"/>
      <c r="O53" s="2429" t="s">
        <v>2392</v>
      </c>
      <c r="P53" s="2427" t="s">
        <v>2393</v>
      </c>
      <c r="Q53" s="2428">
        <f ca="1">J53</f>
        <v>33.83</v>
      </c>
      <c r="R53" s="2427" t="s">
        <v>2394</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2395</v>
      </c>
      <c r="P54" s="2427" t="s">
        <v>2412</v>
      </c>
      <c r="Q54" s="2428">
        <f ca="1">Q48+Q49</f>
        <v>29091</v>
      </c>
      <c r="R54" s="2431" t="s">
        <v>2396</v>
      </c>
    </row>
    <row r="55" spans="1:18" s="2063" customFormat="1" ht="18" customHeight="1" thickTop="1" thickBot="1">
      <c r="A55" s="800">
        <v>2</v>
      </c>
      <c r="B55" s="801" t="s">
        <v>645</v>
      </c>
      <c r="C55" s="802">
        <f ca="1">C13</f>
        <v>6659</v>
      </c>
      <c r="D55" s="798"/>
      <c r="E55" s="798"/>
      <c r="F55" s="803"/>
      <c r="I55" s="3129" t="s">
        <v>2359</v>
      </c>
      <c r="J55" s="3128" t="e">
        <f ca="1">ROUND(IF(J47="钢混",J57/J50,1-(1-2%)*(J50-J57)/J50),3)</f>
        <v>#VALUE!</v>
      </c>
      <c r="K55" s="2405" t="s">
        <v>2360</v>
      </c>
      <c r="L55" s="2406"/>
      <c r="O55" s="2432" t="s">
        <v>2415</v>
      </c>
      <c r="P55" s="1595"/>
      <c r="Q55" s="1607"/>
      <c r="R55" s="1595"/>
    </row>
    <row r="56" spans="1:18" s="2063" customFormat="1" ht="42.75" customHeight="1" thickBot="1">
      <c r="A56" s="1653"/>
      <c r="B56" s="2235" t="s">
        <v>2305</v>
      </c>
      <c r="C56" s="53">
        <f ca="1">C29</f>
        <v>6659</v>
      </c>
      <c r="D56" s="2668"/>
      <c r="E56" s="787"/>
      <c r="F56" s="812"/>
      <c r="I56" s="2407" t="s">
        <v>2361</v>
      </c>
      <c r="J56" s="3152" t="s">
        <v>1679</v>
      </c>
      <c r="K56" s="2387" t="s">
        <v>2366</v>
      </c>
      <c r="L56" s="2396" t="str">
        <f ca="1">IF(L48&lt;J51,"——",L48-J51)</f>
        <v>——</v>
      </c>
      <c r="O56" s="2423" t="s">
        <v>2379</v>
      </c>
      <c r="P56" s="2424" t="s">
        <v>2380</v>
      </c>
      <c r="Q56" s="2425" t="s">
        <v>2381</v>
      </c>
      <c r="R56" s="2424" t="s">
        <v>2382</v>
      </c>
    </row>
    <row r="57" spans="1:18" s="2063" customFormat="1" ht="28.5" customHeight="1" thickBot="1">
      <c r="A57" s="800" t="s">
        <v>1749</v>
      </c>
      <c r="B57" s="801" t="s">
        <v>652</v>
      </c>
      <c r="C57" s="802">
        <f ca="1">ROUND(C58+C63+C64+C65,0)</f>
        <v>167</v>
      </c>
      <c r="D57" s="26" t="s">
        <v>1751</v>
      </c>
      <c r="E57" s="2669"/>
      <c r="F57" s="56"/>
      <c r="I57" s="2408" t="s">
        <v>2362</v>
      </c>
      <c r="J57" s="2410" t="str">
        <f ca="1">IF(OR(M47="住宅",J51&lt;L48,J56="是"),"——",J51-L48)</f>
        <v>——</v>
      </c>
      <c r="K57" s="2387" t="s">
        <v>2367</v>
      </c>
      <c r="L57" s="2396" t="str">
        <f ca="1">IF(L48&lt;J51,"——",IF(L55="比较法",L49,IF(L55="基准地价",L50,L51)))</f>
        <v>——</v>
      </c>
      <c r="O57" s="2426" t="s">
        <v>2383</v>
      </c>
      <c r="P57" s="2427" t="s">
        <v>2413</v>
      </c>
      <c r="Q57" s="2428">
        <f ca="1">C40+J29</f>
        <v>29091</v>
      </c>
      <c r="R57" s="2427" t="s">
        <v>2384</v>
      </c>
    </row>
    <row r="58" spans="1:18" s="2063" customFormat="1" ht="28.5" customHeight="1" thickBot="1">
      <c r="A58" s="1652" t="s">
        <v>1825</v>
      </c>
      <c r="B58" s="787" t="s">
        <v>657</v>
      </c>
      <c r="C58" s="53">
        <f ca="1">ROUND(IF(项目基本情况!B11="自然人",C47*F58,C59+C60+C61),1)</f>
        <v>57.1</v>
      </c>
      <c r="D58" s="2667" t="s">
        <v>658</v>
      </c>
      <c r="E58" s="2668" t="s">
        <v>691</v>
      </c>
      <c r="F58" s="813" t="str">
        <f ca="1">IF(项目基本情况!B11="企业","",IF(INDIRECT("'数据-取费表'!c"&amp;$G$1)="住宅",5%,IF(F48*F49*F50/12/(1+'数据-取费表'!C42)&gt;20000,12%,7%)))</f>
        <v/>
      </c>
      <c r="I58" s="2408" t="s">
        <v>2363</v>
      </c>
      <c r="J58" s="3130" t="e">
        <f ca="1">IF(J55&lt;0.4,0.4,J55)</f>
        <v>#VALUE!</v>
      </c>
      <c r="K58" s="2387" t="s">
        <v>2368</v>
      </c>
      <c r="L58" s="2396" t="e">
        <f ca="1">ROUND(POWER(1+L52,L47-L48)*(POWER(1+L52,L48)-1)/(POWER(1+L52,L47)-1),4)</f>
        <v>#DIV/0!</v>
      </c>
      <c r="O58" s="2426" t="s">
        <v>2385</v>
      </c>
      <c r="P58" s="2427" t="s">
        <v>2416</v>
      </c>
      <c r="Q58" s="2428">
        <f ca="1">L60</f>
        <v>0</v>
      </c>
      <c r="R58" s="2431" t="s">
        <v>2418</v>
      </c>
    </row>
    <row r="59" spans="1:18" s="2063" customFormat="1" ht="28.5" customHeight="1" thickBot="1">
      <c r="A59" s="1651" t="s">
        <v>1832</v>
      </c>
      <c r="B59" s="787" t="s">
        <v>661</v>
      </c>
      <c r="C59" s="53">
        <f ca="1">ROUND(C47*F59/1.05,1)</f>
        <v>0</v>
      </c>
      <c r="D59" s="2668" t="s">
        <v>1757</v>
      </c>
      <c r="E59" s="787" t="s">
        <v>1748</v>
      </c>
      <c r="F59" s="812">
        <f t="shared" ref="F59:F65" si="0">F32</f>
        <v>5.6000000000000001E-2</v>
      </c>
      <c r="I59" s="2408" t="s">
        <v>2364</v>
      </c>
      <c r="J59" s="2410"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2387</v>
      </c>
      <c r="P59" s="2427" t="s">
        <v>2417</v>
      </c>
      <c r="Q59" s="2428">
        <f>IF(L55="比较法",L49,IF(L55="基准地价",L50,0))</f>
        <v>0</v>
      </c>
      <c r="R59" s="2427" t="s">
        <v>2384</v>
      </c>
    </row>
    <row r="60" spans="1:18" s="2063" customFormat="1" ht="18" customHeight="1" thickBot="1">
      <c r="A60" s="1651" t="s">
        <v>1833</v>
      </c>
      <c r="B60" s="787" t="s">
        <v>1759</v>
      </c>
      <c r="C60" s="53">
        <f ca="1">IF(D60="按租金收入计税",ROUND(C47*F60,1),IF(D60="按房产原值计税",ROUND(C56*F60*0.7,1),INDIRECT("'数据-取费表'!Aj"&amp;$G$1)))</f>
        <v>55.9</v>
      </c>
      <c r="D60" s="2668" t="str">
        <f>D33</f>
        <v>按房产原值计税</v>
      </c>
      <c r="E60" s="787" t="s">
        <v>1748</v>
      </c>
      <c r="F60" s="812">
        <f t="shared" si="0"/>
        <v>1.2E-2</v>
      </c>
      <c r="I60" s="2409" t="s">
        <v>2365</v>
      </c>
      <c r="J60" s="2411" t="str">
        <f ca="1">IF(OR(M47="住宅",J51&lt;L48,J56="是"),"0",ROUND(J59/(1+J52)^J53,0))</f>
        <v>0</v>
      </c>
      <c r="K60" s="2412" t="s">
        <v>2370</v>
      </c>
      <c r="L60" s="2411">
        <f ca="1">IF(OR(M47="住宅",L48&lt;J51),0,ROUND(L57*(L58/L59-1),0))</f>
        <v>0</v>
      </c>
      <c r="O60" s="2429" t="s">
        <v>2388</v>
      </c>
      <c r="P60" s="2427" t="s">
        <v>2397</v>
      </c>
      <c r="Q60" s="2430">
        <f>L52</f>
        <v>0</v>
      </c>
      <c r="R60" s="2431"/>
    </row>
    <row r="61" spans="1:18" s="2063" customFormat="1" ht="18" customHeight="1" thickBot="1">
      <c r="A61" s="1654" t="s">
        <v>1834</v>
      </c>
      <c r="B61" s="344" t="s">
        <v>669</v>
      </c>
      <c r="C61" s="54">
        <f ca="1">ROUND(F61*F62/10000,1)</f>
        <v>1.2</v>
      </c>
      <c r="D61" s="817" t="s">
        <v>670</v>
      </c>
      <c r="E61" s="787" t="s">
        <v>671</v>
      </c>
      <c r="F61" s="643">
        <f t="shared" si="0"/>
        <v>3</v>
      </c>
      <c r="K61" s="2090"/>
      <c r="O61" s="2429" t="s">
        <v>2390</v>
      </c>
      <c r="P61" s="2427" t="s">
        <v>2398</v>
      </c>
      <c r="Q61" s="2428" t="e">
        <f ca="1">L58</f>
        <v>#DIV/0!</v>
      </c>
      <c r="R61" s="2431" t="s">
        <v>2399</v>
      </c>
    </row>
    <row r="62" spans="1:18" s="2063" customFormat="1" ht="15.75" thickBot="1">
      <c r="A62" s="818"/>
      <c r="B62" s="796"/>
      <c r="C62" s="69"/>
      <c r="D62" s="819"/>
      <c r="E62" s="787" t="s">
        <v>675</v>
      </c>
      <c r="F62" s="788">
        <f t="shared" ca="1" si="0"/>
        <v>3999.3900000000003</v>
      </c>
      <c r="I62" s="2413" t="s">
        <v>2371</v>
      </c>
      <c r="J62" s="2414" t="s">
        <v>2372</v>
      </c>
      <c r="K62" s="2414" t="s">
        <v>2373</v>
      </c>
      <c r="L62" s="2414" t="s">
        <v>2354</v>
      </c>
      <c r="M62" s="3131" t="s">
        <v>2947</v>
      </c>
      <c r="O62" s="2429" t="s">
        <v>2392</v>
      </c>
      <c r="P62" s="2427" t="str">
        <f>K59</f>
        <v>建设期及建筑物耐用年限下的土地年期修正系数Kn</v>
      </c>
      <c r="Q62" s="2428" t="e">
        <f ca="1">L59</f>
        <v>#DIV/0!</v>
      </c>
      <c r="R62" s="2431" t="s">
        <v>2401</v>
      </c>
    </row>
    <row r="63" spans="1:18" s="2063" customFormat="1" ht="15.75" thickBot="1">
      <c r="A63" s="1652" t="s">
        <v>1890</v>
      </c>
      <c r="B63" s="787" t="s">
        <v>677</v>
      </c>
      <c r="C63" s="53">
        <f ca="1">ROUND(C56*F63,1)</f>
        <v>99.9</v>
      </c>
      <c r="D63" s="2668" t="s">
        <v>1804</v>
      </c>
      <c r="E63" s="787" t="s">
        <v>1748</v>
      </c>
      <c r="F63" s="820">
        <f t="shared" ca="1" si="0"/>
        <v>1.4999999999999999E-2</v>
      </c>
      <c r="I63" s="2413" t="s">
        <v>2374</v>
      </c>
      <c r="J63" s="2414">
        <v>70</v>
      </c>
      <c r="K63" s="2414">
        <v>50</v>
      </c>
      <c r="L63" s="2414">
        <v>80</v>
      </c>
      <c r="M63" s="3132">
        <v>0.02</v>
      </c>
      <c r="O63" s="2426" t="s">
        <v>2395</v>
      </c>
      <c r="P63" s="2427" t="s">
        <v>2412</v>
      </c>
      <c r="Q63" s="2428">
        <f ca="1">Q57+Q58</f>
        <v>29091</v>
      </c>
      <c r="R63" s="2431" t="s">
        <v>2396</v>
      </c>
    </row>
    <row r="64" spans="1:18" s="2063" customFormat="1" ht="16.5" thickBot="1">
      <c r="A64" s="1652" t="s">
        <v>1891</v>
      </c>
      <c r="B64" s="787" t="s">
        <v>680</v>
      </c>
      <c r="C64" s="53">
        <f ca="1">ROUND(C55*F64,1)</f>
        <v>10</v>
      </c>
      <c r="D64" s="2668" t="s">
        <v>681</v>
      </c>
      <c r="E64" s="787" t="s">
        <v>1748</v>
      </c>
      <c r="F64" s="821">
        <f t="shared" ca="1" si="0"/>
        <v>1.5E-3</v>
      </c>
      <c r="I64" s="2413" t="s">
        <v>2375</v>
      </c>
      <c r="J64" s="2414">
        <v>50</v>
      </c>
      <c r="K64" s="2414">
        <v>35</v>
      </c>
      <c r="L64" s="2414">
        <v>60</v>
      </c>
      <c r="M64" s="3133">
        <v>0</v>
      </c>
      <c r="O64" s="2432" t="s">
        <v>2419</v>
      </c>
      <c r="P64" s="1595"/>
      <c r="Q64" s="1607"/>
      <c r="R64" s="1595"/>
    </row>
    <row r="65" spans="1:18" s="2063" customFormat="1" ht="15.75" thickBot="1">
      <c r="A65" s="1652" t="s">
        <v>1892</v>
      </c>
      <c r="B65" s="787" t="s">
        <v>667</v>
      </c>
      <c r="C65" s="53">
        <f ca="1">ROUND(C47*F65,1)</f>
        <v>0</v>
      </c>
      <c r="D65" s="2668" t="s">
        <v>684</v>
      </c>
      <c r="E65" s="787" t="s">
        <v>1748</v>
      </c>
      <c r="F65" s="797">
        <f t="shared" ca="1" si="0"/>
        <v>0.01</v>
      </c>
      <c r="I65" s="2413" t="s">
        <v>2376</v>
      </c>
      <c r="J65" s="2414">
        <v>40</v>
      </c>
      <c r="K65" s="2414">
        <v>30</v>
      </c>
      <c r="L65" s="2414">
        <v>50</v>
      </c>
      <c r="M65" s="3132">
        <v>0.02</v>
      </c>
      <c r="O65" s="2423" t="s">
        <v>2379</v>
      </c>
      <c r="P65" s="2424" t="s">
        <v>2380</v>
      </c>
      <c r="Q65" s="2425" t="s">
        <v>2381</v>
      </c>
      <c r="R65" s="2424" t="s">
        <v>2382</v>
      </c>
    </row>
    <row r="66" spans="1:18" s="2063" customFormat="1" ht="24.75" thickBot="1">
      <c r="A66" s="800" t="s">
        <v>1777</v>
      </c>
      <c r="B66" s="3040" t="s">
        <v>2829</v>
      </c>
      <c r="C66" s="802">
        <f ca="1">C47-C57</f>
        <v>-167</v>
      </c>
      <c r="D66" s="2667" t="s">
        <v>701</v>
      </c>
      <c r="E66" s="2666"/>
      <c r="F66" s="823"/>
      <c r="K66" s="2090"/>
      <c r="O66" s="2426" t="s">
        <v>2383</v>
      </c>
      <c r="P66" s="2427" t="s">
        <v>2413</v>
      </c>
      <c r="Q66" s="2428">
        <f ca="1">C40+J29</f>
        <v>29091</v>
      </c>
      <c r="R66" s="2427" t="s">
        <v>2384</v>
      </c>
    </row>
    <row r="67" spans="1:18" s="2063" customFormat="1" ht="20.25" thickBot="1">
      <c r="A67" s="784" t="s">
        <v>1781</v>
      </c>
      <c r="B67" s="2236" t="s">
        <v>2304</v>
      </c>
      <c r="C67" s="786">
        <f ca="1">ROUND(C66*(1-((1+F69)/(1+F67))^F68)/(F67-F69),0)</f>
        <v>-2540</v>
      </c>
      <c r="D67" s="817" t="s">
        <v>705</v>
      </c>
      <c r="E67" s="787" t="s">
        <v>706</v>
      </c>
      <c r="F67" s="797">
        <f ca="1">F40</f>
        <v>5.5E-2</v>
      </c>
      <c r="K67" s="2090"/>
      <c r="O67" s="2426" t="s">
        <v>2385</v>
      </c>
      <c r="P67" s="2427" t="s">
        <v>2416</v>
      </c>
      <c r="Q67" s="2428">
        <f ca="1">L60</f>
        <v>0</v>
      </c>
      <c r="R67" s="2431" t="s">
        <v>2418</v>
      </c>
    </row>
    <row r="68" spans="1:18" ht="21.75" thickBot="1">
      <c r="A68" s="789"/>
      <c r="B68" s="790"/>
      <c r="C68" s="791"/>
      <c r="D68" s="824" t="s">
        <v>1809</v>
      </c>
      <c r="E68" s="787" t="s">
        <v>1785</v>
      </c>
      <c r="F68" s="825">
        <f ca="1">F41</f>
        <v>33.83</v>
      </c>
      <c r="O68" s="2429" t="s">
        <v>2387</v>
      </c>
      <c r="P68" s="2427" t="s">
        <v>2417</v>
      </c>
      <c r="Q68" s="2433">
        <f ca="1">L51</f>
        <v>16581</v>
      </c>
      <c r="R68" s="2434" t="s">
        <v>2420</v>
      </c>
    </row>
    <row r="69" spans="1:18" ht="20.25" thickBot="1">
      <c r="A69" s="793"/>
      <c r="B69" s="794"/>
      <c r="C69" s="795"/>
      <c r="D69" s="819"/>
      <c r="E69" s="787" t="s">
        <v>711</v>
      </c>
      <c r="F69" s="2375"/>
      <c r="O69" s="2429" t="s">
        <v>2388</v>
      </c>
      <c r="P69" s="2435" t="s">
        <v>2402</v>
      </c>
      <c r="Q69" s="2428">
        <f ca="1">ROUND(Q70-Q71*Q72,0)</f>
        <v>930</v>
      </c>
      <c r="R69" s="2431"/>
    </row>
    <row r="70" spans="1:18" ht="15.75" thickBot="1">
      <c r="A70" s="826" t="s">
        <v>1788</v>
      </c>
      <c r="B70" s="827" t="s">
        <v>1811</v>
      </c>
      <c r="C70" s="828">
        <f ca="1">ROUND(C67*10000/F70,0)</f>
        <v>-2117</v>
      </c>
      <c r="D70" s="829" t="s">
        <v>1812</v>
      </c>
      <c r="E70" s="830" t="s">
        <v>1813</v>
      </c>
      <c r="F70" s="831">
        <f ca="1">F43</f>
        <v>12000</v>
      </c>
      <c r="O70" s="2429" t="s">
        <v>2403</v>
      </c>
      <c r="P70" s="2435" t="s">
        <v>2404</v>
      </c>
      <c r="Q70" s="2428">
        <f ca="1">C39</f>
        <v>1496</v>
      </c>
      <c r="R70" s="2427" t="s">
        <v>2384</v>
      </c>
    </row>
    <row r="71" spans="1:18" ht="15.75" thickBot="1">
      <c r="O71" s="2429" t="s">
        <v>2405</v>
      </c>
      <c r="P71" s="2435" t="s">
        <v>2406</v>
      </c>
      <c r="Q71" s="2428">
        <f ca="1">C13</f>
        <v>6659</v>
      </c>
      <c r="R71" s="2427" t="s">
        <v>2384</v>
      </c>
    </row>
    <row r="72" spans="1:18" ht="15.75" thickBot="1">
      <c r="O72" s="2429" t="s">
        <v>2407</v>
      </c>
      <c r="P72" s="2435" t="s">
        <v>2408</v>
      </c>
      <c r="Q72" s="2430">
        <f ca="1">J36</f>
        <v>8.5000000000000006E-2</v>
      </c>
      <c r="R72" s="2431"/>
    </row>
    <row r="73" spans="1:18" ht="15.75" thickBot="1">
      <c r="O73" s="2429" t="s">
        <v>2390</v>
      </c>
      <c r="P73" s="2427" t="s">
        <v>2397</v>
      </c>
      <c r="Q73" s="2430">
        <f>L52</f>
        <v>0</v>
      </c>
      <c r="R73" s="2431"/>
    </row>
    <row r="74" spans="1:18" ht="20.25" thickBot="1">
      <c r="O74" s="2429" t="s">
        <v>2392</v>
      </c>
      <c r="P74" s="2427" t="s">
        <v>2398</v>
      </c>
      <c r="Q74" s="2428" t="e">
        <f ca="1">L58</f>
        <v>#DIV/0!</v>
      </c>
      <c r="R74" s="2431" t="s">
        <v>2399</v>
      </c>
    </row>
    <row r="75" spans="1:18" ht="15.75" thickBot="1">
      <c r="O75" s="2429" t="s">
        <v>2421</v>
      </c>
      <c r="P75" s="2427" t="str">
        <f>K59</f>
        <v>建设期及建筑物耐用年限下的土地年期修正系数Kn</v>
      </c>
      <c r="Q75" s="2428" t="e">
        <f ca="1">L59</f>
        <v>#DIV/0!</v>
      </c>
      <c r="R75" s="2431" t="s">
        <v>2401</v>
      </c>
    </row>
    <row r="76" spans="1:18" ht="15.75" thickBot="1">
      <c r="O76" s="2426" t="s">
        <v>2395</v>
      </c>
      <c r="P76" s="2427" t="s">
        <v>2412</v>
      </c>
      <c r="Q76" s="2428">
        <f ca="1">Q66+Q67</f>
        <v>29091</v>
      </c>
      <c r="R76" s="2431"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3" sqref="K43"/>
    </sheetView>
  </sheetViews>
  <sheetFormatPr defaultRowHeight="13.5"/>
  <cols>
    <col min="1" max="1" width="10.5" customWidth="1"/>
    <col min="2" max="2" width="12.875" customWidth="1"/>
    <col min="3" max="3" width="8.75" customWidth="1"/>
  </cols>
  <sheetData>
    <row r="1" spans="1:9" ht="14.25">
      <c r="A1" s="3466" t="s">
        <v>2477</v>
      </c>
      <c r="B1" s="3467"/>
      <c r="C1" s="3468"/>
      <c r="D1" s="3469">
        <f>SUM(I10,I15,I20,I21,I23)</f>
        <v>0</v>
      </c>
      <c r="E1" s="3469"/>
      <c r="F1" s="3469"/>
      <c r="G1" s="3469"/>
      <c r="H1" s="3469"/>
      <c r="I1" s="3470"/>
    </row>
    <row r="2" spans="1:9">
      <c r="A2" s="3456" t="s">
        <v>2478</v>
      </c>
      <c r="B2" s="3457" t="s">
        <v>2479</v>
      </c>
      <c r="C2" s="3457"/>
      <c r="D2" s="2535" t="s">
        <v>2480</v>
      </c>
      <c r="E2" s="2535" t="s">
        <v>2481</v>
      </c>
      <c r="F2" s="2535" t="s">
        <v>2482</v>
      </c>
      <c r="G2" s="2535" t="s">
        <v>2483</v>
      </c>
      <c r="H2" s="2535" t="s">
        <v>2484</v>
      </c>
      <c r="I2" s="2536" t="s">
        <v>2485</v>
      </c>
    </row>
    <row r="3" spans="1:9">
      <c r="A3" s="3456"/>
      <c r="B3" s="3457" t="s">
        <v>2486</v>
      </c>
      <c r="C3" s="3457"/>
      <c r="D3" s="2537"/>
      <c r="E3" s="2535"/>
      <c r="F3" s="2538"/>
      <c r="G3" s="2538"/>
      <c r="H3" s="2539"/>
      <c r="I3" s="2540">
        <f>ROUND(D3*E3*F3*G3*H3/10000,0)</f>
        <v>0</v>
      </c>
    </row>
    <row r="4" spans="1:9">
      <c r="A4" s="3456"/>
      <c r="B4" s="3457" t="s">
        <v>2487</v>
      </c>
      <c r="C4" s="3457"/>
      <c r="D4" s="2537"/>
      <c r="E4" s="2535"/>
      <c r="F4" s="2538"/>
      <c r="G4" s="2538"/>
      <c r="H4" s="2539"/>
      <c r="I4" s="2540">
        <f t="shared" ref="I4:I9" si="0">ROUND(D4*E4*F4*G4*H4/10000,0)</f>
        <v>0</v>
      </c>
    </row>
    <row r="5" spans="1:9">
      <c r="A5" s="3456"/>
      <c r="B5" s="3457" t="s">
        <v>2488</v>
      </c>
      <c r="C5" s="3457"/>
      <c r="D5" s="2537"/>
      <c r="E5" s="2535"/>
      <c r="F5" s="2538"/>
      <c r="G5" s="2538"/>
      <c r="H5" s="2539"/>
      <c r="I5" s="2540">
        <f t="shared" si="0"/>
        <v>0</v>
      </c>
    </row>
    <row r="6" spans="1:9">
      <c r="A6" s="3456"/>
      <c r="B6" s="3457" t="s">
        <v>2489</v>
      </c>
      <c r="C6" s="3457"/>
      <c r="D6" s="2537"/>
      <c r="E6" s="2535"/>
      <c r="F6" s="2538"/>
      <c r="G6" s="2538"/>
      <c r="H6" s="2539"/>
      <c r="I6" s="2540">
        <f t="shared" si="0"/>
        <v>0</v>
      </c>
    </row>
    <row r="7" spans="1:9">
      <c r="A7" s="3456"/>
      <c r="B7" s="3457" t="s">
        <v>2490</v>
      </c>
      <c r="C7" s="3457"/>
      <c r="D7" s="2537"/>
      <c r="E7" s="2535"/>
      <c r="F7" s="2538"/>
      <c r="G7" s="2538"/>
      <c r="H7" s="2539"/>
      <c r="I7" s="2540">
        <f t="shared" si="0"/>
        <v>0</v>
      </c>
    </row>
    <row r="8" spans="1:9">
      <c r="A8" s="3456"/>
      <c r="B8" s="3457" t="s">
        <v>2491</v>
      </c>
      <c r="C8" s="3457"/>
      <c r="D8" s="2537"/>
      <c r="E8" s="2535"/>
      <c r="F8" s="2538"/>
      <c r="G8" s="2538"/>
      <c r="H8" s="2539"/>
      <c r="I8" s="2540">
        <f t="shared" si="0"/>
        <v>0</v>
      </c>
    </row>
    <row r="9" spans="1:9">
      <c r="A9" s="3456"/>
      <c r="B9" s="3457" t="s">
        <v>2492</v>
      </c>
      <c r="C9" s="3457"/>
      <c r="D9" s="2537"/>
      <c r="E9" s="2535"/>
      <c r="F9" s="2538"/>
      <c r="G9" s="2538"/>
      <c r="H9" s="2539"/>
      <c r="I9" s="2540">
        <f t="shared" si="0"/>
        <v>0</v>
      </c>
    </row>
    <row r="10" spans="1:9">
      <c r="A10" s="3456"/>
      <c r="B10" s="3458" t="s">
        <v>2493</v>
      </c>
      <c r="C10" s="3458"/>
      <c r="D10" s="2541">
        <v>527</v>
      </c>
      <c r="E10" s="2541" t="e">
        <f>ROUND(D1*10000/D10/H9,0)</f>
        <v>#DIV/0!</v>
      </c>
      <c r="F10" s="2542"/>
      <c r="G10" s="2542"/>
      <c r="H10" s="2543"/>
      <c r="I10" s="2544">
        <f>SUM(I3:I9)</f>
        <v>0</v>
      </c>
    </row>
    <row r="11" spans="1:9" ht="14.25">
      <c r="A11" s="3456" t="s">
        <v>2494</v>
      </c>
      <c r="B11" s="3457" t="s">
        <v>2495</v>
      </c>
      <c r="C11" s="3457"/>
      <c r="D11" s="2537" t="s">
        <v>2496</v>
      </c>
      <c r="E11" s="2537" t="s">
        <v>2497</v>
      </c>
      <c r="F11" s="2538" t="s">
        <v>2498</v>
      </c>
      <c r="G11" s="2538" t="s">
        <v>2499</v>
      </c>
      <c r="H11" s="2545" t="s">
        <v>2500</v>
      </c>
      <c r="I11" s="2536" t="s">
        <v>2501</v>
      </c>
    </row>
    <row r="12" spans="1:9">
      <c r="A12" s="3456"/>
      <c r="B12" s="3457" t="s">
        <v>2502</v>
      </c>
      <c r="C12" s="3457"/>
      <c r="D12" s="2537"/>
      <c r="E12" s="2537"/>
      <c r="F12" s="2538"/>
      <c r="G12" s="2539"/>
      <c r="H12" s="2546"/>
      <c r="I12" s="2536">
        <f>ROUND(D12*E12*F12*G12/10000,0)</f>
        <v>0</v>
      </c>
    </row>
    <row r="13" spans="1:9">
      <c r="A13" s="3456"/>
      <c r="B13" s="3457" t="s">
        <v>2503</v>
      </c>
      <c r="C13" s="3457"/>
      <c r="D13" s="2537"/>
      <c r="E13" s="2537"/>
      <c r="F13" s="2538"/>
      <c r="G13" s="2539"/>
      <c r="H13" s="2546"/>
      <c r="I13" s="2536">
        <f>ROUND(D13*E13*F13*G13/10000,0)</f>
        <v>0</v>
      </c>
    </row>
    <row r="14" spans="1:9">
      <c r="A14" s="3456"/>
      <c r="B14" s="3457" t="s">
        <v>2504</v>
      </c>
      <c r="C14" s="3457"/>
      <c r="D14" s="2537"/>
      <c r="E14" s="2537"/>
      <c r="F14" s="2538"/>
      <c r="G14" s="2539"/>
      <c r="H14" s="2546"/>
      <c r="I14" s="2536">
        <f>ROUND(D14*E14*F14*G14/10000,0)</f>
        <v>0</v>
      </c>
    </row>
    <row r="15" spans="1:9">
      <c r="A15" s="3456"/>
      <c r="B15" s="3458" t="s">
        <v>2493</v>
      </c>
      <c r="C15" s="3458"/>
      <c r="D15" s="2541"/>
      <c r="E15" s="2541">
        <f>SUM(E12:E14)</f>
        <v>0</v>
      </c>
      <c r="F15" s="2542"/>
      <c r="G15" s="2539"/>
      <c r="H15" s="2546"/>
      <c r="I15" s="2547">
        <f>SUM(I12:I14)</f>
        <v>0</v>
      </c>
    </row>
    <row r="16" spans="1:9" ht="24">
      <c r="A16" s="3456" t="s">
        <v>2505</v>
      </c>
      <c r="B16" s="3457" t="s">
        <v>2506</v>
      </c>
      <c r="C16" s="3457"/>
      <c r="D16" s="2537" t="s">
        <v>2507</v>
      </c>
      <c r="E16" s="2548" t="s">
        <v>2508</v>
      </c>
      <c r="F16" s="2538" t="s">
        <v>2509</v>
      </c>
      <c r="G16" s="2539" t="s">
        <v>2499</v>
      </c>
      <c r="H16" s="2545" t="s">
        <v>2500</v>
      </c>
      <c r="I16" s="2536" t="s">
        <v>2501</v>
      </c>
    </row>
    <row r="17" spans="1:9" ht="14.25">
      <c r="A17" s="3456"/>
      <c r="B17" s="3457" t="s">
        <v>2510</v>
      </c>
      <c r="C17" s="3457"/>
      <c r="D17" s="2537"/>
      <c r="E17" s="2537"/>
      <c r="F17" s="2538"/>
      <c r="G17" s="2539"/>
      <c r="H17" s="2549"/>
      <c r="I17" s="2550">
        <f>ROUND(D17*E17*F17*G17/10000,0)</f>
        <v>0</v>
      </c>
    </row>
    <row r="18" spans="1:9" ht="14.25">
      <c r="A18" s="3456"/>
      <c r="B18" s="3457" t="s">
        <v>2511</v>
      </c>
      <c r="C18" s="3457"/>
      <c r="D18" s="2537"/>
      <c r="E18" s="2537"/>
      <c r="F18" s="2538"/>
      <c r="G18" s="2539"/>
      <c r="H18" s="2549"/>
      <c r="I18" s="2550">
        <f>ROUND(D18*E18*F18*G18/10000,0)</f>
        <v>0</v>
      </c>
    </row>
    <row r="19" spans="1:9" ht="14.25">
      <c r="A19" s="3456"/>
      <c r="B19" s="3457" t="s">
        <v>2512</v>
      </c>
      <c r="C19" s="3457"/>
      <c r="D19" s="2537"/>
      <c r="E19" s="2537"/>
      <c r="F19" s="2538"/>
      <c r="G19" s="2539"/>
      <c r="H19" s="2549"/>
      <c r="I19" s="2550">
        <f>ROUND(D19*E19*F19*G19/10000,0)</f>
        <v>0</v>
      </c>
    </row>
    <row r="20" spans="1:9">
      <c r="A20" s="3456"/>
      <c r="B20" s="3458" t="s">
        <v>2493</v>
      </c>
      <c r="C20" s="3458"/>
      <c r="D20" s="2541">
        <f>SUM(D17:D19)</f>
        <v>0</v>
      </c>
      <c r="E20" s="2541"/>
      <c r="F20" s="2542"/>
      <c r="G20" s="2539"/>
      <c r="H20" s="2546"/>
      <c r="I20" s="2547">
        <f>SUM(I17:I19)</f>
        <v>0</v>
      </c>
    </row>
    <row r="21" spans="1:9">
      <c r="A21" s="3456" t="s">
        <v>2513</v>
      </c>
      <c r="B21" s="3459"/>
      <c r="C21" s="3459"/>
      <c r="D21" s="3459"/>
      <c r="E21" s="3459"/>
      <c r="F21" s="3459"/>
      <c r="G21" s="3459"/>
      <c r="H21" s="2551">
        <v>0.1</v>
      </c>
      <c r="I21" s="2544">
        <f>ROUND(I10*H21,0)</f>
        <v>0</v>
      </c>
    </row>
    <row r="22" spans="1:9" ht="14.25">
      <c r="A22" s="3460" t="s">
        <v>2514</v>
      </c>
      <c r="B22" s="3461"/>
      <c r="C22" s="3462"/>
      <c r="D22" s="2552" t="s">
        <v>2515</v>
      </c>
      <c r="E22" s="2552" t="s">
        <v>2516</v>
      </c>
      <c r="F22" s="2553" t="s">
        <v>2517</v>
      </c>
      <c r="G22" s="2553" t="s">
        <v>2518</v>
      </c>
      <c r="H22" s="2545" t="s">
        <v>2519</v>
      </c>
      <c r="I22" s="2536" t="s">
        <v>2520</v>
      </c>
    </row>
    <row r="23" spans="1:9" ht="14.25" thickBot="1">
      <c r="A23" s="3463"/>
      <c r="B23" s="3464"/>
      <c r="C23" s="3465"/>
      <c r="D23" s="2554"/>
      <c r="E23" s="2554"/>
      <c r="F23" s="2554"/>
      <c r="G23" s="2555"/>
      <c r="H23" s="2556"/>
      <c r="I23" s="2557">
        <f>ROUND(E23*D23*F23*(1-G23)/10000,0)</f>
        <v>0</v>
      </c>
    </row>
    <row r="26" spans="1:9">
      <c r="A26" s="2558" t="s">
        <v>2521</v>
      </c>
      <c r="B26" s="2558"/>
      <c r="C26" s="2558"/>
      <c r="D26" s="2558"/>
      <c r="E26" s="3453">
        <f>C27-C30-C31-C32</f>
        <v>0</v>
      </c>
      <c r="F26" s="3453"/>
      <c r="G26" s="3453"/>
      <c r="H26" s="3072" t="s">
        <v>2850</v>
      </c>
    </row>
    <row r="27" spans="1:9">
      <c r="A27" s="2559">
        <v>1</v>
      </c>
      <c r="B27" s="2560" t="s">
        <v>2522</v>
      </c>
      <c r="C27" s="2560"/>
      <c r="D27" s="2560"/>
      <c r="E27" s="3454"/>
      <c r="F27" s="3454"/>
      <c r="G27" s="3454"/>
    </row>
    <row r="28" spans="1:9">
      <c r="A28" s="2561" t="s">
        <v>2523</v>
      </c>
      <c r="B28" s="2560" t="s">
        <v>2524</v>
      </c>
      <c r="C28" s="2560"/>
      <c r="D28" s="2560"/>
      <c r="E28" s="3454"/>
      <c r="F28" s="3454"/>
      <c r="G28" s="3454"/>
    </row>
    <row r="29" spans="1:9">
      <c r="A29" s="2561" t="s">
        <v>2525</v>
      </c>
      <c r="B29" s="2560" t="s">
        <v>2465</v>
      </c>
      <c r="C29" s="2560"/>
      <c r="D29" s="2560"/>
      <c r="E29" s="2560" t="s">
        <v>2526</v>
      </c>
      <c r="F29" s="2560"/>
      <c r="G29" s="2560"/>
    </row>
    <row r="30" spans="1:9">
      <c r="A30" s="2559">
        <v>2</v>
      </c>
      <c r="B30" s="2560" t="s">
        <v>2527</v>
      </c>
      <c r="C30" s="2560">
        <f>C27*D30</f>
        <v>0</v>
      </c>
      <c r="D30" s="2562">
        <v>0.2</v>
      </c>
      <c r="E30" s="2560" t="s">
        <v>2528</v>
      </c>
      <c r="F30" s="2560"/>
      <c r="G30" s="2560"/>
    </row>
    <row r="31" spans="1:9">
      <c r="A31" s="2559">
        <v>3</v>
      </c>
      <c r="B31" s="2560" t="s">
        <v>2529</v>
      </c>
      <c r="C31" s="2560">
        <f>C25*D31</f>
        <v>0</v>
      </c>
      <c r="D31" s="2562">
        <v>0.15</v>
      </c>
      <c r="E31" s="2560" t="s">
        <v>2530</v>
      </c>
      <c r="F31" s="2560"/>
      <c r="G31" s="2560"/>
    </row>
    <row r="32" spans="1:9">
      <c r="A32" s="2559">
        <v>4</v>
      </c>
      <c r="B32" s="2560" t="s">
        <v>2531</v>
      </c>
      <c r="C32" s="2560">
        <f>C27*D32</f>
        <v>0</v>
      </c>
      <c r="D32" s="2562">
        <v>0.05</v>
      </c>
      <c r="E32" s="3455"/>
      <c r="F32" s="3455"/>
      <c r="G32" s="3455"/>
    </row>
    <row r="33" spans="1:7" hidden="1">
      <c r="A33" s="3450" t="s">
        <v>2532</v>
      </c>
      <c r="B33" s="3451"/>
      <c r="C33" s="3451"/>
      <c r="D33" s="3452"/>
      <c r="E33" s="3453"/>
      <c r="F33" s="3453"/>
      <c r="G33" s="3453"/>
    </row>
    <row r="34" spans="1:7" hidden="1">
      <c r="A34" s="2563">
        <v>1</v>
      </c>
      <c r="B34" s="2560" t="s">
        <v>2533</v>
      </c>
      <c r="C34" s="2560"/>
      <c r="D34" s="2560"/>
      <c r="E34" s="3454"/>
      <c r="F34" s="3454"/>
      <c r="G34" s="3454"/>
    </row>
    <row r="35" spans="1:7" hidden="1">
      <c r="A35" s="2563">
        <v>2</v>
      </c>
      <c r="B35" s="2560" t="s">
        <v>2534</v>
      </c>
      <c r="C35" s="2560"/>
      <c r="D35" s="2560"/>
      <c r="E35" s="3454"/>
      <c r="F35" s="3454"/>
      <c r="G35" s="3454"/>
    </row>
    <row r="36" spans="1:7" hidden="1">
      <c r="A36" s="2563">
        <v>3</v>
      </c>
      <c r="B36" s="2560" t="s">
        <v>2535</v>
      </c>
      <c r="C36" s="2560"/>
      <c r="D36" s="2560"/>
      <c r="E36" s="3454"/>
      <c r="F36" s="3454"/>
      <c r="G36" s="3454"/>
    </row>
    <row r="37" spans="1:7" hidden="1">
      <c r="A37" s="2563">
        <v>4</v>
      </c>
      <c r="B37" s="2560" t="s">
        <v>2536</v>
      </c>
      <c r="C37" s="2560"/>
      <c r="D37" s="2560"/>
      <c r="E37" s="3454"/>
      <c r="F37" s="3454"/>
      <c r="G37" s="3454"/>
    </row>
    <row r="38" spans="1:7" hidden="1">
      <c r="A38" s="3450" t="s">
        <v>2537</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43" sqref="K43"/>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1686</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2444</v>
      </c>
      <c r="B8" s="2500" t="s">
        <v>2446</v>
      </c>
      <c r="C8" s="2501"/>
      <c r="D8" s="752"/>
      <c r="E8" s="753"/>
      <c r="F8" s="753"/>
      <c r="G8" s="754"/>
    </row>
    <row r="9" spans="1:25" s="2187" customFormat="1" ht="13.5" customHeight="1">
      <c r="A9" s="2497" t="s">
        <v>2445</v>
      </c>
      <c r="B9" s="2500" t="s">
        <v>2447</v>
      </c>
      <c r="C9" s="2501"/>
      <c r="D9" s="752"/>
      <c r="E9" s="753"/>
      <c r="F9" s="753"/>
      <c r="G9" s="754"/>
    </row>
    <row r="10" spans="1:25" s="2187" customFormat="1" ht="36">
      <c r="A10" s="2497">
        <v>2</v>
      </c>
      <c r="B10" s="751" t="s">
        <v>614</v>
      </c>
      <c r="C10" s="752">
        <f>C11+C14+C15</f>
        <v>0</v>
      </c>
      <c r="D10" s="763">
        <f>'数据-汇总表'!E3</f>
        <v>300788.65999999997</v>
      </c>
      <c r="E10" s="752">
        <f>'数据-取费表'!B31</f>
        <v>200</v>
      </c>
      <c r="F10" s="764"/>
      <c r="G10" s="762" t="s">
        <v>615</v>
      </c>
    </row>
    <row r="11" spans="1:25" s="2187" customFormat="1" ht="13.5" customHeight="1">
      <c r="A11" s="2497" t="s">
        <v>2444</v>
      </c>
      <c r="B11" s="755" t="s">
        <v>611</v>
      </c>
      <c r="C11" s="756">
        <f>'数据-取费表'!B29</f>
        <v>0</v>
      </c>
      <c r="D11" s="757"/>
      <c r="E11" s="756"/>
      <c r="F11" s="758"/>
      <c r="G11" s="2506" t="s">
        <v>2455</v>
      </c>
    </row>
    <row r="12" spans="1:25" s="2187" customFormat="1" ht="13.5" customHeight="1">
      <c r="A12" s="2504" t="s">
        <v>2452</v>
      </c>
      <c r="B12" s="759" t="s">
        <v>612</v>
      </c>
      <c r="C12" s="760">
        <f>ROUND(D12*E12/10000,0)</f>
        <v>3560</v>
      </c>
      <c r="D12" s="761">
        <f>'数据-汇总表'!E5</f>
        <v>222518.9</v>
      </c>
      <c r="E12" s="760">
        <f>'数据-取费表'!B27</f>
        <v>160</v>
      </c>
      <c r="F12" s="758"/>
      <c r="G12" s="762"/>
    </row>
    <row r="13" spans="1:25" s="2187" customFormat="1" ht="13.5" customHeight="1">
      <c r="A13" s="2504" t="s">
        <v>2451</v>
      </c>
      <c r="B13" s="759" t="s">
        <v>613</v>
      </c>
      <c r="C13" s="760">
        <f>ROUND(D13*E13/10000,0)</f>
        <v>1565</v>
      </c>
      <c r="D13" s="761">
        <f>'数据-汇总表'!E6</f>
        <v>78269.75999999998</v>
      </c>
      <c r="E13" s="760">
        <f>'数据-取费表'!B28</f>
        <v>200</v>
      </c>
      <c r="F13" s="758"/>
      <c r="G13" s="762"/>
    </row>
    <row r="14" spans="1:25" s="2187" customFormat="1" ht="13.5" customHeight="1">
      <c r="A14" s="2497" t="s">
        <v>2445</v>
      </c>
      <c r="B14" s="2503" t="s">
        <v>2448</v>
      </c>
      <c r="C14" s="2501"/>
      <c r="D14" s="761"/>
      <c r="E14" s="760"/>
      <c r="F14" s="2502"/>
      <c r="G14" s="2505" t="s">
        <v>2453</v>
      </c>
    </row>
    <row r="15" spans="1:25" s="2187" customFormat="1" ht="13.5" customHeight="1">
      <c r="A15" s="2497" t="s">
        <v>2450</v>
      </c>
      <c r="B15" s="2503" t="s">
        <v>2449</v>
      </c>
      <c r="C15" s="2501"/>
      <c r="D15" s="761"/>
      <c r="E15" s="760"/>
      <c r="F15" s="2502"/>
      <c r="G15" s="2505" t="s">
        <v>2454</v>
      </c>
    </row>
    <row r="16" spans="1:25" s="2188" customFormat="1" ht="48">
      <c r="A16" s="2497">
        <v>3</v>
      </c>
      <c r="B16" s="751" t="s">
        <v>616</v>
      </c>
      <c r="C16" s="2501"/>
      <c r="D16" s="763"/>
      <c r="E16" s="752"/>
      <c r="F16" s="764"/>
      <c r="G16" s="762" t="s">
        <v>2456</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0.19</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0.872</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757</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86" t="s">
        <v>523</v>
      </c>
      <c r="D4" s="3387"/>
      <c r="E4" s="3411" t="s">
        <v>524</v>
      </c>
      <c r="F4" s="3412"/>
      <c r="G4" s="3386" t="s">
        <v>525</v>
      </c>
      <c r="H4" s="3387"/>
      <c r="I4" s="3386" t="s">
        <v>526</v>
      </c>
      <c r="J4" s="3387"/>
      <c r="K4" s="517" t="s">
        <v>527</v>
      </c>
      <c r="L4" s="2137"/>
      <c r="M4" s="2138"/>
      <c r="N4" s="2138"/>
      <c r="O4" s="2138"/>
      <c r="P4" s="3388" t="s">
        <v>528</v>
      </c>
      <c r="Q4" s="3389"/>
      <c r="R4" s="3374" t="s">
        <v>524</v>
      </c>
      <c r="S4" s="3375"/>
      <c r="T4" s="3374" t="s">
        <v>525</v>
      </c>
      <c r="U4" s="3375"/>
      <c r="V4" s="3394" t="s">
        <v>526</v>
      </c>
      <c r="W4" s="3394"/>
      <c r="X4" s="1570"/>
      <c r="Y4" s="3374" t="s">
        <v>528</v>
      </c>
      <c r="Z4" s="3375"/>
      <c r="AA4" s="3369" t="s">
        <v>524</v>
      </c>
      <c r="AB4" s="3394" t="s">
        <v>525</v>
      </c>
      <c r="AC4" s="3369" t="s">
        <v>526</v>
      </c>
    </row>
    <row r="5" spans="1:29" ht="15">
      <c r="A5" s="518"/>
      <c r="B5" s="519"/>
      <c r="C5" s="3399" t="s">
        <v>2933</v>
      </c>
      <c r="D5" s="3398"/>
      <c r="E5" s="3413" t="s">
        <v>2934</v>
      </c>
      <c r="F5" s="3414"/>
      <c r="G5" s="3399" t="s">
        <v>2935</v>
      </c>
      <c r="H5" s="3398"/>
      <c r="I5" s="3399" t="s">
        <v>2936</v>
      </c>
      <c r="J5" s="3398"/>
      <c r="K5" s="517"/>
      <c r="L5" s="2137"/>
      <c r="M5" s="2138"/>
      <c r="N5" s="2138"/>
      <c r="O5" s="2138"/>
      <c r="P5" s="3390"/>
      <c r="Q5" s="3391"/>
      <c r="R5" s="3376"/>
      <c r="S5" s="3377"/>
      <c r="T5" s="3376"/>
      <c r="U5" s="3377"/>
      <c r="V5" s="3394"/>
      <c r="W5" s="3394"/>
      <c r="X5" s="1570"/>
      <c r="Y5" s="3376"/>
      <c r="Z5" s="3377"/>
      <c r="AA5" s="3370"/>
      <c r="AB5" s="3394"/>
      <c r="AC5" s="3370"/>
    </row>
    <row r="6" spans="1:29" ht="15.75" thickBot="1">
      <c r="A6" s="520"/>
      <c r="B6" s="521"/>
      <c r="C6" s="3395" t="s">
        <v>2937</v>
      </c>
      <c r="D6" s="3396"/>
      <c r="E6" s="3415" t="s">
        <v>2937</v>
      </c>
      <c r="F6" s="3416"/>
      <c r="G6" s="3395" t="s">
        <v>2937</v>
      </c>
      <c r="H6" s="3396"/>
      <c r="I6" s="3395" t="s">
        <v>2937</v>
      </c>
      <c r="J6" s="3396"/>
      <c r="K6" s="517" t="s">
        <v>529</v>
      </c>
      <c r="L6" s="2137"/>
      <c r="M6" s="2138"/>
      <c r="N6" s="2138"/>
      <c r="O6" s="2138"/>
      <c r="P6" s="3392"/>
      <c r="Q6" s="3393"/>
      <c r="R6" s="3376"/>
      <c r="S6" s="3377"/>
      <c r="T6" s="3378"/>
      <c r="U6" s="3379"/>
      <c r="V6" s="3394"/>
      <c r="W6" s="3394"/>
      <c r="X6" s="1570"/>
      <c r="Y6" s="3378"/>
      <c r="Z6" s="3379"/>
      <c r="AA6" s="3371"/>
      <c r="AB6" s="3394"/>
      <c r="AC6" s="3371"/>
    </row>
    <row r="7" spans="1:29" s="1223" customFormat="1" ht="15.75" thickBot="1">
      <c r="A7" s="2941"/>
      <c r="B7" s="2948"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72" t="s">
        <v>531</v>
      </c>
      <c r="Q7" s="3381"/>
      <c r="R7" s="1571" t="s">
        <v>8</v>
      </c>
      <c r="S7" s="1572">
        <f t="shared" ref="S7:S15" si="0">F7</f>
        <v>0</v>
      </c>
      <c r="T7" s="1571" t="s">
        <v>8</v>
      </c>
      <c r="U7" s="1572">
        <f t="shared" ref="U7:U15" si="1">H7</f>
        <v>0</v>
      </c>
      <c r="V7" s="1571" t="s">
        <v>8</v>
      </c>
      <c r="W7" s="1572">
        <f t="shared" ref="W7:W15" si="2">J7</f>
        <v>0</v>
      </c>
      <c r="X7" s="1573"/>
      <c r="Y7" s="3372" t="s">
        <v>531</v>
      </c>
      <c r="Z7" s="3373"/>
      <c r="AA7" s="1574" t="e">
        <f>D7/F7</f>
        <v>#DIV/0!</v>
      </c>
      <c r="AB7" s="1574" t="e">
        <f>D7/H7</f>
        <v>#DIV/0!</v>
      </c>
      <c r="AC7" s="1574" t="e">
        <f>D7/J7</f>
        <v>#DIV/0!</v>
      </c>
    </row>
    <row r="8" spans="1:29" s="1223"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72" t="s">
        <v>534</v>
      </c>
      <c r="Q8" s="3373"/>
      <c r="R8" s="1571" t="s">
        <v>8</v>
      </c>
      <c r="S8" s="1572">
        <f t="shared" si="0"/>
        <v>0</v>
      </c>
      <c r="T8" s="1571" t="s">
        <v>8</v>
      </c>
      <c r="U8" s="1572">
        <f t="shared" si="1"/>
        <v>0</v>
      </c>
      <c r="V8" s="1571" t="s">
        <v>8</v>
      </c>
      <c r="W8" s="1572">
        <f t="shared" si="2"/>
        <v>0</v>
      </c>
      <c r="X8" s="1573"/>
      <c r="Y8" s="3372" t="s">
        <v>534</v>
      </c>
      <c r="Z8" s="3373"/>
      <c r="AA8" s="1574" t="e">
        <f t="shared" ref="AA8:AA46" si="3">D8/F8</f>
        <v>#DIV/0!</v>
      </c>
      <c r="AB8" s="1574" t="e">
        <f t="shared" ref="AB8:AB46" si="4">D8/H8</f>
        <v>#DIV/0!</v>
      </c>
      <c r="AC8" s="1574" t="e">
        <f t="shared" ref="AC8:AC46" si="5">D8/J8</f>
        <v>#DIV/0!</v>
      </c>
    </row>
    <row r="9" spans="1:29" s="1223" customFormat="1" ht="15">
      <c r="A9" s="2943"/>
      <c r="B9" s="2950" t="s">
        <v>2764</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80" t="s">
        <v>536</v>
      </c>
      <c r="Q9" s="1154" t="str">
        <f t="shared" ref="Q9:Q15" si="6">B9</f>
        <v>用途</v>
      </c>
      <c r="R9" s="1571" t="s">
        <v>8</v>
      </c>
      <c r="S9" s="1572">
        <f t="shared" si="0"/>
        <v>100</v>
      </c>
      <c r="T9" s="1571" t="s">
        <v>8</v>
      </c>
      <c r="U9" s="1572">
        <f t="shared" si="1"/>
        <v>100</v>
      </c>
      <c r="V9" s="1571" t="s">
        <v>8</v>
      </c>
      <c r="W9" s="1572">
        <f t="shared" si="2"/>
        <v>100</v>
      </c>
      <c r="X9" s="1573"/>
      <c r="Y9" s="3337" t="s">
        <v>537</v>
      </c>
      <c r="Z9" s="1153" t="str">
        <f t="shared" ref="Z9:Z15" si="7">Q9</f>
        <v>用途</v>
      </c>
      <c r="AA9" s="1574">
        <f t="shared" si="3"/>
        <v>1</v>
      </c>
      <c r="AB9" s="1574">
        <f t="shared" si="4"/>
        <v>1</v>
      </c>
      <c r="AC9" s="1574">
        <f t="shared" si="5"/>
        <v>1</v>
      </c>
    </row>
    <row r="10" spans="1:29" s="1341" customFormat="1" ht="27">
      <c r="A10" s="2944"/>
      <c r="B10" s="2949" t="s">
        <v>2765</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80"/>
      <c r="Q10" s="1154" t="str">
        <f t="shared" si="6"/>
        <v>土地使用年限（年）</v>
      </c>
      <c r="R10" s="1571" t="s">
        <v>8</v>
      </c>
      <c r="S10" s="1572">
        <f t="shared" si="0"/>
        <v>100</v>
      </c>
      <c r="T10" s="1571" t="s">
        <v>8</v>
      </c>
      <c r="U10" s="1572">
        <f t="shared" si="1"/>
        <v>100</v>
      </c>
      <c r="V10" s="1571" t="s">
        <v>8</v>
      </c>
      <c r="W10" s="1572">
        <f t="shared" si="2"/>
        <v>100</v>
      </c>
      <c r="X10" s="1573"/>
      <c r="Y10" s="3337"/>
      <c r="Z10" s="1153"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80"/>
      <c r="Q11" s="1154" t="str">
        <f t="shared" si="6"/>
        <v>容积率</v>
      </c>
      <c r="R11" s="1571" t="s">
        <v>8</v>
      </c>
      <c r="S11" s="1572" t="e">
        <f t="shared" si="0"/>
        <v>#N/A</v>
      </c>
      <c r="T11" s="1571" t="s">
        <v>8</v>
      </c>
      <c r="U11" s="1572" t="e">
        <f t="shared" si="1"/>
        <v>#N/A</v>
      </c>
      <c r="V11" s="1571" t="s">
        <v>8</v>
      </c>
      <c r="W11" s="1572" t="e">
        <f t="shared" si="2"/>
        <v>#N/A</v>
      </c>
      <c r="X11" s="1573"/>
      <c r="Y11" s="3337"/>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80"/>
      <c r="Q12" s="1154">
        <f t="shared" si="6"/>
        <v>111</v>
      </c>
      <c r="R12" s="1571" t="s">
        <v>8</v>
      </c>
      <c r="S12" s="1572">
        <f t="shared" si="0"/>
        <v>100</v>
      </c>
      <c r="T12" s="1571" t="s">
        <v>8</v>
      </c>
      <c r="U12" s="1572">
        <f t="shared" si="1"/>
        <v>100</v>
      </c>
      <c r="V12" s="1571" t="s">
        <v>8</v>
      </c>
      <c r="W12" s="1572">
        <f t="shared" si="2"/>
        <v>100</v>
      </c>
      <c r="X12" s="1573"/>
      <c r="Y12" s="3337"/>
      <c r="Z12" s="1153">
        <f t="shared" si="7"/>
        <v>111</v>
      </c>
      <c r="AA12" s="1574">
        <f>D12/F12</f>
        <v>1</v>
      </c>
      <c r="AB12" s="1574">
        <f>D12/H12</f>
        <v>1</v>
      </c>
      <c r="AC12" s="1574">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80"/>
      <c r="Q13" s="1154">
        <f t="shared" si="6"/>
        <v>111</v>
      </c>
      <c r="R13" s="1571" t="s">
        <v>8</v>
      </c>
      <c r="S13" s="1572">
        <f t="shared" si="0"/>
        <v>100</v>
      </c>
      <c r="T13" s="1571" t="s">
        <v>8</v>
      </c>
      <c r="U13" s="1572">
        <f t="shared" si="1"/>
        <v>100</v>
      </c>
      <c r="V13" s="1571" t="s">
        <v>8</v>
      </c>
      <c r="W13" s="1572">
        <f t="shared" si="2"/>
        <v>100</v>
      </c>
      <c r="X13" s="1573"/>
      <c r="Y13" s="3337"/>
      <c r="Z13" s="1153">
        <f t="shared" si="7"/>
        <v>111</v>
      </c>
      <c r="AA13" s="1574">
        <f t="shared" si="3"/>
        <v>1</v>
      </c>
      <c r="AB13" s="1574">
        <f t="shared" si="4"/>
        <v>1</v>
      </c>
      <c r="AC13" s="1574">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80"/>
      <c r="Q14" s="1154">
        <f t="shared" si="6"/>
        <v>111</v>
      </c>
      <c r="R14" s="1571" t="s">
        <v>8</v>
      </c>
      <c r="S14" s="1572">
        <f t="shared" si="0"/>
        <v>100</v>
      </c>
      <c r="T14" s="1571" t="s">
        <v>8</v>
      </c>
      <c r="U14" s="1572">
        <f t="shared" si="1"/>
        <v>100</v>
      </c>
      <c r="V14" s="1571" t="s">
        <v>8</v>
      </c>
      <c r="W14" s="1572">
        <f t="shared" si="2"/>
        <v>100</v>
      </c>
      <c r="X14" s="1573"/>
      <c r="Y14" s="3337"/>
      <c r="Z14" s="1153">
        <f t="shared" si="7"/>
        <v>111</v>
      </c>
      <c r="AA14" s="1574">
        <f t="shared" si="3"/>
        <v>1</v>
      </c>
      <c r="AB14" s="1574">
        <f t="shared" si="4"/>
        <v>1</v>
      </c>
      <c r="AC14" s="1574">
        <f t="shared" si="5"/>
        <v>1</v>
      </c>
    </row>
    <row r="15" spans="1:29" ht="15">
      <c r="A15" s="2939" t="s">
        <v>2762</v>
      </c>
      <c r="B15" s="166" t="s">
        <v>542</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82" t="s">
        <v>541</v>
      </c>
      <c r="Q15" s="1575" t="str">
        <f t="shared" si="6"/>
        <v>商业繁华度</v>
      </c>
      <c r="R15" s="1576" t="s">
        <v>8</v>
      </c>
      <c r="S15" s="1577">
        <f t="shared" si="0"/>
        <v>100</v>
      </c>
      <c r="T15" s="1576" t="s">
        <v>8</v>
      </c>
      <c r="U15" s="1577">
        <f t="shared" si="1"/>
        <v>100</v>
      </c>
      <c r="V15" s="1576" t="s">
        <v>8</v>
      </c>
      <c r="W15" s="1577">
        <f t="shared" si="2"/>
        <v>100</v>
      </c>
      <c r="X15" s="1570"/>
      <c r="Y15" s="3382"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83"/>
      <c r="Q16" s="1575"/>
      <c r="R16" s="1576"/>
      <c r="S16" s="1577"/>
      <c r="T16" s="1576"/>
      <c r="U16" s="1577"/>
      <c r="V16" s="1576"/>
      <c r="W16" s="1577"/>
      <c r="X16" s="1570"/>
      <c r="Y16" s="3383"/>
      <c r="Z16" s="1578"/>
      <c r="AA16" s="1579">
        <v>1</v>
      </c>
      <c r="AB16" s="1579">
        <v>1</v>
      </c>
      <c r="AC16" s="1579">
        <v>1</v>
      </c>
    </row>
    <row r="17" spans="1:29" ht="71.25">
      <c r="A17" s="535"/>
      <c r="B17" s="874" t="s">
        <v>296</v>
      </c>
      <c r="C17" s="875" t="str">
        <f>估价对象房地状况!C6</f>
        <v>估价对象周边有344、531路公交线路经过，综合评价交通便捷度一般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83"/>
      <c r="Q17" s="1575" t="str">
        <f>B17</f>
        <v>交通便捷度</v>
      </c>
      <c r="R17" s="1576" t="s">
        <v>8</v>
      </c>
      <c r="S17" s="1577">
        <f>F17</f>
        <v>100</v>
      </c>
      <c r="T17" s="1576" t="s">
        <v>8</v>
      </c>
      <c r="U17" s="1577">
        <f>H17</f>
        <v>100</v>
      </c>
      <c r="V17" s="1576" t="s">
        <v>8</v>
      </c>
      <c r="W17" s="1577">
        <f>J17</f>
        <v>100</v>
      </c>
      <c r="X17" s="1570"/>
      <c r="Y17" s="3383"/>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83"/>
      <c r="Q18" s="1575"/>
      <c r="R18" s="1576"/>
      <c r="S18" s="1577"/>
      <c r="T18" s="1576"/>
      <c r="U18" s="1577"/>
      <c r="V18" s="1576"/>
      <c r="W18" s="1577"/>
      <c r="X18" s="1570"/>
      <c r="Y18" s="3383"/>
      <c r="Z18" s="1578"/>
      <c r="AA18" s="1579">
        <v>1</v>
      </c>
      <c r="AB18" s="1579">
        <v>1</v>
      </c>
      <c r="AC18" s="1579">
        <v>1</v>
      </c>
    </row>
    <row r="19" spans="1:29" ht="42.75">
      <c r="A19" s="535"/>
      <c r="B19" s="2628" t="s">
        <v>2552</v>
      </c>
      <c r="C19" s="875" t="str">
        <f>估价对象房地状况!C7</f>
        <v>估价对象所在区域公共配套设施齐备度一般</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83"/>
      <c r="Q19" s="1575" t="str">
        <f>B19</f>
        <v>公共配套设施</v>
      </c>
      <c r="R19" s="1576" t="s">
        <v>8</v>
      </c>
      <c r="S19" s="1577">
        <f>F19</f>
        <v>100</v>
      </c>
      <c r="T19" s="1576" t="s">
        <v>8</v>
      </c>
      <c r="U19" s="1577">
        <f>H19</f>
        <v>100</v>
      </c>
      <c r="V19" s="1576" t="s">
        <v>8</v>
      </c>
      <c r="W19" s="1577">
        <f>J19</f>
        <v>100</v>
      </c>
      <c r="X19" s="1570"/>
      <c r="Y19" s="3383"/>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6"/>
      <c r="M20" s="2138"/>
      <c r="N20" s="2138"/>
      <c r="O20" s="2145"/>
      <c r="P20" s="3383"/>
      <c r="Q20" s="1575"/>
      <c r="R20" s="1576"/>
      <c r="S20" s="1577"/>
      <c r="T20" s="1576"/>
      <c r="U20" s="1577"/>
      <c r="V20" s="1576"/>
      <c r="W20" s="1577"/>
      <c r="X20" s="1570"/>
      <c r="Y20" s="3383"/>
      <c r="Z20" s="1578"/>
      <c r="AA20" s="1579">
        <v>1</v>
      </c>
      <c r="AB20" s="1579">
        <v>1</v>
      </c>
      <c r="AC20" s="1579">
        <v>1</v>
      </c>
    </row>
    <row r="21" spans="1:29" ht="42.75">
      <c r="A21" s="535"/>
      <c r="B21" s="2621" t="s">
        <v>2564</v>
      </c>
      <c r="C21" s="875" t="str">
        <f>估价对象房地状况!C8</f>
        <v>估价对象所在区域基础设施水平达七通</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83"/>
      <c r="Q21" s="2607" t="str">
        <f>B21</f>
        <v>基础设施水平</v>
      </c>
      <c r="R21" s="1576" t="s">
        <v>8</v>
      </c>
      <c r="S21" s="1577">
        <f>F21</f>
        <v>100</v>
      </c>
      <c r="T21" s="1576" t="s">
        <v>8</v>
      </c>
      <c r="U21" s="1577">
        <f>H21</f>
        <v>100</v>
      </c>
      <c r="V21" s="1576" t="s">
        <v>8</v>
      </c>
      <c r="W21" s="1577">
        <f>J21</f>
        <v>100</v>
      </c>
      <c r="X21" s="2609"/>
      <c r="Y21" s="3383"/>
      <c r="Z21" s="2608"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0"/>
      <c r="L22" s="2146"/>
      <c r="M22" s="2138"/>
      <c r="N22" s="2138"/>
      <c r="O22" s="2145"/>
      <c r="P22" s="3383"/>
      <c r="Q22" s="2607"/>
      <c r="R22" s="1576"/>
      <c r="S22" s="1577"/>
      <c r="T22" s="1576"/>
      <c r="U22" s="1577"/>
      <c r="V22" s="1576"/>
      <c r="W22" s="1577"/>
      <c r="X22" s="2609"/>
      <c r="Y22" s="3383"/>
      <c r="Z22" s="2608"/>
      <c r="AA22" s="1579">
        <v>1</v>
      </c>
      <c r="AB22" s="1579">
        <v>1</v>
      </c>
      <c r="AC22" s="1579">
        <v>1</v>
      </c>
    </row>
    <row r="23" spans="1:29" ht="57">
      <c r="A23" s="535"/>
      <c r="B23" s="874" t="s">
        <v>297</v>
      </c>
      <c r="C23" s="903" t="str">
        <f>估价对象房地状况!C9</f>
        <v>周边有京城体育休闲公园；综合评价环境状况一般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83"/>
      <c r="Q23" s="1575" t="str">
        <f>B23</f>
        <v>自然及人文环境</v>
      </c>
      <c r="R23" s="1576" t="s">
        <v>8</v>
      </c>
      <c r="S23" s="1577">
        <f>F23</f>
        <v>100</v>
      </c>
      <c r="T23" s="1576" t="s">
        <v>8</v>
      </c>
      <c r="U23" s="1577">
        <f>H23</f>
        <v>100</v>
      </c>
      <c r="V23" s="1576" t="s">
        <v>8</v>
      </c>
      <c r="W23" s="1577">
        <f>J23</f>
        <v>100</v>
      </c>
      <c r="X23" s="1570"/>
      <c r="Y23" s="3383"/>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6"/>
      <c r="M24" s="2138"/>
      <c r="N24" s="2138"/>
      <c r="O24" s="2145"/>
      <c r="P24" s="3383"/>
      <c r="Q24" s="1575"/>
      <c r="R24" s="1576"/>
      <c r="S24" s="1577"/>
      <c r="T24" s="1576"/>
      <c r="U24" s="1577"/>
      <c r="V24" s="1576"/>
      <c r="W24" s="1577"/>
      <c r="X24" s="1570"/>
      <c r="Y24" s="3383"/>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83"/>
      <c r="Q25" s="1575" t="str">
        <f t="shared" ref="Q25:Q46" si="11">B25</f>
        <v>临街状况</v>
      </c>
      <c r="R25" s="1576" t="s">
        <v>8</v>
      </c>
      <c r="S25" s="1577">
        <f>F25</f>
        <v>100</v>
      </c>
      <c r="T25" s="1576" t="s">
        <v>8</v>
      </c>
      <c r="U25" s="1577">
        <f>H25</f>
        <v>100</v>
      </c>
      <c r="V25" s="1576" t="s">
        <v>8</v>
      </c>
      <c r="W25" s="1577">
        <f>J25</f>
        <v>100</v>
      </c>
      <c r="X25" s="1570"/>
      <c r="Y25" s="3383"/>
      <c r="Z25" s="1578" t="str">
        <f>Q25</f>
        <v>临街状况</v>
      </c>
      <c r="AA25" s="1579">
        <f t="shared" si="3"/>
        <v>1</v>
      </c>
      <c r="AB25" s="1579">
        <f t="shared" si="4"/>
        <v>1</v>
      </c>
      <c r="AC25" s="1579">
        <f t="shared" si="5"/>
        <v>1</v>
      </c>
    </row>
    <row r="26" spans="1:29" ht="15">
      <c r="A26" s="535"/>
      <c r="B26" s="880" t="s">
        <v>758</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83"/>
      <c r="Q26" s="1575" t="str">
        <f t="shared" si="11"/>
        <v>平面位置/可视性</v>
      </c>
      <c r="R26" s="1576" t="s">
        <v>8</v>
      </c>
      <c r="S26" s="1577">
        <f>F26</f>
        <v>100</v>
      </c>
      <c r="T26" s="1576" t="s">
        <v>8</v>
      </c>
      <c r="U26" s="1577">
        <f>H26</f>
        <v>100</v>
      </c>
      <c r="V26" s="1576" t="s">
        <v>8</v>
      </c>
      <c r="W26" s="1577">
        <f>J26</f>
        <v>100</v>
      </c>
      <c r="X26" s="1570"/>
      <c r="Y26" s="3383"/>
      <c r="Z26" s="1578" t="str">
        <f>Q26</f>
        <v>平面位置/可视性</v>
      </c>
      <c r="AA26" s="1579">
        <f t="shared" si="3"/>
        <v>1</v>
      </c>
      <c r="AB26" s="1579">
        <f t="shared" si="4"/>
        <v>1</v>
      </c>
      <c r="AC26" s="1579">
        <f t="shared" si="5"/>
        <v>1</v>
      </c>
    </row>
    <row r="27" spans="1:29" s="1223" customFormat="1" ht="15">
      <c r="A27" s="539"/>
      <c r="B27" s="874" t="s">
        <v>759</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83"/>
      <c r="Q27" s="1154" t="str">
        <f t="shared" si="11"/>
        <v>人流量</v>
      </c>
      <c r="R27" s="1571" t="s">
        <v>8</v>
      </c>
      <c r="S27" s="1572">
        <f>F27</f>
        <v>100</v>
      </c>
      <c r="T27" s="1571" t="s">
        <v>8</v>
      </c>
      <c r="U27" s="1572">
        <f>H27</f>
        <v>100</v>
      </c>
      <c r="V27" s="1571" t="s">
        <v>8</v>
      </c>
      <c r="W27" s="1572">
        <f>J27</f>
        <v>100</v>
      </c>
      <c r="X27" s="1573"/>
      <c r="Y27" s="3383"/>
      <c r="Z27" s="1153" t="str">
        <f>Q27</f>
        <v>人流量</v>
      </c>
      <c r="AA27" s="1579">
        <f>D27/F27</f>
        <v>1</v>
      </c>
      <c r="AB27" s="1579">
        <f>D27/H27</f>
        <v>1</v>
      </c>
      <c r="AC27" s="1579">
        <f>D27/J27</f>
        <v>1</v>
      </c>
    </row>
    <row r="28" spans="1:29" ht="15">
      <c r="A28" s="535"/>
      <c r="B28" s="530" t="s">
        <v>761</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83"/>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3"/>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83"/>
      <c r="Q29" s="1575">
        <f t="shared" si="11"/>
        <v>111</v>
      </c>
      <c r="R29" s="1576" t="s">
        <v>8</v>
      </c>
      <c r="S29" s="1577">
        <f t="shared" si="12"/>
        <v>100</v>
      </c>
      <c r="T29" s="1576" t="s">
        <v>8</v>
      </c>
      <c r="U29" s="1577">
        <f t="shared" si="13"/>
        <v>100</v>
      </c>
      <c r="V29" s="1576" t="s">
        <v>8</v>
      </c>
      <c r="W29" s="1577">
        <f t="shared" si="14"/>
        <v>100</v>
      </c>
      <c r="X29" s="1570"/>
      <c r="Y29" s="3383"/>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83"/>
      <c r="Q30" s="1575">
        <f t="shared" si="11"/>
        <v>111</v>
      </c>
      <c r="R30" s="1576" t="s">
        <v>8</v>
      </c>
      <c r="S30" s="1577">
        <f t="shared" si="12"/>
        <v>100</v>
      </c>
      <c r="T30" s="1576" t="s">
        <v>8</v>
      </c>
      <c r="U30" s="1577">
        <f t="shared" si="13"/>
        <v>100</v>
      </c>
      <c r="V30" s="1576" t="s">
        <v>8</v>
      </c>
      <c r="W30" s="1577">
        <f t="shared" si="14"/>
        <v>100</v>
      </c>
      <c r="X30" s="1570"/>
      <c r="Y30" s="3383"/>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83"/>
      <c r="Q31" s="1575">
        <f t="shared" si="11"/>
        <v>111</v>
      </c>
      <c r="R31" s="1576" t="s">
        <v>8</v>
      </c>
      <c r="S31" s="1577">
        <f t="shared" si="12"/>
        <v>100</v>
      </c>
      <c r="T31" s="1576" t="s">
        <v>8</v>
      </c>
      <c r="U31" s="1577">
        <f t="shared" si="13"/>
        <v>100</v>
      </c>
      <c r="V31" s="1576" t="s">
        <v>8</v>
      </c>
      <c r="W31" s="1577">
        <f t="shared" si="14"/>
        <v>100</v>
      </c>
      <c r="X31" s="1570"/>
      <c r="Y31" s="3383"/>
      <c r="Z31" s="1578">
        <f t="shared" si="15"/>
        <v>111</v>
      </c>
      <c r="AA31" s="1579">
        <f t="shared" si="3"/>
        <v>1</v>
      </c>
      <c r="AB31" s="1579">
        <f t="shared" si="4"/>
        <v>1</v>
      </c>
      <c r="AC31" s="1579">
        <f t="shared" si="5"/>
        <v>1</v>
      </c>
    </row>
    <row r="32" spans="1:29" ht="15">
      <c r="A32" s="2937" t="s">
        <v>2763</v>
      </c>
      <c r="B32" s="172" t="s">
        <v>762</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84" t="s">
        <v>551</v>
      </c>
      <c r="Q32" s="1575" t="str">
        <f t="shared" si="11"/>
        <v>商业类型</v>
      </c>
      <c r="R32" s="1576" t="s">
        <v>8</v>
      </c>
      <c r="S32" s="1577">
        <f t="shared" si="12"/>
        <v>100</v>
      </c>
      <c r="T32" s="1576" t="s">
        <v>8</v>
      </c>
      <c r="U32" s="1577">
        <f t="shared" si="13"/>
        <v>100</v>
      </c>
      <c r="V32" s="1576" t="s">
        <v>8</v>
      </c>
      <c r="W32" s="1577">
        <f t="shared" si="14"/>
        <v>100</v>
      </c>
      <c r="X32" s="1570"/>
      <c r="Y32" s="3385" t="s">
        <v>551</v>
      </c>
      <c r="Z32" s="1578" t="str">
        <f t="shared" si="15"/>
        <v>商业类型</v>
      </c>
      <c r="AA32" s="1579">
        <f t="shared" si="3"/>
        <v>1</v>
      </c>
      <c r="AB32" s="1579">
        <f t="shared" si="4"/>
        <v>1</v>
      </c>
      <c r="AC32" s="1579">
        <f t="shared" si="5"/>
        <v>1</v>
      </c>
    </row>
    <row r="33" spans="1:29" s="1342" customFormat="1" ht="15">
      <c r="A33" s="606"/>
      <c r="B33" s="530" t="s">
        <v>726</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85"/>
      <c r="Q33" s="1608" t="str">
        <f t="shared" si="11"/>
        <v>项目建筑规模</v>
      </c>
      <c r="R33" s="1580" t="s">
        <v>8</v>
      </c>
      <c r="S33" s="1581" t="e">
        <f t="shared" si="12"/>
        <v>#N/A</v>
      </c>
      <c r="T33" s="1580" t="s">
        <v>8</v>
      </c>
      <c r="U33" s="1581" t="e">
        <f t="shared" si="13"/>
        <v>#N/A</v>
      </c>
      <c r="V33" s="1580" t="s">
        <v>8</v>
      </c>
      <c r="W33" s="1581" t="e">
        <f t="shared" si="14"/>
        <v>#N/A</v>
      </c>
      <c r="X33" s="1582"/>
      <c r="Y33" s="3385"/>
      <c r="Z33" s="1583" t="str">
        <f t="shared" si="15"/>
        <v>项目建筑规模</v>
      </c>
      <c r="AA33" s="1579" t="e">
        <f t="shared" si="3"/>
        <v>#N/A</v>
      </c>
      <c r="AB33" s="1579" t="e">
        <f t="shared" si="4"/>
        <v>#N/A</v>
      </c>
      <c r="AC33" s="1579" t="e">
        <f t="shared" si="5"/>
        <v>#N/A</v>
      </c>
    </row>
    <row r="34" spans="1:29" ht="15">
      <c r="A34" s="597"/>
      <c r="B34" s="530" t="s">
        <v>727</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385"/>
      <c r="Q34" s="1575" t="str">
        <f t="shared" si="11"/>
        <v>建筑结构</v>
      </c>
      <c r="R34" s="1576" t="s">
        <v>8</v>
      </c>
      <c r="S34" s="1577">
        <f t="shared" si="12"/>
        <v>100</v>
      </c>
      <c r="T34" s="1576" t="s">
        <v>8</v>
      </c>
      <c r="U34" s="1577">
        <f t="shared" si="13"/>
        <v>100</v>
      </c>
      <c r="V34" s="1576" t="s">
        <v>8</v>
      </c>
      <c r="W34" s="1577">
        <f t="shared" si="14"/>
        <v>100</v>
      </c>
      <c r="X34" s="1570"/>
      <c r="Y34" s="3385"/>
      <c r="Z34" s="1578" t="str">
        <f t="shared" si="15"/>
        <v>建筑结构</v>
      </c>
      <c r="AA34" s="1579">
        <f t="shared" si="3"/>
        <v>1</v>
      </c>
      <c r="AB34" s="1579">
        <f t="shared" si="4"/>
        <v>1</v>
      </c>
      <c r="AC34" s="1579">
        <f t="shared" si="5"/>
        <v>1</v>
      </c>
    </row>
    <row r="35" spans="1:29" ht="15">
      <c r="A35" s="597"/>
      <c r="B35" s="530" t="s">
        <v>763</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85"/>
      <c r="Q35" s="1575" t="str">
        <f t="shared" si="11"/>
        <v>公共部分装修</v>
      </c>
      <c r="R35" s="1576" t="s">
        <v>8</v>
      </c>
      <c r="S35" s="1577">
        <f t="shared" si="12"/>
        <v>100</v>
      </c>
      <c r="T35" s="1576" t="s">
        <v>8</v>
      </c>
      <c r="U35" s="1577">
        <f t="shared" si="13"/>
        <v>100</v>
      </c>
      <c r="V35" s="1576" t="s">
        <v>8</v>
      </c>
      <c r="W35" s="1577">
        <f t="shared" si="14"/>
        <v>100</v>
      </c>
      <c r="X35" s="1570"/>
      <c r="Y35" s="3385"/>
      <c r="Z35" s="1578" t="str">
        <f t="shared" si="15"/>
        <v>公共部分装修</v>
      </c>
      <c r="AA35" s="1579">
        <f t="shared" si="3"/>
        <v>1</v>
      </c>
      <c r="AB35" s="1579">
        <f t="shared" si="4"/>
        <v>1</v>
      </c>
      <c r="AC35" s="1579">
        <f t="shared" si="5"/>
        <v>1</v>
      </c>
    </row>
    <row r="36" spans="1:29" ht="15">
      <c r="A36" s="597"/>
      <c r="B36" s="530" t="s">
        <v>764</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385"/>
      <c r="Q36" s="1575" t="str">
        <f t="shared" si="11"/>
        <v>成新度</v>
      </c>
      <c r="R36" s="1576" t="s">
        <v>8</v>
      </c>
      <c r="S36" s="1577" t="e">
        <f t="shared" si="12"/>
        <v>#N/A</v>
      </c>
      <c r="T36" s="1576" t="s">
        <v>8</v>
      </c>
      <c r="U36" s="1577" t="e">
        <f t="shared" si="13"/>
        <v>#N/A</v>
      </c>
      <c r="V36" s="1576" t="s">
        <v>8</v>
      </c>
      <c r="W36" s="1577" t="e">
        <f t="shared" si="14"/>
        <v>#N/A</v>
      </c>
      <c r="X36" s="1570"/>
      <c r="Y36" s="3385"/>
      <c r="Z36" s="1578" t="str">
        <f t="shared" si="15"/>
        <v>成新度</v>
      </c>
      <c r="AA36" s="1579" t="e">
        <f t="shared" si="3"/>
        <v>#N/A</v>
      </c>
      <c r="AB36" s="1579" t="e">
        <f t="shared" si="4"/>
        <v>#N/A</v>
      </c>
      <c r="AC36" s="1579" t="e">
        <f t="shared" si="5"/>
        <v>#N/A</v>
      </c>
    </row>
    <row r="37" spans="1:29" s="1223" customFormat="1" ht="15">
      <c r="A37" s="603"/>
      <c r="B37" s="1899"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85"/>
      <c r="Q37" s="1154" t="str">
        <f t="shared" si="11"/>
        <v>市政基础设施</v>
      </c>
      <c r="R37" s="1571" t="s">
        <v>8</v>
      </c>
      <c r="S37" s="1572">
        <f t="shared" si="12"/>
        <v>100</v>
      </c>
      <c r="T37" s="1571" t="s">
        <v>8</v>
      </c>
      <c r="U37" s="1572">
        <f t="shared" si="13"/>
        <v>100</v>
      </c>
      <c r="V37" s="1571" t="s">
        <v>8</v>
      </c>
      <c r="W37" s="1572">
        <f t="shared" si="14"/>
        <v>100</v>
      </c>
      <c r="X37" s="1573"/>
      <c r="Y37" s="3385"/>
      <c r="Z37" s="1153" t="str">
        <f t="shared" si="15"/>
        <v>市政基础设施</v>
      </c>
      <c r="AA37" s="1574">
        <f t="shared" si="3"/>
        <v>1</v>
      </c>
      <c r="AB37" s="1574">
        <f t="shared" si="4"/>
        <v>1</v>
      </c>
      <c r="AC37" s="1574">
        <f t="shared" si="5"/>
        <v>1</v>
      </c>
    </row>
    <row r="38" spans="1:29" ht="15">
      <c r="A38" s="597"/>
      <c r="B38" s="530" t="s">
        <v>765</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85" t="s">
        <v>766</v>
      </c>
      <c r="Q38" s="1575" t="str">
        <f t="shared" si="11"/>
        <v>业态</v>
      </c>
      <c r="R38" s="1576" t="s">
        <v>8</v>
      </c>
      <c r="S38" s="1577">
        <f t="shared" si="12"/>
        <v>100</v>
      </c>
      <c r="T38" s="1576" t="s">
        <v>8</v>
      </c>
      <c r="U38" s="1577">
        <f t="shared" si="13"/>
        <v>100</v>
      </c>
      <c r="V38" s="1576" t="s">
        <v>8</v>
      </c>
      <c r="W38" s="1577">
        <f t="shared" si="14"/>
        <v>100</v>
      </c>
      <c r="X38" s="1570"/>
      <c r="Y38" s="3385" t="s">
        <v>766</v>
      </c>
      <c r="Z38" s="1578" t="str">
        <f t="shared" si="15"/>
        <v>业态</v>
      </c>
      <c r="AA38" s="1579">
        <f t="shared" si="3"/>
        <v>1</v>
      </c>
      <c r="AB38" s="1579">
        <f t="shared" si="4"/>
        <v>1</v>
      </c>
      <c r="AC38" s="1579">
        <f t="shared" si="5"/>
        <v>1</v>
      </c>
    </row>
    <row r="39" spans="1:29" ht="15">
      <c r="A39" s="597"/>
      <c r="B39" s="530" t="s">
        <v>767</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85"/>
      <c r="Q39" s="1575" t="str">
        <f t="shared" si="11"/>
        <v>层高</v>
      </c>
      <c r="R39" s="1576" t="s">
        <v>8</v>
      </c>
      <c r="S39" s="1577">
        <f t="shared" si="12"/>
        <v>100</v>
      </c>
      <c r="T39" s="1576" t="s">
        <v>8</v>
      </c>
      <c r="U39" s="1577">
        <f t="shared" si="13"/>
        <v>100</v>
      </c>
      <c r="V39" s="1576" t="s">
        <v>8</v>
      </c>
      <c r="W39" s="1577">
        <f t="shared" si="14"/>
        <v>100</v>
      </c>
      <c r="X39" s="1570"/>
      <c r="Y39" s="3385"/>
      <c r="Z39" s="1578" t="str">
        <f t="shared" si="15"/>
        <v>层高</v>
      </c>
      <c r="AA39" s="1579">
        <f t="shared" si="3"/>
        <v>1</v>
      </c>
      <c r="AB39" s="1579">
        <f t="shared" si="4"/>
        <v>1</v>
      </c>
      <c r="AC39" s="1579">
        <f t="shared" si="5"/>
        <v>1</v>
      </c>
    </row>
    <row r="40" spans="1:29" ht="15">
      <c r="A40" s="597"/>
      <c r="B40" s="530" t="s">
        <v>768</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85"/>
      <c r="Q40" s="1575" t="str">
        <f t="shared" si="11"/>
        <v>单套建筑面积</v>
      </c>
      <c r="R40" s="1576" t="s">
        <v>8</v>
      </c>
      <c r="S40" s="1577">
        <f t="shared" si="12"/>
        <v>100</v>
      </c>
      <c r="T40" s="1576" t="s">
        <v>8</v>
      </c>
      <c r="U40" s="1577">
        <f t="shared" si="13"/>
        <v>100</v>
      </c>
      <c r="V40" s="1576" t="s">
        <v>8</v>
      </c>
      <c r="W40" s="1577">
        <f t="shared" si="14"/>
        <v>100</v>
      </c>
      <c r="X40" s="1570"/>
      <c r="Y40" s="3385"/>
      <c r="Z40" s="1578" t="str">
        <f t="shared" si="15"/>
        <v>单套建筑面积</v>
      </c>
      <c r="AA40" s="1579">
        <f t="shared" si="3"/>
        <v>1</v>
      </c>
      <c r="AB40" s="1579">
        <f t="shared" si="4"/>
        <v>1</v>
      </c>
      <c r="AC40" s="1579">
        <f t="shared" si="5"/>
        <v>1</v>
      </c>
    </row>
    <row r="41" spans="1:29" s="1342" customFormat="1" ht="15">
      <c r="A41" s="606"/>
      <c r="B41" s="907" t="s">
        <v>769</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85"/>
      <c r="Q41" s="1608" t="str">
        <f t="shared" si="11"/>
        <v>进深比</v>
      </c>
      <c r="R41" s="1580" t="s">
        <v>8</v>
      </c>
      <c r="S41" s="1581">
        <f t="shared" si="12"/>
        <v>100</v>
      </c>
      <c r="T41" s="1580" t="s">
        <v>8</v>
      </c>
      <c r="U41" s="1581">
        <f t="shared" si="13"/>
        <v>100</v>
      </c>
      <c r="V41" s="1580" t="s">
        <v>8</v>
      </c>
      <c r="W41" s="1581">
        <f t="shared" si="14"/>
        <v>100</v>
      </c>
      <c r="X41" s="1582"/>
      <c r="Y41" s="3385"/>
      <c r="Z41" s="1583" t="str">
        <f t="shared" si="15"/>
        <v>进深比</v>
      </c>
      <c r="AA41" s="1579">
        <f t="shared" si="3"/>
        <v>1</v>
      </c>
      <c r="AB41" s="1579">
        <f t="shared" si="4"/>
        <v>1</v>
      </c>
      <c r="AC41" s="1579">
        <f t="shared" si="5"/>
        <v>1</v>
      </c>
    </row>
    <row r="42" spans="1:29" ht="15">
      <c r="A42" s="597"/>
      <c r="B42" s="530" t="s">
        <v>770</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85"/>
      <c r="Q42" s="1575" t="str">
        <f t="shared" si="11"/>
        <v>内部装修</v>
      </c>
      <c r="R42" s="1576" t="s">
        <v>8</v>
      </c>
      <c r="S42" s="1577">
        <f t="shared" si="12"/>
        <v>100</v>
      </c>
      <c r="T42" s="1576" t="s">
        <v>8</v>
      </c>
      <c r="U42" s="1577">
        <f t="shared" si="13"/>
        <v>100</v>
      </c>
      <c r="V42" s="1576" t="s">
        <v>8</v>
      </c>
      <c r="W42" s="1577">
        <f t="shared" si="14"/>
        <v>100</v>
      </c>
      <c r="X42" s="1570"/>
      <c r="Y42" s="3385"/>
      <c r="Z42" s="1578" t="str">
        <f t="shared" si="15"/>
        <v>内部装修</v>
      </c>
      <c r="AA42" s="1579">
        <f t="shared" si="3"/>
        <v>1</v>
      </c>
      <c r="AB42" s="1579">
        <f t="shared" si="4"/>
        <v>1</v>
      </c>
      <c r="AC42" s="1579">
        <f t="shared" si="5"/>
        <v>1</v>
      </c>
    </row>
    <row r="43" spans="1:29" ht="27">
      <c r="A43" s="597"/>
      <c r="B43" s="530" t="s">
        <v>735</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85"/>
      <c r="Q43" s="1575" t="str">
        <f t="shared" si="11"/>
        <v>内部装修维护情况</v>
      </c>
      <c r="R43" s="1576" t="s">
        <v>8</v>
      </c>
      <c r="S43" s="1577">
        <f t="shared" si="12"/>
        <v>100</v>
      </c>
      <c r="T43" s="1576" t="s">
        <v>8</v>
      </c>
      <c r="U43" s="1577">
        <f t="shared" si="13"/>
        <v>100</v>
      </c>
      <c r="V43" s="1576" t="s">
        <v>8</v>
      </c>
      <c r="W43" s="1577">
        <f t="shared" si="14"/>
        <v>100</v>
      </c>
      <c r="X43" s="1570"/>
      <c r="Y43" s="3385"/>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85"/>
      <c r="Q44" s="1154">
        <f t="shared" si="11"/>
        <v>111</v>
      </c>
      <c r="R44" s="1571" t="s">
        <v>8</v>
      </c>
      <c r="S44" s="1572">
        <f t="shared" si="12"/>
        <v>100</v>
      </c>
      <c r="T44" s="1571" t="s">
        <v>8</v>
      </c>
      <c r="U44" s="1572">
        <f t="shared" si="13"/>
        <v>100</v>
      </c>
      <c r="V44" s="1571" t="s">
        <v>8</v>
      </c>
      <c r="W44" s="1572">
        <f t="shared" si="14"/>
        <v>100</v>
      </c>
      <c r="X44" s="1573"/>
      <c r="Y44" s="3385"/>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85"/>
      <c r="Q45" s="1575">
        <f t="shared" si="11"/>
        <v>111</v>
      </c>
      <c r="R45" s="1576" t="s">
        <v>8</v>
      </c>
      <c r="S45" s="1577">
        <f t="shared" si="12"/>
        <v>100</v>
      </c>
      <c r="T45" s="1576" t="s">
        <v>8</v>
      </c>
      <c r="U45" s="1577">
        <f t="shared" si="13"/>
        <v>100</v>
      </c>
      <c r="V45" s="1576" t="s">
        <v>8</v>
      </c>
      <c r="W45" s="1577">
        <f t="shared" si="14"/>
        <v>100</v>
      </c>
      <c r="X45" s="1570"/>
      <c r="Y45" s="3385"/>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43"/>
      <c r="Q46" s="1575">
        <f t="shared" si="11"/>
        <v>111</v>
      </c>
      <c r="R46" s="1576" t="s">
        <v>8</v>
      </c>
      <c r="S46" s="1577">
        <f t="shared" si="12"/>
        <v>100</v>
      </c>
      <c r="T46" s="1576" t="s">
        <v>8</v>
      </c>
      <c r="U46" s="1577">
        <f t="shared" si="13"/>
        <v>100</v>
      </c>
      <c r="V46" s="1576" t="s">
        <v>8</v>
      </c>
      <c r="W46" s="1577">
        <f t="shared" si="14"/>
        <v>100</v>
      </c>
      <c r="X46" s="1570"/>
      <c r="Y46" s="3443"/>
      <c r="Z46" s="1578">
        <f t="shared" si="15"/>
        <v>111</v>
      </c>
      <c r="AA46" s="1579">
        <f t="shared" si="3"/>
        <v>1</v>
      </c>
      <c r="AB46" s="1579">
        <f t="shared" si="4"/>
        <v>1</v>
      </c>
      <c r="AC46" s="1579">
        <f t="shared" si="5"/>
        <v>1</v>
      </c>
    </row>
    <row r="47" spans="1:29" ht="15">
      <c r="A47" s="610" t="s">
        <v>736</v>
      </c>
      <c r="B47" s="890"/>
      <c r="C47" s="2655" t="s">
        <v>1</v>
      </c>
      <c r="D47" s="2656"/>
      <c r="E47" s="2657"/>
      <c r="F47" s="2658"/>
      <c r="G47" s="2659"/>
      <c r="H47" s="2660"/>
      <c r="I47" s="2657"/>
      <c r="J47" s="2660"/>
      <c r="K47" s="1614"/>
      <c r="L47" s="2148"/>
      <c r="M47" s="2149"/>
      <c r="N47" s="2138"/>
      <c r="O47" s="2149"/>
      <c r="P47" s="3380" t="str">
        <f>A47</f>
        <v>成交单价（元/平方米）</v>
      </c>
      <c r="Q47" s="3380"/>
      <c r="R47" s="3441">
        <f>E47</f>
        <v>0</v>
      </c>
      <c r="S47" s="3441"/>
      <c r="T47" s="3441">
        <f>G47</f>
        <v>0</v>
      </c>
      <c r="U47" s="3441"/>
      <c r="V47" s="3441">
        <f>I47</f>
        <v>0</v>
      </c>
      <c r="W47" s="3441"/>
      <c r="X47" s="1562"/>
      <c r="Y47" s="1584"/>
      <c r="Z47" s="1562"/>
      <c r="AA47" s="1562"/>
      <c r="AB47" s="1562"/>
      <c r="AC47" s="1562"/>
    </row>
    <row r="48" spans="1:29" ht="15.75" thickBot="1">
      <c r="A48" s="618" t="s">
        <v>2768</v>
      </c>
      <c r="B48" s="891"/>
      <c r="C48" s="2661" t="e">
        <f>R49</f>
        <v>#DIV/0!</v>
      </c>
      <c r="D48" s="2662"/>
      <c r="E48" s="2663" t="e">
        <f>R48</f>
        <v>#DIV/0!</v>
      </c>
      <c r="F48" s="2663"/>
      <c r="G48" s="2661" t="e">
        <f>T48</f>
        <v>#DIV/0!</v>
      </c>
      <c r="H48" s="2662"/>
      <c r="I48" s="2663" t="e">
        <f>V48</f>
        <v>#DIV/0!</v>
      </c>
      <c r="J48" s="2662"/>
      <c r="K48" s="1615"/>
      <c r="L48" s="2148"/>
      <c r="M48" s="2149"/>
      <c r="N48" s="2138"/>
      <c r="O48" s="2149"/>
      <c r="P48" s="3380" t="str">
        <f>A48</f>
        <v>比较价格（元/平方米）</v>
      </c>
      <c r="Q48" s="338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562"/>
      <c r="Y48" s="1562"/>
      <c r="Z48" s="1562"/>
      <c r="AA48" s="1562"/>
      <c r="AB48" s="1562"/>
      <c r="AC48" s="1562"/>
    </row>
    <row r="49" spans="1:29" ht="15.75" thickBot="1">
      <c r="A49" s="624" t="s">
        <v>2939</v>
      </c>
      <c r="B49" s="625"/>
      <c r="C49" s="2664" t="e">
        <f>R49</f>
        <v>#DIV/0!</v>
      </c>
      <c r="D49" s="2664"/>
      <c r="E49" s="2664"/>
      <c r="F49" s="2664"/>
      <c r="G49" s="2664"/>
      <c r="H49" s="2664"/>
      <c r="I49" s="2664"/>
      <c r="J49" s="2664"/>
      <c r="K49" s="1616"/>
      <c r="L49" s="2148"/>
      <c r="M49" s="2149"/>
      <c r="N49" s="2138"/>
      <c r="O49" s="2149"/>
      <c r="P49" s="3402" t="str">
        <f>A49</f>
        <v>估价对象XX用房的比较价格（楼面单价，元/平方米）</v>
      </c>
      <c r="Q49" s="3403"/>
      <c r="R49" s="3442" t="e">
        <f>IF(F1="售价",ROUND(AVERAGE(R48:V48),0),ROUND(AVERAGE(R48:V48),1))</f>
        <v>#DIV/0!</v>
      </c>
      <c r="S49" s="3442"/>
      <c r="T49" s="3442"/>
      <c r="U49" s="3442"/>
      <c r="V49" s="3442"/>
      <c r="W49" s="344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2"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737</v>
      </c>
      <c r="D65" s="677" t="s">
        <v>738</v>
      </c>
      <c r="E65" s="677" t="s">
        <v>739</v>
      </c>
      <c r="F65" s="677" t="s">
        <v>740</v>
      </c>
      <c r="G65" s="677" t="s">
        <v>741</v>
      </c>
      <c r="H65" s="677" t="s">
        <v>742</v>
      </c>
      <c r="I65" s="677" t="s">
        <v>743</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744</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772</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748</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749</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2562</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773</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774</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775</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776</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755</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756</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6" priority="17" stopIfTrue="1" operator="containsText" text="超过">
      <formula>NOT(ISERROR(SEARCH("超过",F52)))</formula>
    </cfRule>
  </conditionalFormatting>
  <conditionalFormatting sqref="H54">
    <cfRule type="containsText" dxfId="65" priority="15" stopIfTrue="1" operator="containsText" text="超过">
      <formula>NOT(ISERROR(SEARCH("超过",H54)))</formula>
    </cfRule>
  </conditionalFormatting>
  <conditionalFormatting sqref="F54">
    <cfRule type="containsText" dxfId="64" priority="14" stopIfTrue="1" operator="containsText" text="超过">
      <formula>NOT(ISERROR(SEARCH("超过",F54)))</formula>
    </cfRule>
  </conditionalFormatting>
  <conditionalFormatting sqref="F53 H53">
    <cfRule type="containsText" dxfId="63" priority="13" stopIfTrue="1" operator="containsText" text="超过">
      <formula>NOT(ISERROR(SEARCH("超过",F53)))</formula>
    </cfRule>
  </conditionalFormatting>
  <conditionalFormatting sqref="E52">
    <cfRule type="expression" dxfId="62" priority="12" stopIfTrue="1">
      <formula>$F$52="超过30%"</formula>
    </cfRule>
  </conditionalFormatting>
  <conditionalFormatting sqref="E53">
    <cfRule type="expression" dxfId="61" priority="11" stopIfTrue="1">
      <formula>$F$53="超过20%"</formula>
    </cfRule>
  </conditionalFormatting>
  <conditionalFormatting sqref="E54">
    <cfRule type="expression" dxfId="60" priority="10" stopIfTrue="1">
      <formula>$F$54="超过30%"</formula>
    </cfRule>
  </conditionalFormatting>
  <conditionalFormatting sqref="G54">
    <cfRule type="expression" dxfId="59" priority="9" stopIfTrue="1">
      <formula>$H$54="超过30%"</formula>
    </cfRule>
  </conditionalFormatting>
  <conditionalFormatting sqref="G52">
    <cfRule type="expression" dxfId="58" priority="8" stopIfTrue="1">
      <formula>$H$52="超过30%"</formula>
    </cfRule>
  </conditionalFormatting>
  <conditionalFormatting sqref="G53">
    <cfRule type="expression" dxfId="57" priority="7" stopIfTrue="1">
      <formula>$H$53="超过20%"</formula>
    </cfRule>
  </conditionalFormatting>
  <conditionalFormatting sqref="J52">
    <cfRule type="containsText" dxfId="56" priority="6" stopIfTrue="1" operator="containsText" text="超过">
      <formula>NOT(ISERROR(SEARCH("超过",J52)))</formula>
    </cfRule>
  </conditionalFormatting>
  <conditionalFormatting sqref="J54">
    <cfRule type="containsText" dxfId="55" priority="5" stopIfTrue="1" operator="containsText" text="超过">
      <formula>NOT(ISERROR(SEARCH("超过",J54)))</formula>
    </cfRule>
  </conditionalFormatting>
  <conditionalFormatting sqref="J53">
    <cfRule type="containsText" dxfId="54" priority="4" stopIfTrue="1" operator="containsText" text="超过">
      <formula>NOT(ISERROR(SEARCH("超过",J53)))</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777</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86" t="s">
        <v>523</v>
      </c>
      <c r="D4" s="3387"/>
      <c r="E4" s="3411" t="s">
        <v>524</v>
      </c>
      <c r="F4" s="3412"/>
      <c r="G4" s="3386" t="s">
        <v>525</v>
      </c>
      <c r="H4" s="3387"/>
      <c r="I4" s="3386" t="s">
        <v>526</v>
      </c>
      <c r="J4" s="3387"/>
      <c r="K4" s="517" t="s">
        <v>527</v>
      </c>
      <c r="L4" s="2137"/>
      <c r="M4" s="2138"/>
      <c r="N4" s="2138"/>
      <c r="O4" s="2138"/>
      <c r="P4" s="3471" t="s">
        <v>528</v>
      </c>
      <c r="Q4" s="3389"/>
      <c r="R4" s="3374" t="s">
        <v>524</v>
      </c>
      <c r="S4" s="3375"/>
      <c r="T4" s="3374" t="s">
        <v>525</v>
      </c>
      <c r="U4" s="3375"/>
      <c r="V4" s="3394" t="s">
        <v>526</v>
      </c>
      <c r="W4" s="3394"/>
      <c r="X4" s="1570"/>
      <c r="Y4" s="3374" t="s">
        <v>528</v>
      </c>
      <c r="Z4" s="3375"/>
      <c r="AA4" s="3369" t="s">
        <v>524</v>
      </c>
      <c r="AB4" s="3369" t="s">
        <v>525</v>
      </c>
      <c r="AC4" s="3369" t="s">
        <v>526</v>
      </c>
    </row>
    <row r="5" spans="1:29" ht="15">
      <c r="A5" s="518"/>
      <c r="B5" s="519"/>
      <c r="C5" s="3399" t="s">
        <v>2933</v>
      </c>
      <c r="D5" s="3398"/>
      <c r="E5" s="3413" t="s">
        <v>2934</v>
      </c>
      <c r="F5" s="3414"/>
      <c r="G5" s="3399" t="s">
        <v>2935</v>
      </c>
      <c r="H5" s="3398"/>
      <c r="I5" s="3399" t="s">
        <v>2936</v>
      </c>
      <c r="J5" s="3398"/>
      <c r="K5" s="517"/>
      <c r="L5" s="2137"/>
      <c r="M5" s="2138"/>
      <c r="N5" s="2138"/>
      <c r="O5" s="2138"/>
      <c r="P5" s="3472"/>
      <c r="Q5" s="3391"/>
      <c r="R5" s="3376"/>
      <c r="S5" s="3377"/>
      <c r="T5" s="3376"/>
      <c r="U5" s="3377"/>
      <c r="V5" s="3394"/>
      <c r="W5" s="3394"/>
      <c r="X5" s="1570"/>
      <c r="Y5" s="3376"/>
      <c r="Z5" s="3377"/>
      <c r="AA5" s="3370"/>
      <c r="AB5" s="3370"/>
      <c r="AC5" s="3370"/>
    </row>
    <row r="6" spans="1:29" ht="15.75" thickBot="1">
      <c r="A6" s="520"/>
      <c r="B6" s="521"/>
      <c r="C6" s="3395" t="s">
        <v>2937</v>
      </c>
      <c r="D6" s="3396"/>
      <c r="E6" s="3415" t="s">
        <v>2937</v>
      </c>
      <c r="F6" s="3416"/>
      <c r="G6" s="3395" t="s">
        <v>2937</v>
      </c>
      <c r="H6" s="3396"/>
      <c r="I6" s="3395" t="s">
        <v>2937</v>
      </c>
      <c r="J6" s="3396"/>
      <c r="K6" s="517" t="s">
        <v>529</v>
      </c>
      <c r="L6" s="2137"/>
      <c r="M6" s="2138"/>
      <c r="N6" s="2138"/>
      <c r="O6" s="2138"/>
      <c r="P6" s="3473"/>
      <c r="Q6" s="3393"/>
      <c r="R6" s="3376"/>
      <c r="S6" s="3377"/>
      <c r="T6" s="3378"/>
      <c r="U6" s="3379"/>
      <c r="V6" s="3394"/>
      <c r="W6" s="3394"/>
      <c r="X6" s="1570"/>
      <c r="Y6" s="3378"/>
      <c r="Z6" s="3379"/>
      <c r="AA6" s="3371"/>
      <c r="AB6" s="3371"/>
      <c r="AC6" s="3371"/>
    </row>
    <row r="7" spans="1:29" s="1223" customFormat="1" ht="15.75" thickBot="1">
      <c r="A7" s="2941"/>
      <c r="B7" s="2948"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81" t="s">
        <v>531</v>
      </c>
      <c r="Q7" s="3381"/>
      <c r="R7" s="1571" t="s">
        <v>8</v>
      </c>
      <c r="S7" s="1572">
        <f t="shared" ref="S7:S15" si="0">F7</f>
        <v>0</v>
      </c>
      <c r="T7" s="1571" t="s">
        <v>8</v>
      </c>
      <c r="U7" s="1572">
        <f t="shared" ref="U7:U15" si="1">H7</f>
        <v>0</v>
      </c>
      <c r="V7" s="1571" t="s">
        <v>8</v>
      </c>
      <c r="W7" s="1572">
        <f t="shared" ref="W7:W15" si="2">J7</f>
        <v>0</v>
      </c>
      <c r="X7" s="1573"/>
      <c r="Y7" s="3372" t="s">
        <v>531</v>
      </c>
      <c r="Z7" s="3373"/>
      <c r="AA7" s="1574" t="e">
        <f>D7/F7</f>
        <v>#DIV/0!</v>
      </c>
      <c r="AB7" s="1574" t="e">
        <f>D7/H7</f>
        <v>#DIV/0!</v>
      </c>
      <c r="AC7" s="1574" t="e">
        <f>D7/J7</f>
        <v>#DIV/0!</v>
      </c>
    </row>
    <row r="8" spans="1:29" s="1223"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81" t="s">
        <v>534</v>
      </c>
      <c r="Q8" s="3373"/>
      <c r="R8" s="1571" t="s">
        <v>8</v>
      </c>
      <c r="S8" s="1572">
        <f t="shared" si="0"/>
        <v>0</v>
      </c>
      <c r="T8" s="1571" t="s">
        <v>8</v>
      </c>
      <c r="U8" s="1572">
        <f t="shared" si="1"/>
        <v>0</v>
      </c>
      <c r="V8" s="1571" t="s">
        <v>8</v>
      </c>
      <c r="W8" s="1572">
        <f t="shared" si="2"/>
        <v>0</v>
      </c>
      <c r="X8" s="1573"/>
      <c r="Y8" s="3372" t="s">
        <v>534</v>
      </c>
      <c r="Z8" s="3373"/>
      <c r="AA8" s="1574" t="e">
        <f t="shared" ref="AA8:AA47" si="3">D8/F8</f>
        <v>#DIV/0!</v>
      </c>
      <c r="AB8" s="1574" t="e">
        <f t="shared" ref="AB8:AB47" si="4">D8/H8</f>
        <v>#DIV/0!</v>
      </c>
      <c r="AC8" s="1574" t="e">
        <f t="shared" ref="AC8:AC47" si="5">D8/J8</f>
        <v>#DIV/0!</v>
      </c>
    </row>
    <row r="9" spans="1:29" s="1223" customFormat="1" ht="15">
      <c r="A9" s="2943"/>
      <c r="B9" s="2950" t="s">
        <v>2764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80" t="s">
        <v>536</v>
      </c>
      <c r="Q9" s="1154" t="str">
        <f t="shared" ref="Q9:Q15" si="6">B9</f>
        <v>用途</v>
      </c>
      <c r="R9" s="1571" t="s">
        <v>8</v>
      </c>
      <c r="S9" s="1572">
        <f t="shared" si="0"/>
        <v>100</v>
      </c>
      <c r="T9" s="1571" t="s">
        <v>8</v>
      </c>
      <c r="U9" s="1572">
        <f t="shared" si="1"/>
        <v>100</v>
      </c>
      <c r="V9" s="1571" t="s">
        <v>8</v>
      </c>
      <c r="W9" s="1572">
        <f t="shared" si="2"/>
        <v>100</v>
      </c>
      <c r="X9" s="1573"/>
      <c r="Y9" s="3337" t="s">
        <v>537</v>
      </c>
      <c r="Z9" s="1153" t="str">
        <f t="shared" ref="Z9:Z15" si="7">Q9</f>
        <v>用途</v>
      </c>
      <c r="AA9" s="1574">
        <f t="shared" si="3"/>
        <v>1</v>
      </c>
      <c r="AB9" s="1574">
        <f t="shared" si="4"/>
        <v>1</v>
      </c>
      <c r="AC9" s="1574">
        <f t="shared" si="5"/>
        <v>1</v>
      </c>
    </row>
    <row r="10" spans="1:29" s="1341" customFormat="1" ht="27">
      <c r="A10" s="2944"/>
      <c r="B10" s="2949" t="s">
        <v>2765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80"/>
      <c r="Q10" s="1154" t="str">
        <f t="shared" si="6"/>
        <v>土地使用年限（年）</v>
      </c>
      <c r="R10" s="1571" t="s">
        <v>8</v>
      </c>
      <c r="S10" s="1572">
        <f t="shared" si="0"/>
        <v>100</v>
      </c>
      <c r="T10" s="1571" t="s">
        <v>8</v>
      </c>
      <c r="U10" s="1572">
        <f t="shared" si="1"/>
        <v>100</v>
      </c>
      <c r="V10" s="1571" t="s">
        <v>8</v>
      </c>
      <c r="W10" s="1572">
        <f t="shared" si="2"/>
        <v>100</v>
      </c>
      <c r="X10" s="1573"/>
      <c r="Y10" s="3337"/>
      <c r="Z10" s="1153"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80"/>
      <c r="Q11" s="1154" t="str">
        <f t="shared" si="6"/>
        <v>容积率</v>
      </c>
      <c r="R11" s="1571" t="s">
        <v>8</v>
      </c>
      <c r="S11" s="1572" t="e">
        <f t="shared" si="0"/>
        <v>#N/A</v>
      </c>
      <c r="T11" s="1571" t="s">
        <v>8</v>
      </c>
      <c r="U11" s="1572" t="e">
        <f t="shared" si="1"/>
        <v>#N/A</v>
      </c>
      <c r="V11" s="1571" t="s">
        <v>8</v>
      </c>
      <c r="W11" s="1572" t="e">
        <f t="shared" si="2"/>
        <v>#N/A</v>
      </c>
      <c r="X11" s="1573"/>
      <c r="Y11" s="3337"/>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80"/>
      <c r="Q12" s="1154">
        <f t="shared" si="6"/>
        <v>111</v>
      </c>
      <c r="R12" s="1571" t="s">
        <v>8</v>
      </c>
      <c r="S12" s="1572">
        <f t="shared" si="0"/>
        <v>100</v>
      </c>
      <c r="T12" s="1571" t="s">
        <v>8</v>
      </c>
      <c r="U12" s="1572">
        <f t="shared" si="1"/>
        <v>100</v>
      </c>
      <c r="V12" s="1571" t="s">
        <v>8</v>
      </c>
      <c r="W12" s="1572">
        <f t="shared" si="2"/>
        <v>100</v>
      </c>
      <c r="X12" s="1573"/>
      <c r="Y12" s="3337"/>
      <c r="Z12" s="1153">
        <f t="shared" si="7"/>
        <v>111</v>
      </c>
      <c r="AA12" s="1574">
        <f>D12/F12</f>
        <v>1</v>
      </c>
      <c r="AB12" s="1574">
        <f>D12/H12</f>
        <v>1</v>
      </c>
      <c r="AC12" s="1574">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80"/>
      <c r="Q13" s="1154">
        <f t="shared" si="6"/>
        <v>111</v>
      </c>
      <c r="R13" s="1571" t="s">
        <v>8</v>
      </c>
      <c r="S13" s="1572">
        <f t="shared" si="0"/>
        <v>100</v>
      </c>
      <c r="T13" s="1571" t="s">
        <v>8</v>
      </c>
      <c r="U13" s="1572">
        <f t="shared" si="1"/>
        <v>100</v>
      </c>
      <c r="V13" s="1571" t="s">
        <v>8</v>
      </c>
      <c r="W13" s="1572">
        <f t="shared" si="2"/>
        <v>100</v>
      </c>
      <c r="X13" s="1573"/>
      <c r="Y13" s="3337"/>
      <c r="Z13" s="1153">
        <f t="shared" si="7"/>
        <v>111</v>
      </c>
      <c r="AA13" s="1574">
        <f t="shared" si="3"/>
        <v>1</v>
      </c>
      <c r="AB13" s="1574">
        <f t="shared" si="4"/>
        <v>1</v>
      </c>
      <c r="AC13" s="1574">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80"/>
      <c r="Q14" s="1154">
        <f t="shared" si="6"/>
        <v>111</v>
      </c>
      <c r="R14" s="1571" t="s">
        <v>8</v>
      </c>
      <c r="S14" s="1572">
        <f t="shared" si="0"/>
        <v>100</v>
      </c>
      <c r="T14" s="1571" t="s">
        <v>8</v>
      </c>
      <c r="U14" s="1572">
        <f t="shared" si="1"/>
        <v>100</v>
      </c>
      <c r="V14" s="1571" t="s">
        <v>8</v>
      </c>
      <c r="W14" s="1572">
        <f t="shared" si="2"/>
        <v>100</v>
      </c>
      <c r="X14" s="1573"/>
      <c r="Y14" s="3337"/>
      <c r="Z14" s="1153">
        <f t="shared" si="7"/>
        <v>111</v>
      </c>
      <c r="AA14" s="1574">
        <f t="shared" si="3"/>
        <v>1</v>
      </c>
      <c r="AB14" s="1574">
        <f t="shared" si="4"/>
        <v>1</v>
      </c>
      <c r="AC14" s="1574">
        <f t="shared" si="5"/>
        <v>1</v>
      </c>
    </row>
    <row r="15" spans="1:29" ht="15">
      <c r="A15" s="2939" t="s">
        <v>2762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82" t="s">
        <v>541</v>
      </c>
      <c r="Q15" s="1575" t="str">
        <f t="shared" si="6"/>
        <v>办公集聚程度</v>
      </c>
      <c r="R15" s="1576" t="s">
        <v>8</v>
      </c>
      <c r="S15" s="1577">
        <f t="shared" si="0"/>
        <v>100</v>
      </c>
      <c r="T15" s="1576" t="s">
        <v>8</v>
      </c>
      <c r="U15" s="1577">
        <f t="shared" si="1"/>
        <v>100</v>
      </c>
      <c r="V15" s="1576" t="s">
        <v>8</v>
      </c>
      <c r="W15" s="1577">
        <f t="shared" si="2"/>
        <v>100</v>
      </c>
      <c r="X15" s="1570"/>
      <c r="Y15" s="3382"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6"/>
      <c r="M16" s="2138"/>
      <c r="N16" s="2138"/>
      <c r="O16" s="2138"/>
      <c r="P16" s="3383"/>
      <c r="Q16" s="1575"/>
      <c r="R16" s="1576"/>
      <c r="S16" s="1577"/>
      <c r="T16" s="1576"/>
      <c r="U16" s="1577"/>
      <c r="V16" s="1576"/>
      <c r="W16" s="1577"/>
      <c r="X16" s="1570"/>
      <c r="Y16" s="3383"/>
      <c r="Z16" s="1578"/>
      <c r="AA16" s="1579">
        <v>1</v>
      </c>
      <c r="AB16" s="1579">
        <v>1</v>
      </c>
      <c r="AC16" s="1579">
        <v>1</v>
      </c>
    </row>
    <row r="17" spans="1:29" ht="71.25">
      <c r="A17" s="535"/>
      <c r="B17" s="563" t="s">
        <v>296</v>
      </c>
      <c r="C17" s="576" t="str">
        <f>估价对象房地状况!C6</f>
        <v>估价对象周边有344、531路公交线路经过，综合评价交通便捷度一般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83"/>
      <c r="Q17" s="1575" t="str">
        <f>B17</f>
        <v>交通便捷度</v>
      </c>
      <c r="R17" s="1576" t="s">
        <v>8</v>
      </c>
      <c r="S17" s="1577">
        <f>F17</f>
        <v>100</v>
      </c>
      <c r="T17" s="1576" t="s">
        <v>8</v>
      </c>
      <c r="U17" s="1577">
        <f>H17</f>
        <v>100</v>
      </c>
      <c r="V17" s="1576" t="s">
        <v>8</v>
      </c>
      <c r="W17" s="1577">
        <f>J17</f>
        <v>100</v>
      </c>
      <c r="X17" s="1570"/>
      <c r="Y17" s="3383"/>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6"/>
      <c r="M18" s="2138"/>
      <c r="N18" s="2138"/>
      <c r="O18" s="2138"/>
      <c r="P18" s="3383"/>
      <c r="Q18" s="1575"/>
      <c r="R18" s="1576"/>
      <c r="S18" s="1577"/>
      <c r="T18" s="1576"/>
      <c r="U18" s="1577"/>
      <c r="V18" s="1576"/>
      <c r="W18" s="1577"/>
      <c r="X18" s="1570"/>
      <c r="Y18" s="3383"/>
      <c r="Z18" s="1578"/>
      <c r="AA18" s="1579">
        <v>1</v>
      </c>
      <c r="AB18" s="1579">
        <v>1</v>
      </c>
      <c r="AC18" s="1579">
        <v>1</v>
      </c>
    </row>
    <row r="19" spans="1:29" ht="42.75">
      <c r="A19" s="535"/>
      <c r="B19" s="2631" t="s">
        <v>2552</v>
      </c>
      <c r="C19" s="576" t="str">
        <f>估价对象房地状况!C7</f>
        <v>估价对象所在区域公共配套设施齐备度一般</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83"/>
      <c r="Q19" s="1575" t="str">
        <f>B19</f>
        <v>公共配套设施</v>
      </c>
      <c r="R19" s="1576" t="s">
        <v>8</v>
      </c>
      <c r="S19" s="1577">
        <f>F19</f>
        <v>100</v>
      </c>
      <c r="T19" s="1576" t="s">
        <v>8</v>
      </c>
      <c r="U19" s="1577">
        <f>H19</f>
        <v>100</v>
      </c>
      <c r="V19" s="1576" t="s">
        <v>8</v>
      </c>
      <c r="W19" s="1577">
        <f>J19</f>
        <v>100</v>
      </c>
      <c r="X19" s="1570"/>
      <c r="Y19" s="3383"/>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6"/>
      <c r="M20" s="2138"/>
      <c r="N20" s="2138"/>
      <c r="O20" s="2138"/>
      <c r="P20" s="3383"/>
      <c r="Q20" s="1575"/>
      <c r="R20" s="1576"/>
      <c r="S20" s="1577"/>
      <c r="T20" s="1576"/>
      <c r="U20" s="1577"/>
      <c r="V20" s="1576"/>
      <c r="W20" s="1577"/>
      <c r="X20" s="1570"/>
      <c r="Y20" s="3383"/>
      <c r="Z20" s="1578"/>
      <c r="AA20" s="1579">
        <v>1</v>
      </c>
      <c r="AB20" s="1579">
        <v>1</v>
      </c>
      <c r="AC20" s="1579">
        <v>1</v>
      </c>
    </row>
    <row r="21" spans="1:29" ht="42.75">
      <c r="A21" s="535"/>
      <c r="B21" s="2619" t="s">
        <v>2564</v>
      </c>
      <c r="C21" s="576" t="str">
        <f>估价对象房地状况!C8</f>
        <v>估价对象所在区域基础设施水平达七通</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83"/>
      <c r="Q21" s="2607" t="str">
        <f>B21</f>
        <v>基础设施水平</v>
      </c>
      <c r="R21" s="1576" t="s">
        <v>8</v>
      </c>
      <c r="S21" s="1577">
        <f>F21</f>
        <v>100</v>
      </c>
      <c r="T21" s="1576" t="s">
        <v>8</v>
      </c>
      <c r="U21" s="1577">
        <f>H21</f>
        <v>100</v>
      </c>
      <c r="V21" s="1576" t="s">
        <v>8</v>
      </c>
      <c r="W21" s="1577">
        <f>J21</f>
        <v>100</v>
      </c>
      <c r="X21" s="2609"/>
      <c r="Y21" s="3383"/>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83"/>
      <c r="Q22" s="2607"/>
      <c r="R22" s="1576"/>
      <c r="S22" s="1577"/>
      <c r="T22" s="1576"/>
      <c r="U22" s="1577"/>
      <c r="V22" s="1576"/>
      <c r="W22" s="1577"/>
      <c r="X22" s="2609"/>
      <c r="Y22" s="3383"/>
      <c r="Z22" s="2608"/>
      <c r="AA22" s="1579">
        <v>1</v>
      </c>
      <c r="AB22" s="1579">
        <v>1</v>
      </c>
      <c r="AC22" s="1579">
        <v>1</v>
      </c>
    </row>
    <row r="23" spans="1:29" ht="57">
      <c r="A23" s="535"/>
      <c r="B23" s="563" t="s">
        <v>778</v>
      </c>
      <c r="C23" s="576" t="str">
        <f>估价对象房地状况!C9</f>
        <v>周边有京城体育休闲公园；综合评价环境状况一般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83"/>
      <c r="Q23" s="1575" t="str">
        <f>B23</f>
        <v>环境质量</v>
      </c>
      <c r="R23" s="1576" t="s">
        <v>8</v>
      </c>
      <c r="S23" s="1577">
        <f>F23</f>
        <v>100</v>
      </c>
      <c r="T23" s="1576" t="s">
        <v>8</v>
      </c>
      <c r="U23" s="1577">
        <f>H23</f>
        <v>100</v>
      </c>
      <c r="V23" s="1576" t="s">
        <v>8</v>
      </c>
      <c r="W23" s="1577">
        <f>J23</f>
        <v>100</v>
      </c>
      <c r="X23" s="1570"/>
      <c r="Y23" s="3383"/>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6"/>
      <c r="M24" s="2138"/>
      <c r="N24" s="2138"/>
      <c r="O24" s="2138"/>
      <c r="P24" s="3383"/>
      <c r="Q24" s="1575"/>
      <c r="R24" s="1576"/>
      <c r="S24" s="1577"/>
      <c r="T24" s="1576"/>
      <c r="U24" s="1577"/>
      <c r="V24" s="1576"/>
      <c r="W24" s="1577"/>
      <c r="X24" s="1570"/>
      <c r="Y24" s="3383"/>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83"/>
      <c r="Q25" s="1575" t="str">
        <f>B25</f>
        <v>毗邻道路的类型与等级</v>
      </c>
      <c r="R25" s="1576" t="s">
        <v>8</v>
      </c>
      <c r="S25" s="1577">
        <f>F25</f>
        <v>100</v>
      </c>
      <c r="T25" s="1576" t="s">
        <v>8</v>
      </c>
      <c r="U25" s="1577">
        <f>H25</f>
        <v>100</v>
      </c>
      <c r="V25" s="1576" t="s">
        <v>8</v>
      </c>
      <c r="W25" s="1577">
        <f>J25</f>
        <v>100</v>
      </c>
      <c r="X25" s="1570"/>
      <c r="Y25" s="3383"/>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6"/>
      <c r="M26" s="2138"/>
      <c r="N26" s="2138"/>
      <c r="O26" s="2138"/>
      <c r="P26" s="3383"/>
      <c r="Q26" s="1575"/>
      <c r="R26" s="1576"/>
      <c r="S26" s="1577"/>
      <c r="T26" s="1576"/>
      <c r="U26" s="1577"/>
      <c r="V26" s="1576"/>
      <c r="W26" s="1577"/>
      <c r="X26" s="1570"/>
      <c r="Y26" s="3383"/>
      <c r="Z26" s="1578"/>
      <c r="AA26" s="1579">
        <v>1</v>
      </c>
      <c r="AB26" s="1579">
        <v>1</v>
      </c>
      <c r="AC26" s="1579">
        <v>1</v>
      </c>
    </row>
    <row r="27" spans="1:29" ht="15">
      <c r="A27" s="535"/>
      <c r="B27" s="569" t="s">
        <v>761</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83"/>
      <c r="Q27" s="1575" t="str">
        <f t="shared" ref="Q27:Q47" si="11">B27</f>
        <v>楼层</v>
      </c>
      <c r="R27" s="1576" t="s">
        <v>8</v>
      </c>
      <c r="S27" s="1577">
        <f>F27</f>
        <v>100</v>
      </c>
      <c r="T27" s="1576" t="s">
        <v>8</v>
      </c>
      <c r="U27" s="1577">
        <f>H27</f>
        <v>100</v>
      </c>
      <c r="V27" s="1576" t="s">
        <v>8</v>
      </c>
      <c r="W27" s="1577">
        <f>J27</f>
        <v>100</v>
      </c>
      <c r="X27" s="1570"/>
      <c r="Y27" s="3383"/>
      <c r="Z27" s="1578" t="str">
        <f>Q27</f>
        <v>楼层</v>
      </c>
      <c r="AA27" s="1579">
        <f t="shared" si="3"/>
        <v>1</v>
      </c>
      <c r="AB27" s="1579">
        <f t="shared" si="4"/>
        <v>1</v>
      </c>
      <c r="AC27" s="1579">
        <f t="shared" si="5"/>
        <v>1</v>
      </c>
    </row>
    <row r="28" spans="1:29" s="1223" customFormat="1" ht="15">
      <c r="A28" s="539"/>
      <c r="B28" s="563" t="s">
        <v>779</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83"/>
      <c r="Q28" s="1154" t="str">
        <f t="shared" si="11"/>
        <v>朝向</v>
      </c>
      <c r="R28" s="1571" t="s">
        <v>8</v>
      </c>
      <c r="S28" s="1572">
        <f>F28</f>
        <v>100</v>
      </c>
      <c r="T28" s="1571" t="s">
        <v>8</v>
      </c>
      <c r="U28" s="1572">
        <f>H28</f>
        <v>100</v>
      </c>
      <c r="V28" s="1571" t="s">
        <v>8</v>
      </c>
      <c r="W28" s="1572">
        <f>J28</f>
        <v>100</v>
      </c>
      <c r="X28" s="1573"/>
      <c r="Y28" s="3383"/>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83"/>
      <c r="Q29" s="1575">
        <f t="shared" si="11"/>
        <v>111</v>
      </c>
      <c r="R29" s="1576" t="s">
        <v>8</v>
      </c>
      <c r="S29" s="1577">
        <f t="shared" ref="S29:S47" si="12">F29</f>
        <v>100</v>
      </c>
      <c r="T29" s="1576" t="s">
        <v>8</v>
      </c>
      <c r="U29" s="1577">
        <f t="shared" ref="U29:U47" si="13">H29</f>
        <v>100</v>
      </c>
      <c r="V29" s="1576" t="s">
        <v>8</v>
      </c>
      <c r="W29" s="1577">
        <f t="shared" ref="W29:W47" si="14">J29</f>
        <v>100</v>
      </c>
      <c r="X29" s="1570"/>
      <c r="Y29" s="3383"/>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83"/>
      <c r="Q30" s="1575">
        <f t="shared" si="11"/>
        <v>111</v>
      </c>
      <c r="R30" s="1576" t="s">
        <v>8</v>
      </c>
      <c r="S30" s="1577">
        <f t="shared" si="12"/>
        <v>100</v>
      </c>
      <c r="T30" s="1576" t="s">
        <v>8</v>
      </c>
      <c r="U30" s="1577">
        <f t="shared" si="13"/>
        <v>100</v>
      </c>
      <c r="V30" s="1576" t="s">
        <v>8</v>
      </c>
      <c r="W30" s="1577">
        <f t="shared" si="14"/>
        <v>100</v>
      </c>
      <c r="X30" s="1570"/>
      <c r="Y30" s="3383"/>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83"/>
      <c r="Q31" s="1575">
        <f t="shared" si="11"/>
        <v>111</v>
      </c>
      <c r="R31" s="1576" t="s">
        <v>8</v>
      </c>
      <c r="S31" s="1577">
        <f t="shared" si="12"/>
        <v>100</v>
      </c>
      <c r="T31" s="1576" t="s">
        <v>8</v>
      </c>
      <c r="U31" s="1577">
        <f t="shared" si="13"/>
        <v>100</v>
      </c>
      <c r="V31" s="1576" t="s">
        <v>8</v>
      </c>
      <c r="W31" s="1577">
        <f t="shared" si="14"/>
        <v>100</v>
      </c>
      <c r="X31" s="1570"/>
      <c r="Y31" s="3383"/>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83"/>
      <c r="Q32" s="1575">
        <f t="shared" si="11"/>
        <v>111</v>
      </c>
      <c r="R32" s="1576" t="s">
        <v>8</v>
      </c>
      <c r="S32" s="1577">
        <f t="shared" si="12"/>
        <v>100</v>
      </c>
      <c r="T32" s="1576" t="s">
        <v>8</v>
      </c>
      <c r="U32" s="1577">
        <f t="shared" si="13"/>
        <v>100</v>
      </c>
      <c r="V32" s="1576" t="s">
        <v>8</v>
      </c>
      <c r="W32" s="1577">
        <f t="shared" si="14"/>
        <v>100</v>
      </c>
      <c r="X32" s="1570"/>
      <c r="Y32" s="3383"/>
      <c r="Z32" s="1578">
        <f t="shared" si="15"/>
        <v>111</v>
      </c>
      <c r="AA32" s="1579">
        <f t="shared" si="3"/>
        <v>1</v>
      </c>
      <c r="AB32" s="1579">
        <f t="shared" si="4"/>
        <v>1</v>
      </c>
      <c r="AC32" s="1579">
        <f t="shared" si="5"/>
        <v>1</v>
      </c>
    </row>
    <row r="33" spans="1:29" ht="15">
      <c r="A33" s="2937" t="s">
        <v>2763</v>
      </c>
      <c r="B33" s="172" t="s">
        <v>780</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84" t="s">
        <v>551</v>
      </c>
      <c r="Q33" s="1575" t="str">
        <f t="shared" si="11"/>
        <v>建筑类型</v>
      </c>
      <c r="R33" s="1576" t="s">
        <v>8</v>
      </c>
      <c r="S33" s="1577">
        <f t="shared" si="12"/>
        <v>100</v>
      </c>
      <c r="T33" s="1576" t="s">
        <v>8</v>
      </c>
      <c r="U33" s="1577">
        <f t="shared" si="13"/>
        <v>100</v>
      </c>
      <c r="V33" s="1576" t="s">
        <v>8</v>
      </c>
      <c r="W33" s="1577">
        <f t="shared" si="14"/>
        <v>100</v>
      </c>
      <c r="X33" s="1570"/>
      <c r="Y33" s="3385" t="s">
        <v>551</v>
      </c>
      <c r="Z33" s="1578" t="str">
        <f t="shared" si="15"/>
        <v>建筑类型</v>
      </c>
      <c r="AA33" s="1579">
        <f t="shared" si="3"/>
        <v>1</v>
      </c>
      <c r="AB33" s="1579">
        <f t="shared" si="4"/>
        <v>1</v>
      </c>
      <c r="AC33" s="1579">
        <f t="shared" si="5"/>
        <v>1</v>
      </c>
    </row>
    <row r="34" spans="1:29" s="1342" customFormat="1" ht="15">
      <c r="A34" s="606"/>
      <c r="B34" s="530" t="s">
        <v>726</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85"/>
      <c r="Q34" s="1608" t="str">
        <f t="shared" si="11"/>
        <v>项目建筑规模</v>
      </c>
      <c r="R34" s="1580" t="s">
        <v>8</v>
      </c>
      <c r="S34" s="1581" t="e">
        <f t="shared" si="12"/>
        <v>#N/A</v>
      </c>
      <c r="T34" s="1580" t="s">
        <v>8</v>
      </c>
      <c r="U34" s="1581" t="e">
        <f t="shared" si="13"/>
        <v>#N/A</v>
      </c>
      <c r="V34" s="1580" t="s">
        <v>8</v>
      </c>
      <c r="W34" s="1581" t="e">
        <f t="shared" si="14"/>
        <v>#N/A</v>
      </c>
      <c r="X34" s="1582"/>
      <c r="Y34" s="3385"/>
      <c r="Z34" s="1583" t="str">
        <f t="shared" si="15"/>
        <v>项目建筑规模</v>
      </c>
      <c r="AA34" s="1579" t="e">
        <f t="shared" si="3"/>
        <v>#N/A</v>
      </c>
      <c r="AB34" s="1579" t="e">
        <f t="shared" si="4"/>
        <v>#N/A</v>
      </c>
      <c r="AC34" s="1579" t="e">
        <f t="shared" si="5"/>
        <v>#N/A</v>
      </c>
    </row>
    <row r="35" spans="1:29" ht="15">
      <c r="A35" s="597"/>
      <c r="B35" s="530" t="s">
        <v>727</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85"/>
      <c r="Q35" s="1575" t="str">
        <f t="shared" si="11"/>
        <v>建筑结构</v>
      </c>
      <c r="R35" s="1576" t="s">
        <v>8</v>
      </c>
      <c r="S35" s="1577">
        <f t="shared" si="12"/>
        <v>100</v>
      </c>
      <c r="T35" s="1576" t="s">
        <v>8</v>
      </c>
      <c r="U35" s="1577">
        <f t="shared" si="13"/>
        <v>100</v>
      </c>
      <c r="V35" s="1576" t="s">
        <v>8</v>
      </c>
      <c r="W35" s="1577">
        <f t="shared" si="14"/>
        <v>100</v>
      </c>
      <c r="X35" s="1570"/>
      <c r="Y35" s="3385"/>
      <c r="Z35" s="1578" t="str">
        <f t="shared" si="15"/>
        <v>建筑结构</v>
      </c>
      <c r="AA35" s="1579">
        <f t="shared" si="3"/>
        <v>1</v>
      </c>
      <c r="AB35" s="1579">
        <f t="shared" si="4"/>
        <v>1</v>
      </c>
      <c r="AC35" s="1579">
        <f t="shared" si="5"/>
        <v>1</v>
      </c>
    </row>
    <row r="36" spans="1:29" ht="15">
      <c r="A36" s="597"/>
      <c r="B36" s="530" t="s">
        <v>763</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85"/>
      <c r="Q36" s="1575" t="str">
        <f t="shared" si="11"/>
        <v>公共部分装修</v>
      </c>
      <c r="R36" s="1576" t="s">
        <v>8</v>
      </c>
      <c r="S36" s="1577">
        <f t="shared" si="12"/>
        <v>100</v>
      </c>
      <c r="T36" s="1576" t="s">
        <v>8</v>
      </c>
      <c r="U36" s="1577">
        <f t="shared" si="13"/>
        <v>100</v>
      </c>
      <c r="V36" s="1576" t="s">
        <v>8</v>
      </c>
      <c r="W36" s="1577">
        <f t="shared" si="14"/>
        <v>100</v>
      </c>
      <c r="X36" s="1570"/>
      <c r="Y36" s="3385"/>
      <c r="Z36" s="1578" t="str">
        <f t="shared" si="15"/>
        <v>公共部分装修</v>
      </c>
      <c r="AA36" s="1579">
        <f t="shared" si="3"/>
        <v>1</v>
      </c>
      <c r="AB36" s="1579">
        <f t="shared" si="4"/>
        <v>1</v>
      </c>
      <c r="AC36" s="1579">
        <f t="shared" si="5"/>
        <v>1</v>
      </c>
    </row>
    <row r="37" spans="1:29" ht="15">
      <c r="A37" s="597"/>
      <c r="B37" s="530" t="s">
        <v>764</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85"/>
      <c r="Q37" s="1575" t="str">
        <f t="shared" si="11"/>
        <v>成新度</v>
      </c>
      <c r="R37" s="1576" t="s">
        <v>8</v>
      </c>
      <c r="S37" s="1577" t="e">
        <f t="shared" si="12"/>
        <v>#N/A</v>
      </c>
      <c r="T37" s="1576" t="s">
        <v>8</v>
      </c>
      <c r="U37" s="1577" t="e">
        <f t="shared" si="13"/>
        <v>#N/A</v>
      </c>
      <c r="V37" s="1576" t="s">
        <v>8</v>
      </c>
      <c r="W37" s="1577" t="e">
        <f t="shared" si="14"/>
        <v>#N/A</v>
      </c>
      <c r="X37" s="1570"/>
      <c r="Y37" s="3385"/>
      <c r="Z37" s="1578" t="str">
        <f t="shared" si="15"/>
        <v>成新度</v>
      </c>
      <c r="AA37" s="1579" t="e">
        <f t="shared" si="3"/>
        <v>#N/A</v>
      </c>
      <c r="AB37" s="1579" t="e">
        <f t="shared" si="4"/>
        <v>#N/A</v>
      </c>
      <c r="AC37" s="1579" t="e">
        <f t="shared" si="5"/>
        <v>#N/A</v>
      </c>
    </row>
    <row r="38" spans="1:29" s="1223" customFormat="1" ht="15">
      <c r="A38" s="603"/>
      <c r="B38" s="530" t="s">
        <v>781</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85"/>
      <c r="Q38" s="1154" t="str">
        <f t="shared" si="11"/>
        <v>写字楼等级</v>
      </c>
      <c r="R38" s="1571" t="s">
        <v>8</v>
      </c>
      <c r="S38" s="1572">
        <f t="shared" si="12"/>
        <v>100</v>
      </c>
      <c r="T38" s="1571" t="s">
        <v>8</v>
      </c>
      <c r="U38" s="1572">
        <f t="shared" si="13"/>
        <v>100</v>
      </c>
      <c r="V38" s="1571" t="s">
        <v>8</v>
      </c>
      <c r="W38" s="1572">
        <f t="shared" si="14"/>
        <v>100</v>
      </c>
      <c r="X38" s="1573"/>
      <c r="Y38" s="3385"/>
      <c r="Z38" s="1153" t="str">
        <f t="shared" si="15"/>
        <v>写字楼等级</v>
      </c>
      <c r="AA38" s="1574">
        <f t="shared" si="3"/>
        <v>1</v>
      </c>
      <c r="AB38" s="1574">
        <f t="shared" si="4"/>
        <v>1</v>
      </c>
      <c r="AC38" s="1574">
        <f t="shared" si="5"/>
        <v>1</v>
      </c>
    </row>
    <row r="39" spans="1:29" ht="15">
      <c r="A39" s="597"/>
      <c r="B39" s="530" t="s">
        <v>782</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85" t="s">
        <v>551</v>
      </c>
      <c r="Q39" s="1575" t="str">
        <f t="shared" si="11"/>
        <v>物业管理</v>
      </c>
      <c r="R39" s="1576" t="s">
        <v>8</v>
      </c>
      <c r="S39" s="1577">
        <f t="shared" si="12"/>
        <v>100</v>
      </c>
      <c r="T39" s="1576" t="s">
        <v>8</v>
      </c>
      <c r="U39" s="1577">
        <f t="shared" si="13"/>
        <v>100</v>
      </c>
      <c r="V39" s="1576" t="s">
        <v>8</v>
      </c>
      <c r="W39" s="1577">
        <f t="shared" si="14"/>
        <v>100</v>
      </c>
      <c r="X39" s="1570"/>
      <c r="Y39" s="3385" t="s">
        <v>551</v>
      </c>
      <c r="Z39" s="1578" t="str">
        <f t="shared" si="15"/>
        <v>物业管理</v>
      </c>
      <c r="AA39" s="1579">
        <f t="shared" si="3"/>
        <v>1</v>
      </c>
      <c r="AB39" s="1579">
        <f t="shared" si="4"/>
        <v>1</v>
      </c>
      <c r="AC39" s="1579">
        <f t="shared" si="5"/>
        <v>1</v>
      </c>
    </row>
    <row r="40" spans="1:29" ht="15">
      <c r="A40" s="597"/>
      <c r="B40" s="1899"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85"/>
      <c r="Q40" s="1575" t="str">
        <f t="shared" si="11"/>
        <v>市政基础设施</v>
      </c>
      <c r="R40" s="1576" t="s">
        <v>8</v>
      </c>
      <c r="S40" s="1577">
        <f t="shared" si="12"/>
        <v>100</v>
      </c>
      <c r="T40" s="1576" t="s">
        <v>8</v>
      </c>
      <c r="U40" s="1577">
        <f t="shared" si="13"/>
        <v>100</v>
      </c>
      <c r="V40" s="1576" t="s">
        <v>8</v>
      </c>
      <c r="W40" s="1577">
        <f t="shared" si="14"/>
        <v>100</v>
      </c>
      <c r="X40" s="1570"/>
      <c r="Y40" s="3385"/>
      <c r="Z40" s="1578" t="str">
        <f t="shared" si="15"/>
        <v>市政基础设施</v>
      </c>
      <c r="AA40" s="1579">
        <f t="shared" si="3"/>
        <v>1</v>
      </c>
      <c r="AB40" s="1579">
        <f t="shared" si="4"/>
        <v>1</v>
      </c>
      <c r="AC40" s="1579">
        <f t="shared" si="5"/>
        <v>1</v>
      </c>
    </row>
    <row r="41" spans="1:29" ht="15">
      <c r="A41" s="597"/>
      <c r="B41" s="530" t="s">
        <v>767</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85"/>
      <c r="Q41" s="1575" t="str">
        <f t="shared" si="11"/>
        <v>层高</v>
      </c>
      <c r="R41" s="1576" t="s">
        <v>8</v>
      </c>
      <c r="S41" s="1577">
        <f t="shared" si="12"/>
        <v>100</v>
      </c>
      <c r="T41" s="1576" t="s">
        <v>8</v>
      </c>
      <c r="U41" s="1577">
        <f t="shared" si="13"/>
        <v>100</v>
      </c>
      <c r="V41" s="1576" t="s">
        <v>8</v>
      </c>
      <c r="W41" s="1577">
        <f t="shared" si="14"/>
        <v>100</v>
      </c>
      <c r="X41" s="1570"/>
      <c r="Y41" s="3385"/>
      <c r="Z41" s="1578" t="str">
        <f t="shared" si="15"/>
        <v>层高</v>
      </c>
      <c r="AA41" s="1579">
        <f t="shared" si="3"/>
        <v>1</v>
      </c>
      <c r="AB41" s="1579">
        <f t="shared" si="4"/>
        <v>1</v>
      </c>
      <c r="AC41" s="1579">
        <f t="shared" si="5"/>
        <v>1</v>
      </c>
    </row>
    <row r="42" spans="1:29" s="1342" customFormat="1" ht="15">
      <c r="A42" s="606"/>
      <c r="B42" s="907" t="s">
        <v>783</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85"/>
      <c r="Q42" s="1608" t="str">
        <f t="shared" si="11"/>
        <v>单套建筑面积</v>
      </c>
      <c r="R42" s="1580" t="s">
        <v>8</v>
      </c>
      <c r="S42" s="1581">
        <f t="shared" si="12"/>
        <v>100</v>
      </c>
      <c r="T42" s="1580" t="s">
        <v>8</v>
      </c>
      <c r="U42" s="1581">
        <f t="shared" si="13"/>
        <v>100</v>
      </c>
      <c r="V42" s="1580" t="s">
        <v>8</v>
      </c>
      <c r="W42" s="1581">
        <f t="shared" si="14"/>
        <v>100</v>
      </c>
      <c r="X42" s="1582"/>
      <c r="Y42" s="3385"/>
      <c r="Z42" s="1583" t="str">
        <f t="shared" si="15"/>
        <v>单套建筑面积</v>
      </c>
      <c r="AA42" s="1579">
        <f t="shared" si="3"/>
        <v>1</v>
      </c>
      <c r="AB42" s="1579">
        <f t="shared" si="4"/>
        <v>1</v>
      </c>
      <c r="AC42" s="1579">
        <f t="shared" si="5"/>
        <v>1</v>
      </c>
    </row>
    <row r="43" spans="1:29" ht="15">
      <c r="A43" s="597"/>
      <c r="B43" s="530" t="s">
        <v>770</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85"/>
      <c r="Q43" s="1575" t="str">
        <f t="shared" si="11"/>
        <v>内部装修</v>
      </c>
      <c r="R43" s="1576" t="s">
        <v>8</v>
      </c>
      <c r="S43" s="1577">
        <f t="shared" si="12"/>
        <v>100</v>
      </c>
      <c r="T43" s="1576" t="s">
        <v>8</v>
      </c>
      <c r="U43" s="1577">
        <f t="shared" si="13"/>
        <v>100</v>
      </c>
      <c r="V43" s="1576" t="s">
        <v>8</v>
      </c>
      <c r="W43" s="1577">
        <f t="shared" si="14"/>
        <v>100</v>
      </c>
      <c r="X43" s="1570"/>
      <c r="Y43" s="3385"/>
      <c r="Z43" s="1578" t="str">
        <f t="shared" si="15"/>
        <v>内部装修</v>
      </c>
      <c r="AA43" s="1579">
        <f t="shared" si="3"/>
        <v>1</v>
      </c>
      <c r="AB43" s="1579">
        <f t="shared" si="4"/>
        <v>1</v>
      </c>
      <c r="AC43" s="1579">
        <f t="shared" si="5"/>
        <v>1</v>
      </c>
    </row>
    <row r="44" spans="1:29" ht="27">
      <c r="A44" s="597"/>
      <c r="B44" s="530" t="s">
        <v>735</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85"/>
      <c r="Q44" s="1575" t="str">
        <f t="shared" si="11"/>
        <v>内部装修维护情况</v>
      </c>
      <c r="R44" s="1576" t="s">
        <v>8</v>
      </c>
      <c r="S44" s="1577">
        <f t="shared" si="12"/>
        <v>100</v>
      </c>
      <c r="T44" s="1576" t="s">
        <v>8</v>
      </c>
      <c r="U44" s="1577">
        <f t="shared" si="13"/>
        <v>100</v>
      </c>
      <c r="V44" s="1576" t="s">
        <v>8</v>
      </c>
      <c r="W44" s="1577">
        <f t="shared" si="14"/>
        <v>100</v>
      </c>
      <c r="X44" s="1570"/>
      <c r="Y44" s="3385"/>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85"/>
      <c r="Q45" s="1154">
        <f t="shared" si="11"/>
        <v>111</v>
      </c>
      <c r="R45" s="1571" t="s">
        <v>8</v>
      </c>
      <c r="S45" s="1572">
        <f t="shared" si="12"/>
        <v>100</v>
      </c>
      <c r="T45" s="1571" t="s">
        <v>8</v>
      </c>
      <c r="U45" s="1572">
        <f t="shared" si="13"/>
        <v>100</v>
      </c>
      <c r="V45" s="1571" t="s">
        <v>8</v>
      </c>
      <c r="W45" s="1572">
        <f t="shared" si="14"/>
        <v>100</v>
      </c>
      <c r="X45" s="1573"/>
      <c r="Y45" s="3385"/>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85"/>
      <c r="Q46" s="1575">
        <f t="shared" si="11"/>
        <v>111</v>
      </c>
      <c r="R46" s="1576" t="s">
        <v>8</v>
      </c>
      <c r="S46" s="1577">
        <f t="shared" si="12"/>
        <v>100</v>
      </c>
      <c r="T46" s="1576" t="s">
        <v>8</v>
      </c>
      <c r="U46" s="1577">
        <f t="shared" si="13"/>
        <v>100</v>
      </c>
      <c r="V46" s="1576" t="s">
        <v>8</v>
      </c>
      <c r="W46" s="1577">
        <f t="shared" si="14"/>
        <v>100</v>
      </c>
      <c r="X46" s="1570"/>
      <c r="Y46" s="3385"/>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43"/>
      <c r="Q47" s="1575">
        <f t="shared" si="11"/>
        <v>111</v>
      </c>
      <c r="R47" s="1576" t="s">
        <v>8</v>
      </c>
      <c r="S47" s="1577">
        <f t="shared" si="12"/>
        <v>100</v>
      </c>
      <c r="T47" s="1576" t="s">
        <v>8</v>
      </c>
      <c r="U47" s="1577">
        <f t="shared" si="13"/>
        <v>100</v>
      </c>
      <c r="V47" s="1576" t="s">
        <v>8</v>
      </c>
      <c r="W47" s="1577">
        <f t="shared" si="14"/>
        <v>100</v>
      </c>
      <c r="X47" s="1570"/>
      <c r="Y47" s="3443"/>
      <c r="Z47" s="1578">
        <f t="shared" si="15"/>
        <v>111</v>
      </c>
      <c r="AA47" s="1579">
        <f t="shared" si="3"/>
        <v>1</v>
      </c>
      <c r="AB47" s="1579">
        <f t="shared" si="4"/>
        <v>1</v>
      </c>
      <c r="AC47" s="1579">
        <f t="shared" si="5"/>
        <v>1</v>
      </c>
    </row>
    <row r="48" spans="1:29" ht="15">
      <c r="A48" s="610" t="s">
        <v>736</v>
      </c>
      <c r="B48" s="890"/>
      <c r="C48" s="2655" t="s">
        <v>1</v>
      </c>
      <c r="D48" s="2656"/>
      <c r="E48" s="2657"/>
      <c r="F48" s="2658"/>
      <c r="G48" s="2659"/>
      <c r="H48" s="2660"/>
      <c r="I48" s="2657"/>
      <c r="J48" s="2660"/>
      <c r="K48" s="1614"/>
      <c r="L48" s="2148"/>
      <c r="M48" s="2138"/>
      <c r="N48" s="2138"/>
      <c r="O48" s="2138"/>
      <c r="P48" s="3403" t="str">
        <f>A48</f>
        <v>成交单价（元/平方米）</v>
      </c>
      <c r="Q48" s="3380"/>
      <c r="R48" s="3441">
        <f>E48</f>
        <v>0</v>
      </c>
      <c r="S48" s="3441"/>
      <c r="T48" s="3441">
        <f>G48</f>
        <v>0</v>
      </c>
      <c r="U48" s="3441"/>
      <c r="V48" s="3441">
        <f>I48</f>
        <v>0</v>
      </c>
      <c r="W48" s="3441"/>
      <c r="X48" s="1562"/>
      <c r="Y48" s="1584"/>
      <c r="Z48" s="1562"/>
      <c r="AA48" s="1562"/>
      <c r="AB48" s="1562"/>
      <c r="AC48" s="1562"/>
    </row>
    <row r="49" spans="1:29" ht="15.75" thickBot="1">
      <c r="A49" s="618" t="s">
        <v>2768</v>
      </c>
      <c r="B49" s="891"/>
      <c r="C49" s="2661" t="e">
        <f>R50</f>
        <v>#DIV/0!</v>
      </c>
      <c r="D49" s="2662"/>
      <c r="E49" s="2663" t="e">
        <f>R49</f>
        <v>#DIV/0!</v>
      </c>
      <c r="F49" s="2663"/>
      <c r="G49" s="2661" t="e">
        <f>T49</f>
        <v>#DIV/0!</v>
      </c>
      <c r="H49" s="2662"/>
      <c r="I49" s="2663" t="e">
        <f>V49</f>
        <v>#DIV/0!</v>
      </c>
      <c r="J49" s="2662"/>
      <c r="K49" s="1615"/>
      <c r="L49" s="2148"/>
      <c r="M49" s="2138"/>
      <c r="N49" s="2138"/>
      <c r="O49" s="2138"/>
      <c r="P49" s="3403" t="str">
        <f>A49</f>
        <v>比较价格（元/平方米）</v>
      </c>
      <c r="Q49" s="3380"/>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562"/>
      <c r="Y49" s="1562"/>
      <c r="Z49" s="1562"/>
      <c r="AA49" s="1562"/>
      <c r="AB49" s="1562"/>
      <c r="AC49" s="1562"/>
    </row>
    <row r="50" spans="1:29" ht="15.75" thickBot="1">
      <c r="A50" s="624" t="s">
        <v>2939</v>
      </c>
      <c r="B50" s="625"/>
      <c r="C50" s="2664" t="e">
        <f>R50</f>
        <v>#DIV/0!</v>
      </c>
      <c r="D50" s="2664"/>
      <c r="E50" s="2664"/>
      <c r="F50" s="2664"/>
      <c r="G50" s="2664"/>
      <c r="H50" s="2664"/>
      <c r="I50" s="2664"/>
      <c r="J50" s="2664"/>
      <c r="K50" s="1616"/>
      <c r="L50" s="2148"/>
      <c r="M50" s="2138"/>
      <c r="N50" s="2138"/>
      <c r="O50" s="2138"/>
      <c r="P50" s="3474" t="str">
        <f>A50</f>
        <v>估价对象XX用房的比较价格（楼面单价，元/平方米）</v>
      </c>
      <c r="Q50" s="3403"/>
      <c r="R50" s="3442" t="e">
        <f>IF(F1="售价",ROUND(AVERAGE(R49:V49),0),ROUND(AVERAGE(R49:V49),1))</f>
        <v>#DIV/0!</v>
      </c>
      <c r="S50" s="3442"/>
      <c r="T50" s="3442"/>
      <c r="U50" s="3442"/>
      <c r="V50" s="3442"/>
      <c r="W50" s="3442"/>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50" customFormat="1" ht="15">
      <c r="A59" s="648" t="s">
        <v>530</v>
      </c>
      <c r="B59" s="649"/>
      <c r="C59" s="2832" t="str">
        <f>YEAR(C7)&amp;"-"&amp;MONTH(C7)</f>
        <v>2017-11</v>
      </c>
      <c r="D59" s="2834">
        <f>EDATE(C59,-1)</f>
        <v>43009</v>
      </c>
      <c r="E59" s="2834">
        <f t="shared" ref="E59:O59" si="16">EDATE(D59,-1)</f>
        <v>42979</v>
      </c>
      <c r="F59" s="2834">
        <f t="shared" si="16"/>
        <v>42948</v>
      </c>
      <c r="G59" s="2834">
        <f t="shared" si="16"/>
        <v>42917</v>
      </c>
      <c r="H59" s="2834">
        <f t="shared" si="16"/>
        <v>42887</v>
      </c>
      <c r="I59" s="2834">
        <f t="shared" si="16"/>
        <v>42856</v>
      </c>
      <c r="J59" s="2834">
        <f t="shared" si="16"/>
        <v>42826</v>
      </c>
      <c r="K59" s="2834">
        <f t="shared" si="16"/>
        <v>42795</v>
      </c>
      <c r="L59" s="2834">
        <f t="shared" si="16"/>
        <v>42767</v>
      </c>
      <c r="M59" s="2834">
        <f t="shared" si="16"/>
        <v>42736</v>
      </c>
      <c r="N59" s="2834">
        <f t="shared" si="16"/>
        <v>42705</v>
      </c>
      <c r="O59" s="2834">
        <f t="shared" si="16"/>
        <v>42675</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737</v>
      </c>
      <c r="D66" s="677" t="s">
        <v>738</v>
      </c>
      <c r="E66" s="677" t="s">
        <v>739</v>
      </c>
      <c r="F66" s="677" t="s">
        <v>740</v>
      </c>
      <c r="G66" s="677" t="s">
        <v>741</v>
      </c>
      <c r="H66" s="677" t="s">
        <v>742</v>
      </c>
      <c r="I66" s="677" t="s">
        <v>743</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2564</v>
      </c>
      <c r="C83" s="2626" t="s">
        <v>2565</v>
      </c>
      <c r="D83" s="2626" t="s">
        <v>2566</v>
      </c>
      <c r="E83" s="2626" t="s">
        <v>2567</v>
      </c>
      <c r="F83" s="2626" t="s">
        <v>2568</v>
      </c>
      <c r="G83" s="2626" t="s">
        <v>2569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784</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785</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747</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748</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749</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751</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752</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786</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753</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787</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775</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755</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756</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0" priority="16" stopIfTrue="1" operator="containsText" text="超过">
      <formula>NOT(ISERROR(SEARCH("超过",F53)))</formula>
    </cfRule>
  </conditionalFormatting>
  <conditionalFormatting sqref="H55">
    <cfRule type="containsText" dxfId="49" priority="15" stopIfTrue="1" operator="containsText" text="超过">
      <formula>NOT(ISERROR(SEARCH("超过",H55)))</formula>
    </cfRule>
  </conditionalFormatting>
  <conditionalFormatting sqref="F55">
    <cfRule type="containsText" dxfId="48" priority="14" stopIfTrue="1" operator="containsText" text="超过">
      <formula>NOT(ISERROR(SEARCH("超过",F55)))</formula>
    </cfRule>
  </conditionalFormatting>
  <conditionalFormatting sqref="F54 H54">
    <cfRule type="containsText" dxfId="47" priority="13" stopIfTrue="1" operator="containsText" text="超过">
      <formula>NOT(ISERROR(SEARCH("超过",F54)))</formula>
    </cfRule>
  </conditionalFormatting>
  <conditionalFormatting sqref="E53">
    <cfRule type="expression" dxfId="46" priority="12" stopIfTrue="1">
      <formula>$F$53="超过30%"</formula>
    </cfRule>
  </conditionalFormatting>
  <conditionalFormatting sqref="E54">
    <cfRule type="expression" dxfId="45" priority="11" stopIfTrue="1">
      <formula>$F$54="超过20%"</formula>
    </cfRule>
  </conditionalFormatting>
  <conditionalFormatting sqref="E55">
    <cfRule type="expression" dxfId="44" priority="10" stopIfTrue="1">
      <formula>$F$55="超过30%"</formula>
    </cfRule>
  </conditionalFormatting>
  <conditionalFormatting sqref="G55">
    <cfRule type="expression" dxfId="43" priority="9" stopIfTrue="1">
      <formula>$H$55="超过30%"</formula>
    </cfRule>
  </conditionalFormatting>
  <conditionalFormatting sqref="G53">
    <cfRule type="expression" dxfId="42" priority="8" stopIfTrue="1">
      <formula>$H$53="超过30%"</formula>
    </cfRule>
  </conditionalFormatting>
  <conditionalFormatting sqref="G54">
    <cfRule type="expression" dxfId="41" priority="7" stopIfTrue="1">
      <formula>$H$54="超过20%"</formula>
    </cfRule>
  </conditionalFormatting>
  <conditionalFormatting sqref="J53">
    <cfRule type="containsText" dxfId="40" priority="6" stopIfTrue="1" operator="containsText" text="超过">
      <formula>NOT(ISERROR(SEARCH("超过",J53)))</formula>
    </cfRule>
  </conditionalFormatting>
  <conditionalFormatting sqref="J55">
    <cfRule type="containsText" dxfId="39" priority="5" stopIfTrue="1" operator="containsText" text="超过">
      <formula>NOT(ISERROR(SEARCH("超过",J55)))</formula>
    </cfRule>
  </conditionalFormatting>
  <conditionalFormatting sqref="J54">
    <cfRule type="containsText" dxfId="38" priority="4" stopIfTrue="1" operator="containsText" text="超过">
      <formula>NOT(ISERROR(SEARCH("超过",J54)))</formula>
    </cfRule>
  </conditionalFormatting>
  <conditionalFormatting sqref="I53">
    <cfRule type="expression" dxfId="37" priority="3" stopIfTrue="1">
      <formula>$J$53="超过30%"</formula>
    </cfRule>
  </conditionalFormatting>
  <conditionalFormatting sqref="I54">
    <cfRule type="expression" dxfId="36" priority="2" stopIfTrue="1">
      <formula>$J$53+$J$54="超过20%"</formula>
    </cfRule>
  </conditionalFormatting>
  <conditionalFormatting sqref="I55">
    <cfRule type="expression" dxfId="3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788</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86" t="s">
        <v>523</v>
      </c>
      <c r="D4" s="3387"/>
      <c r="E4" s="3411" t="s">
        <v>524</v>
      </c>
      <c r="F4" s="3412"/>
      <c r="G4" s="3386" t="s">
        <v>525</v>
      </c>
      <c r="H4" s="3387"/>
      <c r="I4" s="3386" t="s">
        <v>526</v>
      </c>
      <c r="J4" s="3387"/>
      <c r="K4" s="517" t="s">
        <v>527</v>
      </c>
      <c r="L4" s="2137"/>
      <c r="M4" s="2138"/>
      <c r="N4" s="2138"/>
      <c r="O4" s="2138"/>
      <c r="P4" s="3388" t="s">
        <v>528</v>
      </c>
      <c r="Q4" s="3389"/>
      <c r="R4" s="3374" t="s">
        <v>524</v>
      </c>
      <c r="S4" s="3375"/>
      <c r="T4" s="3374" t="s">
        <v>525</v>
      </c>
      <c r="U4" s="3375"/>
      <c r="V4" s="3394" t="s">
        <v>526</v>
      </c>
      <c r="W4" s="3394"/>
      <c r="X4" s="1570"/>
      <c r="Y4" s="3374" t="s">
        <v>528</v>
      </c>
      <c r="Z4" s="3375"/>
      <c r="AA4" s="3369" t="s">
        <v>524</v>
      </c>
      <c r="AB4" s="3370" t="s">
        <v>525</v>
      </c>
      <c r="AC4" s="3369" t="s">
        <v>526</v>
      </c>
    </row>
    <row r="5" spans="1:29" ht="15">
      <c r="A5" s="518"/>
      <c r="B5" s="519"/>
      <c r="C5" s="3399" t="s">
        <v>2933</v>
      </c>
      <c r="D5" s="3398"/>
      <c r="E5" s="3413" t="s">
        <v>2934</v>
      </c>
      <c r="F5" s="3414"/>
      <c r="G5" s="3399" t="s">
        <v>2935</v>
      </c>
      <c r="H5" s="3398"/>
      <c r="I5" s="3399" t="s">
        <v>2936</v>
      </c>
      <c r="J5" s="3398"/>
      <c r="K5" s="517"/>
      <c r="L5" s="2137"/>
      <c r="M5" s="2138"/>
      <c r="N5" s="2138"/>
      <c r="O5" s="2138"/>
      <c r="P5" s="3390"/>
      <c r="Q5" s="3391"/>
      <c r="R5" s="3376"/>
      <c r="S5" s="3377"/>
      <c r="T5" s="3376"/>
      <c r="U5" s="3377"/>
      <c r="V5" s="3394"/>
      <c r="W5" s="3394"/>
      <c r="X5" s="1570"/>
      <c r="Y5" s="3376"/>
      <c r="Z5" s="3377"/>
      <c r="AA5" s="3370"/>
      <c r="AB5" s="3370"/>
      <c r="AC5" s="3370"/>
    </row>
    <row r="6" spans="1:29" ht="15.75" thickBot="1">
      <c r="A6" s="520"/>
      <c r="B6" s="521"/>
      <c r="C6" s="3395" t="s">
        <v>2937</v>
      </c>
      <c r="D6" s="3396"/>
      <c r="E6" s="3415" t="s">
        <v>2937</v>
      </c>
      <c r="F6" s="3416"/>
      <c r="G6" s="3395" t="s">
        <v>2937</v>
      </c>
      <c r="H6" s="3396"/>
      <c r="I6" s="3395" t="s">
        <v>2937</v>
      </c>
      <c r="J6" s="3396"/>
      <c r="K6" s="517" t="s">
        <v>529</v>
      </c>
      <c r="L6" s="2137"/>
      <c r="M6" s="2138"/>
      <c r="N6" s="2138"/>
      <c r="O6" s="2138"/>
      <c r="P6" s="3392"/>
      <c r="Q6" s="3393"/>
      <c r="R6" s="3376"/>
      <c r="S6" s="3377"/>
      <c r="T6" s="3378"/>
      <c r="U6" s="3379"/>
      <c r="V6" s="3394"/>
      <c r="W6" s="3394"/>
      <c r="X6" s="1570"/>
      <c r="Y6" s="3378"/>
      <c r="Z6" s="3379"/>
      <c r="AA6" s="3371"/>
      <c r="AB6" s="3371"/>
      <c r="AC6" s="3371"/>
    </row>
    <row r="7" spans="1:29" s="1223" customFormat="1" ht="15.75" thickBot="1">
      <c r="A7" s="2941"/>
      <c r="B7" s="2948"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72" t="s">
        <v>531</v>
      </c>
      <c r="Q7" s="3381"/>
      <c r="R7" s="1571" t="s">
        <v>8</v>
      </c>
      <c r="S7" s="1572">
        <f t="shared" ref="S7:S15" si="0">F7</f>
        <v>0</v>
      </c>
      <c r="T7" s="1571" t="s">
        <v>8</v>
      </c>
      <c r="U7" s="1572">
        <f t="shared" ref="U7:U15" si="1">H7</f>
        <v>0</v>
      </c>
      <c r="V7" s="1571" t="s">
        <v>8</v>
      </c>
      <c r="W7" s="1572">
        <f t="shared" ref="W7:W15" si="2">J7</f>
        <v>0</v>
      </c>
      <c r="X7" s="1573"/>
      <c r="Y7" s="3372" t="s">
        <v>531</v>
      </c>
      <c r="Z7" s="3373"/>
      <c r="AA7" s="1574" t="e">
        <f>D7/F7</f>
        <v>#DIV/0!</v>
      </c>
      <c r="AB7" s="1574" t="e">
        <f>D7/H7</f>
        <v>#DIV/0!</v>
      </c>
      <c r="AC7" s="1574" t="e">
        <f>D7/J7</f>
        <v>#DIV/0!</v>
      </c>
    </row>
    <row r="8" spans="1:29" s="1223"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72" t="s">
        <v>534</v>
      </c>
      <c r="Q8" s="3373"/>
      <c r="R8" s="1571" t="s">
        <v>8</v>
      </c>
      <c r="S8" s="1572">
        <f t="shared" si="0"/>
        <v>0</v>
      </c>
      <c r="T8" s="1571" t="s">
        <v>8</v>
      </c>
      <c r="U8" s="1572">
        <f t="shared" si="1"/>
        <v>0</v>
      </c>
      <c r="V8" s="1571" t="s">
        <v>8</v>
      </c>
      <c r="W8" s="1572">
        <f t="shared" si="2"/>
        <v>0</v>
      </c>
      <c r="X8" s="1573"/>
      <c r="Y8" s="3372" t="s">
        <v>534</v>
      </c>
      <c r="Z8" s="3373"/>
      <c r="AA8" s="1574" t="e">
        <f t="shared" ref="AA8:AA40" si="3">D8/F8</f>
        <v>#DIV/0!</v>
      </c>
      <c r="AB8" s="1574" t="e">
        <f t="shared" ref="AB8:AB40" si="4">D8/H8</f>
        <v>#DIV/0!</v>
      </c>
      <c r="AC8" s="1574" t="e">
        <f t="shared" ref="AC8:AC40" si="5">D8/J8</f>
        <v>#DIV/0!</v>
      </c>
    </row>
    <row r="9" spans="1:29" s="1223" customFormat="1" ht="15">
      <c r="A9" s="2943"/>
      <c r="B9" s="2950" t="s">
        <v>2764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80" t="s">
        <v>536</v>
      </c>
      <c r="Q9" s="1154" t="str">
        <f t="shared" ref="Q9:Q15" si="6">B9</f>
        <v>用途</v>
      </c>
      <c r="R9" s="1571" t="s">
        <v>8</v>
      </c>
      <c r="S9" s="1572">
        <f t="shared" si="0"/>
        <v>100</v>
      </c>
      <c r="T9" s="1571" t="s">
        <v>8</v>
      </c>
      <c r="U9" s="1572">
        <f t="shared" si="1"/>
        <v>100</v>
      </c>
      <c r="V9" s="1571" t="s">
        <v>8</v>
      </c>
      <c r="W9" s="1572">
        <f t="shared" si="2"/>
        <v>100</v>
      </c>
      <c r="X9" s="1573"/>
      <c r="Y9" s="3337" t="s">
        <v>537</v>
      </c>
      <c r="Z9" s="1153" t="str">
        <f t="shared" ref="Z9:Z15" si="7">Q9</f>
        <v>用途</v>
      </c>
      <c r="AA9" s="1574">
        <f t="shared" si="3"/>
        <v>1</v>
      </c>
      <c r="AB9" s="1574">
        <f t="shared" si="4"/>
        <v>1</v>
      </c>
      <c r="AC9" s="1574">
        <f t="shared" si="5"/>
        <v>1</v>
      </c>
    </row>
    <row r="10" spans="1:29" s="1341" customFormat="1" ht="27">
      <c r="A10" s="2944"/>
      <c r="B10" s="2949" t="s">
        <v>2765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80"/>
      <c r="Q10" s="1154" t="str">
        <f t="shared" si="6"/>
        <v>土地使用年限（年）</v>
      </c>
      <c r="R10" s="1571" t="s">
        <v>8</v>
      </c>
      <c r="S10" s="1572">
        <f t="shared" si="0"/>
        <v>100</v>
      </c>
      <c r="T10" s="1571" t="s">
        <v>8</v>
      </c>
      <c r="U10" s="1572">
        <f t="shared" si="1"/>
        <v>100</v>
      </c>
      <c r="V10" s="1571" t="s">
        <v>8</v>
      </c>
      <c r="W10" s="1572">
        <f t="shared" si="2"/>
        <v>100</v>
      </c>
      <c r="X10" s="1573"/>
      <c r="Y10" s="3337"/>
      <c r="Z10" s="1153"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80"/>
      <c r="Q11" s="1154" t="str">
        <f t="shared" si="6"/>
        <v>容积率</v>
      </c>
      <c r="R11" s="1571" t="s">
        <v>8</v>
      </c>
      <c r="S11" s="1572" t="e">
        <f t="shared" si="0"/>
        <v>#N/A</v>
      </c>
      <c r="T11" s="1571" t="s">
        <v>8</v>
      </c>
      <c r="U11" s="1572" t="e">
        <f t="shared" si="1"/>
        <v>#N/A</v>
      </c>
      <c r="V11" s="1571" t="s">
        <v>8</v>
      </c>
      <c r="W11" s="1572" t="e">
        <f t="shared" si="2"/>
        <v>#N/A</v>
      </c>
      <c r="X11" s="1573"/>
      <c r="Y11" s="3337"/>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80"/>
      <c r="Q12" s="1154">
        <f t="shared" si="6"/>
        <v>111</v>
      </c>
      <c r="R12" s="1571" t="s">
        <v>8</v>
      </c>
      <c r="S12" s="1572">
        <f t="shared" si="0"/>
        <v>100</v>
      </c>
      <c r="T12" s="1571" t="s">
        <v>8</v>
      </c>
      <c r="U12" s="1572">
        <f t="shared" si="1"/>
        <v>100</v>
      </c>
      <c r="V12" s="1571" t="s">
        <v>8</v>
      </c>
      <c r="W12" s="1572">
        <f t="shared" si="2"/>
        <v>100</v>
      </c>
      <c r="X12" s="1573"/>
      <c r="Y12" s="3337"/>
      <c r="Z12" s="1153">
        <f t="shared" si="7"/>
        <v>111</v>
      </c>
      <c r="AA12" s="1574">
        <f>D12/F12</f>
        <v>1</v>
      </c>
      <c r="AB12" s="1574">
        <f>D12/H12</f>
        <v>1</v>
      </c>
      <c r="AC12" s="1574">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80"/>
      <c r="Q13" s="1154">
        <f t="shared" si="6"/>
        <v>111</v>
      </c>
      <c r="R13" s="1571" t="s">
        <v>8</v>
      </c>
      <c r="S13" s="1572">
        <f t="shared" si="0"/>
        <v>100</v>
      </c>
      <c r="T13" s="1571" t="s">
        <v>8</v>
      </c>
      <c r="U13" s="1572">
        <f t="shared" si="1"/>
        <v>100</v>
      </c>
      <c r="V13" s="1571" t="s">
        <v>8</v>
      </c>
      <c r="W13" s="1572">
        <f t="shared" si="2"/>
        <v>100</v>
      </c>
      <c r="X13" s="1573"/>
      <c r="Y13" s="3337"/>
      <c r="Z13" s="1153">
        <f t="shared" si="7"/>
        <v>111</v>
      </c>
      <c r="AA13" s="1574">
        <f t="shared" si="3"/>
        <v>1</v>
      </c>
      <c r="AB13" s="1574">
        <f t="shared" si="4"/>
        <v>1</v>
      </c>
      <c r="AC13" s="1574">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80"/>
      <c r="Q14" s="1154">
        <f t="shared" si="6"/>
        <v>111</v>
      </c>
      <c r="R14" s="1571" t="s">
        <v>8</v>
      </c>
      <c r="S14" s="1572">
        <f t="shared" si="0"/>
        <v>100</v>
      </c>
      <c r="T14" s="1571" t="s">
        <v>8</v>
      </c>
      <c r="U14" s="1572">
        <f t="shared" si="1"/>
        <v>100</v>
      </c>
      <c r="V14" s="1571" t="s">
        <v>8</v>
      </c>
      <c r="W14" s="1572">
        <f t="shared" si="2"/>
        <v>100</v>
      </c>
      <c r="X14" s="1573"/>
      <c r="Y14" s="3337"/>
      <c r="Z14" s="1153">
        <f t="shared" si="7"/>
        <v>111</v>
      </c>
      <c r="AA14" s="1574">
        <f t="shared" si="3"/>
        <v>1</v>
      </c>
      <c r="AB14" s="1574">
        <f t="shared" si="4"/>
        <v>1</v>
      </c>
      <c r="AC14" s="1574">
        <f t="shared" si="5"/>
        <v>1</v>
      </c>
    </row>
    <row r="15" spans="1:29" ht="57">
      <c r="A15" s="2939" t="s">
        <v>2762</v>
      </c>
      <c r="B15" s="166" t="s">
        <v>789</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82" t="s">
        <v>541</v>
      </c>
      <c r="Q15" s="1575" t="str">
        <f t="shared" si="6"/>
        <v>产业集聚程度</v>
      </c>
      <c r="R15" s="1576" t="s">
        <v>8</v>
      </c>
      <c r="S15" s="1577">
        <f t="shared" si="0"/>
        <v>100</v>
      </c>
      <c r="T15" s="1576" t="s">
        <v>8</v>
      </c>
      <c r="U15" s="1577">
        <f t="shared" si="1"/>
        <v>100</v>
      </c>
      <c r="V15" s="1576" t="s">
        <v>8</v>
      </c>
      <c r="W15" s="1577">
        <f t="shared" si="2"/>
        <v>100</v>
      </c>
      <c r="X15" s="1570"/>
      <c r="Y15" s="3382"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83"/>
      <c r="Q16" s="1575"/>
      <c r="R16" s="1576"/>
      <c r="S16" s="1577"/>
      <c r="T16" s="1576"/>
      <c r="U16" s="1577"/>
      <c r="V16" s="1576"/>
      <c r="W16" s="1577"/>
      <c r="X16" s="1570"/>
      <c r="Y16" s="3383"/>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83"/>
      <c r="Q17" s="1575" t="str">
        <f>B17</f>
        <v>交通便捷度</v>
      </c>
      <c r="R17" s="1576" t="s">
        <v>8</v>
      </c>
      <c r="S17" s="1577">
        <f>F17</f>
        <v>100</v>
      </c>
      <c r="T17" s="1576" t="s">
        <v>8</v>
      </c>
      <c r="U17" s="1577">
        <f>H17</f>
        <v>100</v>
      </c>
      <c r="V17" s="1576" t="s">
        <v>8</v>
      </c>
      <c r="W17" s="1577">
        <f>J17</f>
        <v>100</v>
      </c>
      <c r="X17" s="1570"/>
      <c r="Y17" s="3383"/>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83"/>
      <c r="Q18" s="1575"/>
      <c r="R18" s="1576"/>
      <c r="S18" s="1577"/>
      <c r="T18" s="1576"/>
      <c r="U18" s="1577"/>
      <c r="V18" s="1576"/>
      <c r="W18" s="1577"/>
      <c r="X18" s="1570"/>
      <c r="Y18" s="3383"/>
      <c r="Z18" s="1578"/>
      <c r="AA18" s="1579">
        <v>1</v>
      </c>
      <c r="AB18" s="1579">
        <v>1</v>
      </c>
      <c r="AC18" s="1579">
        <v>1</v>
      </c>
    </row>
    <row r="19" spans="1:29" ht="42.75">
      <c r="A19" s="535"/>
      <c r="B19" s="2631"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83"/>
      <c r="Q19" s="1575" t="str">
        <f>B19</f>
        <v>公共配套设施</v>
      </c>
      <c r="R19" s="1576" t="s">
        <v>8</v>
      </c>
      <c r="S19" s="1577">
        <f>F19</f>
        <v>100</v>
      </c>
      <c r="T19" s="1576" t="s">
        <v>8</v>
      </c>
      <c r="U19" s="1577">
        <f>H19</f>
        <v>100</v>
      </c>
      <c r="V19" s="1576" t="s">
        <v>8</v>
      </c>
      <c r="W19" s="1577">
        <f>J19</f>
        <v>100</v>
      </c>
      <c r="X19" s="1570"/>
      <c r="Y19" s="3383"/>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6"/>
      <c r="M20" s="2138"/>
      <c r="N20" s="2138"/>
      <c r="O20" s="2145"/>
      <c r="P20" s="3383"/>
      <c r="Q20" s="1575"/>
      <c r="R20" s="1576"/>
      <c r="S20" s="1577"/>
      <c r="T20" s="1576"/>
      <c r="U20" s="1577"/>
      <c r="V20" s="1576"/>
      <c r="W20" s="1577"/>
      <c r="X20" s="1570"/>
      <c r="Y20" s="3383"/>
      <c r="Z20" s="1578"/>
      <c r="AA20" s="1579">
        <v>1</v>
      </c>
      <c r="AB20" s="1579">
        <v>1</v>
      </c>
      <c r="AC20" s="1579">
        <v>1</v>
      </c>
    </row>
    <row r="21" spans="1:29" ht="28.5">
      <c r="A21" s="535"/>
      <c r="B21" s="2619"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83"/>
      <c r="Q21" s="2607" t="str">
        <f>B21</f>
        <v>基础设施水平</v>
      </c>
      <c r="R21" s="1576" t="s">
        <v>8</v>
      </c>
      <c r="S21" s="1577">
        <f>F21</f>
        <v>100</v>
      </c>
      <c r="T21" s="1576" t="s">
        <v>8</v>
      </c>
      <c r="U21" s="1577">
        <f>H21</f>
        <v>100</v>
      </c>
      <c r="V21" s="1576" t="s">
        <v>8</v>
      </c>
      <c r="W21" s="1577">
        <f>J21</f>
        <v>100</v>
      </c>
      <c r="X21" s="2609"/>
      <c r="Y21" s="3383"/>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83"/>
      <c r="Q22" s="2607"/>
      <c r="R22" s="1576"/>
      <c r="S22" s="1577"/>
      <c r="T22" s="1576"/>
      <c r="U22" s="1577"/>
      <c r="V22" s="1576"/>
      <c r="W22" s="1577"/>
      <c r="X22" s="2609"/>
      <c r="Y22" s="3383"/>
      <c r="Z22" s="2608"/>
      <c r="AA22" s="1579">
        <v>1</v>
      </c>
      <c r="AB22" s="1579">
        <v>1</v>
      </c>
      <c r="AC22" s="1579">
        <v>1</v>
      </c>
    </row>
    <row r="23" spans="1:29" ht="71.25">
      <c r="A23" s="535"/>
      <c r="B23" s="874" t="s">
        <v>778</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83"/>
      <c r="Q23" s="1575" t="str">
        <f>B23</f>
        <v>环境质量</v>
      </c>
      <c r="R23" s="1576" t="s">
        <v>8</v>
      </c>
      <c r="S23" s="1577">
        <f>F23</f>
        <v>100</v>
      </c>
      <c r="T23" s="1576" t="s">
        <v>8</v>
      </c>
      <c r="U23" s="1577">
        <f>H23</f>
        <v>100</v>
      </c>
      <c r="V23" s="1576" t="s">
        <v>8</v>
      </c>
      <c r="W23" s="1577">
        <f>J23</f>
        <v>100</v>
      </c>
      <c r="X23" s="1570"/>
      <c r="Y23" s="3383"/>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6"/>
      <c r="M24" s="2138"/>
      <c r="N24" s="2138"/>
      <c r="O24" s="2145"/>
      <c r="P24" s="3383"/>
      <c r="Q24" s="1575"/>
      <c r="R24" s="1576"/>
      <c r="S24" s="1577"/>
      <c r="T24" s="1576"/>
      <c r="U24" s="1577"/>
      <c r="V24" s="1576"/>
      <c r="W24" s="1577"/>
      <c r="X24" s="1570"/>
      <c r="Y24" s="3383"/>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83"/>
      <c r="Q25" s="1575">
        <f>B25</f>
        <v>111</v>
      </c>
      <c r="R25" s="1576" t="s">
        <v>8</v>
      </c>
      <c r="S25" s="1577">
        <f>F25</f>
        <v>100</v>
      </c>
      <c r="T25" s="1576" t="s">
        <v>8</v>
      </c>
      <c r="U25" s="1577">
        <f>H25</f>
        <v>100</v>
      </c>
      <c r="V25" s="1576" t="s">
        <v>8</v>
      </c>
      <c r="W25" s="1577">
        <f>J25</f>
        <v>100</v>
      </c>
      <c r="X25" s="1570"/>
      <c r="Y25" s="3383"/>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83"/>
      <c r="Q26" s="1575">
        <f t="shared" ref="Q26:Q40" si="11">B26</f>
        <v>111</v>
      </c>
      <c r="R26" s="1576" t="s">
        <v>8</v>
      </c>
      <c r="S26" s="1577">
        <f>F26</f>
        <v>100</v>
      </c>
      <c r="T26" s="1576" t="s">
        <v>8</v>
      </c>
      <c r="U26" s="1577">
        <f>H26</f>
        <v>100</v>
      </c>
      <c r="V26" s="1576" t="s">
        <v>8</v>
      </c>
      <c r="W26" s="1577">
        <f>J26</f>
        <v>100</v>
      </c>
      <c r="X26" s="1570"/>
      <c r="Y26" s="3383"/>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83"/>
      <c r="Q27" s="1154">
        <f t="shared" si="11"/>
        <v>111</v>
      </c>
      <c r="R27" s="1571" t="s">
        <v>8</v>
      </c>
      <c r="S27" s="1572">
        <f>F27</f>
        <v>100</v>
      </c>
      <c r="T27" s="1571" t="s">
        <v>8</v>
      </c>
      <c r="U27" s="1572">
        <f>H27</f>
        <v>100</v>
      </c>
      <c r="V27" s="1571" t="s">
        <v>8</v>
      </c>
      <c r="W27" s="1572">
        <f>J27</f>
        <v>100</v>
      </c>
      <c r="X27" s="1573"/>
      <c r="Y27" s="3383"/>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83"/>
      <c r="Q28" s="1575">
        <f t="shared" si="11"/>
        <v>111</v>
      </c>
      <c r="R28" s="1576" t="s">
        <v>8</v>
      </c>
      <c r="S28" s="1577">
        <f t="shared" ref="S28:S40" si="12">F28</f>
        <v>100</v>
      </c>
      <c r="T28" s="1576" t="s">
        <v>8</v>
      </c>
      <c r="U28" s="1577">
        <f t="shared" ref="U28:U40" si="13">H28</f>
        <v>100</v>
      </c>
      <c r="V28" s="1576" t="s">
        <v>8</v>
      </c>
      <c r="W28" s="1577">
        <f t="shared" ref="W28:W40" si="14">J28</f>
        <v>100</v>
      </c>
      <c r="X28" s="1570"/>
      <c r="Y28" s="3383"/>
      <c r="Z28" s="1578">
        <f t="shared" ref="Z28:Z40" si="15">Q28</f>
        <v>111</v>
      </c>
      <c r="AA28" s="1579">
        <f t="shared" si="3"/>
        <v>1</v>
      </c>
      <c r="AB28" s="1579">
        <f t="shared" si="4"/>
        <v>1</v>
      </c>
      <c r="AC28" s="1579">
        <f t="shared" si="5"/>
        <v>1</v>
      </c>
    </row>
    <row r="29" spans="1:29" ht="15">
      <c r="A29" s="2937" t="s">
        <v>2763</v>
      </c>
      <c r="B29" s="172" t="s">
        <v>780</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84" t="s">
        <v>551</v>
      </c>
      <c r="Q29" s="1575" t="str">
        <f t="shared" si="11"/>
        <v>建筑类型</v>
      </c>
      <c r="R29" s="1576" t="s">
        <v>8</v>
      </c>
      <c r="S29" s="1577">
        <f t="shared" si="12"/>
        <v>100</v>
      </c>
      <c r="T29" s="1576" t="s">
        <v>8</v>
      </c>
      <c r="U29" s="1577">
        <f t="shared" si="13"/>
        <v>100</v>
      </c>
      <c r="V29" s="1576" t="s">
        <v>8</v>
      </c>
      <c r="W29" s="1577">
        <f t="shared" si="14"/>
        <v>100</v>
      </c>
      <c r="X29" s="1570"/>
      <c r="Y29" s="3385" t="s">
        <v>551</v>
      </c>
      <c r="Z29" s="1578" t="str">
        <f t="shared" si="15"/>
        <v>建筑类型</v>
      </c>
      <c r="AA29" s="1579">
        <f t="shared" si="3"/>
        <v>1</v>
      </c>
      <c r="AB29" s="1579">
        <f t="shared" si="4"/>
        <v>1</v>
      </c>
      <c r="AC29" s="1579">
        <f t="shared" si="5"/>
        <v>1</v>
      </c>
    </row>
    <row r="30" spans="1:29" s="1342" customFormat="1" ht="15">
      <c r="A30" s="606"/>
      <c r="B30" s="530" t="s">
        <v>726</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85"/>
      <c r="Q30" s="1608" t="str">
        <f t="shared" si="11"/>
        <v>项目建筑规模</v>
      </c>
      <c r="R30" s="1580" t="s">
        <v>8</v>
      </c>
      <c r="S30" s="1581" t="e">
        <f t="shared" si="12"/>
        <v>#N/A</v>
      </c>
      <c r="T30" s="1580" t="s">
        <v>8</v>
      </c>
      <c r="U30" s="1581" t="e">
        <f t="shared" si="13"/>
        <v>#N/A</v>
      </c>
      <c r="V30" s="1580" t="s">
        <v>8</v>
      </c>
      <c r="W30" s="1581" t="e">
        <f t="shared" si="14"/>
        <v>#N/A</v>
      </c>
      <c r="X30" s="1582"/>
      <c r="Y30" s="3385"/>
      <c r="Z30" s="1583" t="str">
        <f t="shared" si="15"/>
        <v>项目建筑规模</v>
      </c>
      <c r="AA30" s="1579" t="e">
        <f t="shared" si="3"/>
        <v>#N/A</v>
      </c>
      <c r="AB30" s="1579" t="e">
        <f t="shared" si="4"/>
        <v>#N/A</v>
      </c>
      <c r="AC30" s="1579" t="e">
        <f t="shared" si="5"/>
        <v>#N/A</v>
      </c>
    </row>
    <row r="31" spans="1:29" ht="15">
      <c r="A31" s="597"/>
      <c r="B31" s="530" t="s">
        <v>727</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85"/>
      <c r="Q31" s="1575" t="str">
        <f t="shared" si="11"/>
        <v>建筑结构</v>
      </c>
      <c r="R31" s="1576" t="s">
        <v>8</v>
      </c>
      <c r="S31" s="1577">
        <f t="shared" si="12"/>
        <v>100</v>
      </c>
      <c r="T31" s="1576" t="s">
        <v>8</v>
      </c>
      <c r="U31" s="1577">
        <f t="shared" si="13"/>
        <v>100</v>
      </c>
      <c r="V31" s="1576" t="s">
        <v>8</v>
      </c>
      <c r="W31" s="1577">
        <f t="shared" si="14"/>
        <v>100</v>
      </c>
      <c r="X31" s="1570"/>
      <c r="Y31" s="3385"/>
      <c r="Z31" s="1578" t="str">
        <f t="shared" si="15"/>
        <v>建筑结构</v>
      </c>
      <c r="AA31" s="1579">
        <f t="shared" si="3"/>
        <v>1</v>
      </c>
      <c r="AB31" s="1579">
        <f t="shared" si="4"/>
        <v>1</v>
      </c>
      <c r="AC31" s="1579">
        <f t="shared" si="5"/>
        <v>1</v>
      </c>
    </row>
    <row r="32" spans="1:29" ht="15">
      <c r="A32" s="597"/>
      <c r="B32" s="530" t="s">
        <v>763</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85"/>
      <c r="Q32" s="1575" t="str">
        <f t="shared" si="11"/>
        <v>公共部分装修</v>
      </c>
      <c r="R32" s="1576" t="s">
        <v>8</v>
      </c>
      <c r="S32" s="1577">
        <f t="shared" si="12"/>
        <v>100</v>
      </c>
      <c r="T32" s="1576" t="s">
        <v>8</v>
      </c>
      <c r="U32" s="1577">
        <f t="shared" si="13"/>
        <v>100</v>
      </c>
      <c r="V32" s="1576" t="s">
        <v>8</v>
      </c>
      <c r="W32" s="1577">
        <f t="shared" si="14"/>
        <v>100</v>
      </c>
      <c r="X32" s="1570"/>
      <c r="Y32" s="3385"/>
      <c r="Z32" s="1578" t="str">
        <f t="shared" si="15"/>
        <v>公共部分装修</v>
      </c>
      <c r="AA32" s="1579">
        <f t="shared" si="3"/>
        <v>1</v>
      </c>
      <c r="AB32" s="1579">
        <f t="shared" si="4"/>
        <v>1</v>
      </c>
      <c r="AC32" s="1579">
        <f t="shared" si="5"/>
        <v>1</v>
      </c>
    </row>
    <row r="33" spans="1:29" ht="15">
      <c r="A33" s="597"/>
      <c r="B33" s="530" t="s">
        <v>764</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85"/>
      <c r="Q33" s="1575" t="str">
        <f t="shared" si="11"/>
        <v>成新度</v>
      </c>
      <c r="R33" s="1576" t="s">
        <v>8</v>
      </c>
      <c r="S33" s="1577" t="e">
        <f t="shared" si="12"/>
        <v>#N/A</v>
      </c>
      <c r="T33" s="1576" t="s">
        <v>8</v>
      </c>
      <c r="U33" s="1577" t="e">
        <f t="shared" si="13"/>
        <v>#N/A</v>
      </c>
      <c r="V33" s="1576" t="s">
        <v>8</v>
      </c>
      <c r="W33" s="1577" t="e">
        <f t="shared" si="14"/>
        <v>#N/A</v>
      </c>
      <c r="X33" s="1570"/>
      <c r="Y33" s="3385"/>
      <c r="Z33" s="1578" t="str">
        <f t="shared" si="15"/>
        <v>成新度</v>
      </c>
      <c r="AA33" s="1579" t="e">
        <f t="shared" si="3"/>
        <v>#N/A</v>
      </c>
      <c r="AB33" s="1579" t="e">
        <f t="shared" si="4"/>
        <v>#N/A</v>
      </c>
      <c r="AC33" s="1579" t="e">
        <f t="shared" si="5"/>
        <v>#N/A</v>
      </c>
    </row>
    <row r="34" spans="1:29" s="1223" customFormat="1" ht="15">
      <c r="A34" s="603"/>
      <c r="B34" s="530" t="s">
        <v>782</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85"/>
      <c r="Q34" s="1154" t="str">
        <f t="shared" si="11"/>
        <v>物业管理</v>
      </c>
      <c r="R34" s="1571" t="s">
        <v>8</v>
      </c>
      <c r="S34" s="1572">
        <f t="shared" si="12"/>
        <v>100</v>
      </c>
      <c r="T34" s="1571" t="s">
        <v>8</v>
      </c>
      <c r="U34" s="1572">
        <f t="shared" si="13"/>
        <v>100</v>
      </c>
      <c r="V34" s="1571" t="s">
        <v>8</v>
      </c>
      <c r="W34" s="1572">
        <f t="shared" si="14"/>
        <v>100</v>
      </c>
      <c r="X34" s="1573"/>
      <c r="Y34" s="3385"/>
      <c r="Z34" s="1153" t="str">
        <f t="shared" si="15"/>
        <v>物业管理</v>
      </c>
      <c r="AA34" s="1574">
        <f t="shared" si="3"/>
        <v>1</v>
      </c>
      <c r="AB34" s="1574">
        <f t="shared" si="4"/>
        <v>1</v>
      </c>
      <c r="AC34" s="1574">
        <f t="shared" si="5"/>
        <v>1</v>
      </c>
    </row>
    <row r="35" spans="1:29" ht="15">
      <c r="A35" s="597"/>
      <c r="B35" s="1899"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85" t="s">
        <v>551</v>
      </c>
      <c r="Q35" s="1575" t="str">
        <f t="shared" si="11"/>
        <v>市政基础设施</v>
      </c>
      <c r="R35" s="1576" t="s">
        <v>8</v>
      </c>
      <c r="S35" s="1577">
        <f t="shared" si="12"/>
        <v>100</v>
      </c>
      <c r="T35" s="1576" t="s">
        <v>8</v>
      </c>
      <c r="U35" s="1577">
        <f t="shared" si="13"/>
        <v>100</v>
      </c>
      <c r="V35" s="1576" t="s">
        <v>8</v>
      </c>
      <c r="W35" s="1577">
        <f t="shared" si="14"/>
        <v>100</v>
      </c>
      <c r="X35" s="1570"/>
      <c r="Y35" s="3385" t="s">
        <v>551</v>
      </c>
      <c r="Z35" s="1578" t="str">
        <f t="shared" si="15"/>
        <v>市政基础设施</v>
      </c>
      <c r="AA35" s="1579">
        <f t="shared" si="3"/>
        <v>1</v>
      </c>
      <c r="AB35" s="1579">
        <f t="shared" si="4"/>
        <v>1</v>
      </c>
      <c r="AC35" s="1579">
        <f t="shared" si="5"/>
        <v>1</v>
      </c>
    </row>
    <row r="36" spans="1:29" ht="15">
      <c r="A36" s="597"/>
      <c r="B36" s="530" t="s">
        <v>770</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85"/>
      <c r="Q36" s="1575" t="str">
        <f t="shared" si="11"/>
        <v>内部装修</v>
      </c>
      <c r="R36" s="1576" t="s">
        <v>8</v>
      </c>
      <c r="S36" s="1577">
        <f t="shared" si="12"/>
        <v>100</v>
      </c>
      <c r="T36" s="1576" t="s">
        <v>8</v>
      </c>
      <c r="U36" s="1577">
        <f t="shared" si="13"/>
        <v>100</v>
      </c>
      <c r="V36" s="1576" t="s">
        <v>8</v>
      </c>
      <c r="W36" s="1577">
        <f t="shared" si="14"/>
        <v>100</v>
      </c>
      <c r="X36" s="1570"/>
      <c r="Y36" s="3385"/>
      <c r="Z36" s="1578" t="str">
        <f t="shared" si="15"/>
        <v>内部装修</v>
      </c>
      <c r="AA36" s="1579">
        <f t="shared" si="3"/>
        <v>1</v>
      </c>
      <c r="AB36" s="1579">
        <f t="shared" si="4"/>
        <v>1</v>
      </c>
      <c r="AC36" s="1579">
        <f t="shared" si="5"/>
        <v>1</v>
      </c>
    </row>
    <row r="37" spans="1:29" ht="15">
      <c r="A37" s="597"/>
      <c r="B37" s="530" t="s">
        <v>790</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85"/>
      <c r="Q37" s="1575" t="str">
        <f t="shared" si="11"/>
        <v>内部装修状况</v>
      </c>
      <c r="R37" s="1576" t="s">
        <v>8</v>
      </c>
      <c r="S37" s="1577">
        <f t="shared" si="12"/>
        <v>100</v>
      </c>
      <c r="T37" s="1576" t="s">
        <v>8</v>
      </c>
      <c r="U37" s="1577">
        <f t="shared" si="13"/>
        <v>100</v>
      </c>
      <c r="V37" s="1576" t="s">
        <v>8</v>
      </c>
      <c r="W37" s="1577">
        <f t="shared" si="14"/>
        <v>100</v>
      </c>
      <c r="X37" s="1570"/>
      <c r="Y37" s="3385"/>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85"/>
      <c r="Q38" s="1608">
        <f t="shared" si="11"/>
        <v>111</v>
      </c>
      <c r="R38" s="1580" t="s">
        <v>8</v>
      </c>
      <c r="S38" s="1581">
        <f t="shared" si="12"/>
        <v>100</v>
      </c>
      <c r="T38" s="1580" t="s">
        <v>8</v>
      </c>
      <c r="U38" s="1581">
        <f t="shared" si="13"/>
        <v>100</v>
      </c>
      <c r="V38" s="1580" t="s">
        <v>8</v>
      </c>
      <c r="W38" s="1581">
        <f t="shared" si="14"/>
        <v>100</v>
      </c>
      <c r="X38" s="1582"/>
      <c r="Y38" s="3385"/>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85"/>
      <c r="Q39" s="1575">
        <f t="shared" si="11"/>
        <v>111</v>
      </c>
      <c r="R39" s="1576" t="s">
        <v>8</v>
      </c>
      <c r="S39" s="1577">
        <f t="shared" si="12"/>
        <v>100</v>
      </c>
      <c r="T39" s="1576" t="s">
        <v>8</v>
      </c>
      <c r="U39" s="1577">
        <f t="shared" si="13"/>
        <v>100</v>
      </c>
      <c r="V39" s="1576" t="s">
        <v>8</v>
      </c>
      <c r="W39" s="1577">
        <f t="shared" si="14"/>
        <v>100</v>
      </c>
      <c r="X39" s="1570"/>
      <c r="Y39" s="3385"/>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43"/>
      <c r="Q40" s="1575">
        <f t="shared" si="11"/>
        <v>111</v>
      </c>
      <c r="R40" s="1576" t="s">
        <v>8</v>
      </c>
      <c r="S40" s="1577">
        <f t="shared" si="12"/>
        <v>100</v>
      </c>
      <c r="T40" s="1576" t="s">
        <v>8</v>
      </c>
      <c r="U40" s="1577">
        <f t="shared" si="13"/>
        <v>100</v>
      </c>
      <c r="V40" s="1576" t="s">
        <v>8</v>
      </c>
      <c r="W40" s="1577">
        <f t="shared" si="14"/>
        <v>100</v>
      </c>
      <c r="X40" s="1570"/>
      <c r="Y40" s="3443"/>
      <c r="Z40" s="1578">
        <f t="shared" si="15"/>
        <v>111</v>
      </c>
      <c r="AA40" s="1579">
        <f t="shared" si="3"/>
        <v>1</v>
      </c>
      <c r="AB40" s="1579">
        <f t="shared" si="4"/>
        <v>1</v>
      </c>
      <c r="AC40" s="1579">
        <f t="shared" si="5"/>
        <v>1</v>
      </c>
    </row>
    <row r="41" spans="1:29" ht="15">
      <c r="A41" s="610" t="s">
        <v>736</v>
      </c>
      <c r="B41" s="890"/>
      <c r="C41" s="2655" t="s">
        <v>1</v>
      </c>
      <c r="D41" s="2656"/>
      <c r="E41" s="2657"/>
      <c r="F41" s="2658"/>
      <c r="G41" s="2659"/>
      <c r="H41" s="2660"/>
      <c r="I41" s="2657"/>
      <c r="J41" s="2660"/>
      <c r="K41" s="1614"/>
      <c r="L41" s="2148"/>
      <c r="M41" s="2149"/>
      <c r="N41" s="2138"/>
      <c r="O41" s="2149"/>
      <c r="P41" s="3380" t="str">
        <f>A41</f>
        <v>成交单价（元/平方米）</v>
      </c>
      <c r="Q41" s="3380"/>
      <c r="R41" s="3441">
        <f>E41</f>
        <v>0</v>
      </c>
      <c r="S41" s="3441"/>
      <c r="T41" s="3441">
        <f>G41</f>
        <v>0</v>
      </c>
      <c r="U41" s="3441"/>
      <c r="V41" s="3441">
        <f>I41</f>
        <v>0</v>
      </c>
      <c r="W41" s="3441"/>
      <c r="X41" s="1562"/>
      <c r="Y41" s="1584"/>
      <c r="Z41" s="1562"/>
      <c r="AA41" s="1562"/>
      <c r="AB41" s="1562"/>
      <c r="AC41" s="1562"/>
    </row>
    <row r="42" spans="1:29" ht="15.75" thickBot="1">
      <c r="A42" s="618" t="s">
        <v>2768</v>
      </c>
      <c r="B42" s="891"/>
      <c r="C42" s="2661" t="e">
        <f>R43</f>
        <v>#DIV/0!</v>
      </c>
      <c r="D42" s="2662"/>
      <c r="E42" s="2663" t="e">
        <f>R42</f>
        <v>#DIV/0!</v>
      </c>
      <c r="F42" s="2663"/>
      <c r="G42" s="2661" t="e">
        <f>T42</f>
        <v>#DIV/0!</v>
      </c>
      <c r="H42" s="2662"/>
      <c r="I42" s="2663" t="e">
        <f>V42</f>
        <v>#DIV/0!</v>
      </c>
      <c r="J42" s="2662"/>
      <c r="K42" s="1615"/>
      <c r="L42" s="2148"/>
      <c r="M42" s="2149"/>
      <c r="N42" s="2138"/>
      <c r="O42" s="2149"/>
      <c r="P42" s="3380" t="str">
        <f>A42</f>
        <v>比较价格（元/平方米）</v>
      </c>
      <c r="Q42" s="338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562"/>
      <c r="Y42" s="1562"/>
      <c r="Z42" s="1562"/>
      <c r="AA42" s="1562"/>
      <c r="AB42" s="1562"/>
      <c r="AC42" s="1562"/>
    </row>
    <row r="43" spans="1:29" ht="15.75" thickBot="1">
      <c r="A43" s="624" t="s">
        <v>2939</v>
      </c>
      <c r="B43" s="625"/>
      <c r="C43" s="2664" t="e">
        <f>R43</f>
        <v>#DIV/0!</v>
      </c>
      <c r="D43" s="2664"/>
      <c r="E43" s="2664"/>
      <c r="F43" s="2664"/>
      <c r="G43" s="2664"/>
      <c r="H43" s="2664"/>
      <c r="I43" s="2664"/>
      <c r="J43" s="2664"/>
      <c r="K43" s="1616"/>
      <c r="L43" s="2148"/>
      <c r="M43" s="2149"/>
      <c r="N43" s="2149"/>
      <c r="O43" s="2149"/>
      <c r="P43" s="3402" t="str">
        <f>A43</f>
        <v>估价对象XX用房的比较价格（楼面单价，元/平方米）</v>
      </c>
      <c r="Q43" s="3403"/>
      <c r="R43" s="3442" t="e">
        <f>IF(F1="售价",ROUND(AVERAGE(R42:V42),0),ROUND(AVERAGE(R42:V42),1))</f>
        <v>#DIV/0!</v>
      </c>
      <c r="S43" s="3442"/>
      <c r="T43" s="3442"/>
      <c r="U43" s="3442"/>
      <c r="V43" s="3442"/>
      <c r="W43" s="3442"/>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50" customFormat="1" ht="15">
      <c r="A52" s="648" t="s">
        <v>530</v>
      </c>
      <c r="B52" s="649"/>
      <c r="C52" s="2832" t="str">
        <f>YEAR(C7)&amp;"-"&amp;MONTH(C7)</f>
        <v>2017-11</v>
      </c>
      <c r="D52" s="2834">
        <f>EDATE(C52,-1)</f>
        <v>43009</v>
      </c>
      <c r="E52" s="2834">
        <f t="shared" ref="E52:O52" si="16">EDATE(D52,-1)</f>
        <v>42979</v>
      </c>
      <c r="F52" s="2834">
        <f t="shared" si="16"/>
        <v>42948</v>
      </c>
      <c r="G52" s="2834">
        <f t="shared" si="16"/>
        <v>42917</v>
      </c>
      <c r="H52" s="2834">
        <f t="shared" si="16"/>
        <v>42887</v>
      </c>
      <c r="I52" s="2834">
        <f t="shared" si="16"/>
        <v>42856</v>
      </c>
      <c r="J52" s="2834">
        <f t="shared" si="16"/>
        <v>42826</v>
      </c>
      <c r="K52" s="2834">
        <f t="shared" si="16"/>
        <v>42795</v>
      </c>
      <c r="L52" s="2834">
        <f t="shared" si="16"/>
        <v>42767</v>
      </c>
      <c r="M52" s="2834">
        <f t="shared" si="16"/>
        <v>42736</v>
      </c>
      <c r="N52" s="2834">
        <f t="shared" si="16"/>
        <v>42705</v>
      </c>
      <c r="O52" s="2834">
        <f t="shared" si="16"/>
        <v>42675</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737</v>
      </c>
      <c r="D59" s="677" t="s">
        <v>738</v>
      </c>
      <c r="E59" s="677" t="s">
        <v>739</v>
      </c>
      <c r="F59" s="677" t="s">
        <v>740</v>
      </c>
      <c r="G59" s="677" t="s">
        <v>741</v>
      </c>
      <c r="H59" s="677" t="s">
        <v>742</v>
      </c>
      <c r="I59" s="677" t="s">
        <v>743</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2564</v>
      </c>
      <c r="C76" s="2626" t="s">
        <v>2565</v>
      </c>
      <c r="D76" s="2626" t="s">
        <v>2566</v>
      </c>
      <c r="E76" s="2626" t="s">
        <v>2567</v>
      </c>
      <c r="F76" s="2626" t="s">
        <v>2568</v>
      </c>
      <c r="G76" s="2626" t="s">
        <v>2569</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784</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747</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748</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749</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751</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752</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753</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755</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791</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792</v>
      </c>
      <c r="D1" s="852"/>
      <c r="E1" s="509"/>
      <c r="F1" s="2837"/>
      <c r="G1" s="1604" t="s">
        <v>793</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794</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795</v>
      </c>
      <c r="B3" s="513" t="e">
        <f>C37</f>
        <v>#DIV/0!</v>
      </c>
      <c r="C3" s="855" t="s">
        <v>796</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797</v>
      </c>
      <c r="B4" s="516"/>
      <c r="C4" s="3386" t="s">
        <v>798</v>
      </c>
      <c r="D4" s="3387"/>
      <c r="E4" s="3411" t="s">
        <v>799</v>
      </c>
      <c r="F4" s="3412"/>
      <c r="G4" s="3386" t="s">
        <v>800</v>
      </c>
      <c r="H4" s="3387"/>
      <c r="I4" s="3386" t="s">
        <v>801</v>
      </c>
      <c r="J4" s="3387"/>
      <c r="K4" s="517" t="s">
        <v>802</v>
      </c>
      <c r="L4" s="2137"/>
      <c r="M4" s="2138"/>
      <c r="N4" s="2138"/>
      <c r="O4" s="2138"/>
      <c r="P4" s="3388" t="s">
        <v>803</v>
      </c>
      <c r="Q4" s="3389"/>
      <c r="R4" s="3374" t="s">
        <v>799</v>
      </c>
      <c r="S4" s="3375"/>
      <c r="T4" s="3374" t="s">
        <v>800</v>
      </c>
      <c r="U4" s="3375"/>
      <c r="V4" s="3394" t="s">
        <v>801</v>
      </c>
      <c r="W4" s="3394"/>
      <c r="X4" s="1570"/>
      <c r="Y4" s="3374" t="s">
        <v>803</v>
      </c>
      <c r="Z4" s="3375"/>
      <c r="AA4" s="3369" t="s">
        <v>799</v>
      </c>
      <c r="AB4" s="3370" t="s">
        <v>800</v>
      </c>
      <c r="AC4" s="3369" t="s">
        <v>801</v>
      </c>
    </row>
    <row r="5" spans="1:29" ht="15">
      <c r="A5" s="518"/>
      <c r="B5" s="519"/>
      <c r="C5" s="3399" t="s">
        <v>2933</v>
      </c>
      <c r="D5" s="3398"/>
      <c r="E5" s="3413" t="s">
        <v>2934</v>
      </c>
      <c r="F5" s="3414"/>
      <c r="G5" s="3399" t="s">
        <v>2935</v>
      </c>
      <c r="H5" s="3398"/>
      <c r="I5" s="3399" t="s">
        <v>2936</v>
      </c>
      <c r="J5" s="3398"/>
      <c r="K5" s="517"/>
      <c r="L5" s="2137"/>
      <c r="M5" s="2138"/>
      <c r="N5" s="2138"/>
      <c r="O5" s="2138"/>
      <c r="P5" s="3390"/>
      <c r="Q5" s="3391"/>
      <c r="R5" s="3376"/>
      <c r="S5" s="3377"/>
      <c r="T5" s="3376"/>
      <c r="U5" s="3377"/>
      <c r="V5" s="3394"/>
      <c r="W5" s="3394"/>
      <c r="X5" s="1570"/>
      <c r="Y5" s="3376"/>
      <c r="Z5" s="3377"/>
      <c r="AA5" s="3370"/>
      <c r="AB5" s="3370"/>
      <c r="AC5" s="3370"/>
    </row>
    <row r="6" spans="1:29" ht="15.75" thickBot="1">
      <c r="A6" s="520"/>
      <c r="B6" s="521"/>
      <c r="C6" s="3395" t="s">
        <v>2937</v>
      </c>
      <c r="D6" s="3396"/>
      <c r="E6" s="3415" t="s">
        <v>2937</v>
      </c>
      <c r="F6" s="3416"/>
      <c r="G6" s="3395" t="s">
        <v>2937</v>
      </c>
      <c r="H6" s="3396"/>
      <c r="I6" s="3395" t="s">
        <v>2937</v>
      </c>
      <c r="J6" s="3396"/>
      <c r="K6" s="517" t="s">
        <v>529</v>
      </c>
      <c r="L6" s="2137"/>
      <c r="M6" s="2138"/>
      <c r="N6" s="2138"/>
      <c r="O6" s="2138"/>
      <c r="P6" s="3392"/>
      <c r="Q6" s="3393"/>
      <c r="R6" s="3376"/>
      <c r="S6" s="3377"/>
      <c r="T6" s="3378"/>
      <c r="U6" s="3379"/>
      <c r="V6" s="3394"/>
      <c r="W6" s="3394"/>
      <c r="X6" s="1570"/>
      <c r="Y6" s="3378"/>
      <c r="Z6" s="3379"/>
      <c r="AA6" s="3371"/>
      <c r="AB6" s="3371"/>
      <c r="AC6" s="3371"/>
    </row>
    <row r="7" spans="1:29" s="1223" customFormat="1" ht="15.75" thickBot="1">
      <c r="A7" s="2941"/>
      <c r="B7" s="2948"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72" t="s">
        <v>531</v>
      </c>
      <c r="Q7" s="3381"/>
      <c r="R7" s="1571" t="s">
        <v>8</v>
      </c>
      <c r="S7" s="1572">
        <f t="shared" ref="S7:S14" si="0">F7</f>
        <v>0</v>
      </c>
      <c r="T7" s="1571" t="s">
        <v>8</v>
      </c>
      <c r="U7" s="1572">
        <f t="shared" ref="U7:U14" si="1">H7</f>
        <v>0</v>
      </c>
      <c r="V7" s="1571" t="s">
        <v>8</v>
      </c>
      <c r="W7" s="1572">
        <f t="shared" ref="W7:W14" si="2">J7</f>
        <v>0</v>
      </c>
      <c r="X7" s="1573"/>
      <c r="Y7" s="3372" t="s">
        <v>531</v>
      </c>
      <c r="Z7" s="3373"/>
      <c r="AA7" s="1574" t="e">
        <f>D7/F7</f>
        <v>#DIV/0!</v>
      </c>
      <c r="AB7" s="1574" t="e">
        <f>D7/H7</f>
        <v>#DIV/0!</v>
      </c>
      <c r="AC7" s="1574" t="e">
        <f>D7/J7</f>
        <v>#DIV/0!</v>
      </c>
    </row>
    <row r="8" spans="1:29" s="1223"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72" t="s">
        <v>534</v>
      </c>
      <c r="Q8" s="3373"/>
      <c r="R8" s="1571" t="s">
        <v>8</v>
      </c>
      <c r="S8" s="1572">
        <f t="shared" si="0"/>
        <v>0</v>
      </c>
      <c r="T8" s="1571" t="s">
        <v>8</v>
      </c>
      <c r="U8" s="1572">
        <f t="shared" si="1"/>
        <v>0</v>
      </c>
      <c r="V8" s="1571" t="s">
        <v>8</v>
      </c>
      <c r="W8" s="1572">
        <f t="shared" si="2"/>
        <v>0</v>
      </c>
      <c r="X8" s="1573"/>
      <c r="Y8" s="3372" t="s">
        <v>534</v>
      </c>
      <c r="Z8" s="3373"/>
      <c r="AA8" s="1574" t="e">
        <f t="shared" ref="AA8:AA34" si="3">D8/F8</f>
        <v>#DIV/0!</v>
      </c>
      <c r="AB8" s="1574" t="e">
        <f t="shared" ref="AB8:AB34" si="4">D8/H8</f>
        <v>#DIV/0!</v>
      </c>
      <c r="AC8" s="1574" t="e">
        <f t="shared" ref="AC8:AC34" si="5">D8/J8</f>
        <v>#DIV/0!</v>
      </c>
    </row>
    <row r="9" spans="1:29" s="1223" customFormat="1" ht="15">
      <c r="A9" s="2943"/>
      <c r="B9" s="2950" t="s">
        <v>2764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80" t="s">
        <v>536</v>
      </c>
      <c r="Q9" s="1154" t="str">
        <f t="shared" ref="Q9:Q14" si="6">B9</f>
        <v>用途</v>
      </c>
      <c r="R9" s="1571" t="s">
        <v>8</v>
      </c>
      <c r="S9" s="1572">
        <f t="shared" si="0"/>
        <v>100</v>
      </c>
      <c r="T9" s="1571" t="s">
        <v>8</v>
      </c>
      <c r="U9" s="1572">
        <f t="shared" si="1"/>
        <v>100</v>
      </c>
      <c r="V9" s="1571" t="s">
        <v>8</v>
      </c>
      <c r="W9" s="1572">
        <f t="shared" si="2"/>
        <v>100</v>
      </c>
      <c r="X9" s="1573"/>
      <c r="Y9" s="3337" t="s">
        <v>537</v>
      </c>
      <c r="Z9" s="1153" t="str">
        <f t="shared" ref="Z9:Z14" si="7">Q9</f>
        <v>用途</v>
      </c>
      <c r="AA9" s="1574">
        <f t="shared" si="3"/>
        <v>1</v>
      </c>
      <c r="AB9" s="1574">
        <f t="shared" si="4"/>
        <v>1</v>
      </c>
      <c r="AC9" s="1574">
        <f t="shared" si="5"/>
        <v>1</v>
      </c>
    </row>
    <row r="10" spans="1:29" s="1341" customFormat="1" ht="27">
      <c r="A10" s="2944"/>
      <c r="B10" s="2949" t="s">
        <v>2765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80"/>
      <c r="Q10" s="1154" t="str">
        <f t="shared" si="6"/>
        <v>土地使用年限（年）</v>
      </c>
      <c r="R10" s="1571" t="s">
        <v>8</v>
      </c>
      <c r="S10" s="1572">
        <f t="shared" si="0"/>
        <v>100</v>
      </c>
      <c r="T10" s="1571" t="s">
        <v>8</v>
      </c>
      <c r="U10" s="1572">
        <f t="shared" si="1"/>
        <v>100</v>
      </c>
      <c r="V10" s="1571" t="s">
        <v>8</v>
      </c>
      <c r="W10" s="1572">
        <f t="shared" si="2"/>
        <v>100</v>
      </c>
      <c r="X10" s="1573"/>
      <c r="Y10" s="3337"/>
      <c r="Z10" s="1153" t="str">
        <f t="shared" si="7"/>
        <v>土地使用年限（年）</v>
      </c>
      <c r="AA10" s="1574">
        <f t="shared" si="3"/>
        <v>1</v>
      </c>
      <c r="AB10" s="1574">
        <f t="shared" si="4"/>
        <v>1</v>
      </c>
      <c r="AC10" s="1574">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80"/>
      <c r="Q11" s="1154">
        <f t="shared" si="6"/>
        <v>111</v>
      </c>
      <c r="R11" s="1571" t="s">
        <v>8</v>
      </c>
      <c r="S11" s="1572">
        <f t="shared" si="0"/>
        <v>100</v>
      </c>
      <c r="T11" s="1571" t="s">
        <v>8</v>
      </c>
      <c r="U11" s="1572">
        <f t="shared" si="1"/>
        <v>100</v>
      </c>
      <c r="V11" s="1571" t="s">
        <v>8</v>
      </c>
      <c r="W11" s="1572">
        <f t="shared" si="2"/>
        <v>100</v>
      </c>
      <c r="X11" s="1573"/>
      <c r="Y11" s="3337"/>
      <c r="Z11" s="1153">
        <f t="shared" si="7"/>
        <v>111</v>
      </c>
      <c r="AA11" s="1574">
        <f t="shared" si="3"/>
        <v>1</v>
      </c>
      <c r="AB11" s="1574">
        <f t="shared" si="4"/>
        <v>1</v>
      </c>
      <c r="AC11" s="1574">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80"/>
      <c r="Q12" s="1154">
        <f t="shared" si="6"/>
        <v>111</v>
      </c>
      <c r="R12" s="1571" t="s">
        <v>8</v>
      </c>
      <c r="S12" s="1572">
        <f t="shared" si="0"/>
        <v>100</v>
      </c>
      <c r="T12" s="1571" t="s">
        <v>8</v>
      </c>
      <c r="U12" s="1572">
        <f t="shared" si="1"/>
        <v>100</v>
      </c>
      <c r="V12" s="1571" t="s">
        <v>8</v>
      </c>
      <c r="W12" s="1572">
        <f t="shared" si="2"/>
        <v>100</v>
      </c>
      <c r="X12" s="1573"/>
      <c r="Y12" s="3337"/>
      <c r="Z12" s="1153">
        <f t="shared" si="7"/>
        <v>111</v>
      </c>
      <c r="AA12" s="1574">
        <f>D12/F12</f>
        <v>1</v>
      </c>
      <c r="AB12" s="1574">
        <f>D12/H12</f>
        <v>1</v>
      </c>
      <c r="AC12" s="1574">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80"/>
      <c r="Q13" s="1154">
        <f t="shared" si="6"/>
        <v>111</v>
      </c>
      <c r="R13" s="1571" t="s">
        <v>8</v>
      </c>
      <c r="S13" s="1572">
        <f t="shared" si="0"/>
        <v>100</v>
      </c>
      <c r="T13" s="1571" t="s">
        <v>8</v>
      </c>
      <c r="U13" s="1572">
        <f t="shared" si="1"/>
        <v>100</v>
      </c>
      <c r="V13" s="1571" t="s">
        <v>8</v>
      </c>
      <c r="W13" s="1572">
        <f t="shared" si="2"/>
        <v>100</v>
      </c>
      <c r="X13" s="1573"/>
      <c r="Y13" s="3337"/>
      <c r="Z13" s="1153">
        <f t="shared" si="7"/>
        <v>111</v>
      </c>
      <c r="AA13" s="1574">
        <f t="shared" si="3"/>
        <v>1</v>
      </c>
      <c r="AB13" s="1574">
        <f t="shared" si="4"/>
        <v>1</v>
      </c>
      <c r="AC13" s="1574">
        <f t="shared" si="5"/>
        <v>1</v>
      </c>
    </row>
    <row r="14" spans="1:29" ht="71.25">
      <c r="A14" s="2939" t="s">
        <v>2762</v>
      </c>
      <c r="B14" s="166" t="s">
        <v>544</v>
      </c>
      <c r="C14" s="924" t="str">
        <f>IF(B1="工业",估价对象房地状况!G4,估价对象房地状况!C6)</f>
        <v>估价对象周边有344、531路公交线路经过，综合评价交通便捷度一般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82" t="s">
        <v>541</v>
      </c>
      <c r="Q14" s="1575" t="str">
        <f t="shared" si="6"/>
        <v>交通便捷度</v>
      </c>
      <c r="R14" s="1576" t="s">
        <v>8</v>
      </c>
      <c r="S14" s="1577">
        <f t="shared" si="0"/>
        <v>100</v>
      </c>
      <c r="T14" s="1576" t="s">
        <v>8</v>
      </c>
      <c r="U14" s="1577">
        <f t="shared" si="1"/>
        <v>100</v>
      </c>
      <c r="V14" s="1576" t="s">
        <v>8</v>
      </c>
      <c r="W14" s="1577">
        <f t="shared" si="2"/>
        <v>100</v>
      </c>
      <c r="X14" s="1570"/>
      <c r="Y14" s="3382"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6"/>
      <c r="M15" s="2138"/>
      <c r="N15" s="2138"/>
      <c r="O15" s="2145"/>
      <c r="P15" s="3383"/>
      <c r="Q15" s="1575"/>
      <c r="R15" s="1576"/>
      <c r="S15" s="1577"/>
      <c r="T15" s="1576"/>
      <c r="U15" s="1577"/>
      <c r="V15" s="1576"/>
      <c r="W15" s="1577"/>
      <c r="X15" s="1570"/>
      <c r="Y15" s="3383"/>
      <c r="Z15" s="1578"/>
      <c r="AA15" s="1579">
        <v>1</v>
      </c>
      <c r="AB15" s="1579">
        <v>1</v>
      </c>
      <c r="AC15" s="1579">
        <v>1</v>
      </c>
    </row>
    <row r="16" spans="1:29" ht="42.75">
      <c r="A16" s="535"/>
      <c r="B16" s="2631" t="s">
        <v>2552</v>
      </c>
      <c r="C16" s="875" t="str">
        <f>IF(B1="工业",估价对象房地状况!G5,估价对象房地状况!C7)</f>
        <v>估价对象所在区域公共配套设施齐备度一般</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83"/>
      <c r="Q16" s="1575" t="str">
        <f>B16</f>
        <v>公共配套设施</v>
      </c>
      <c r="R16" s="1576" t="s">
        <v>8</v>
      </c>
      <c r="S16" s="1577">
        <f>F16</f>
        <v>100</v>
      </c>
      <c r="T16" s="1576" t="s">
        <v>8</v>
      </c>
      <c r="U16" s="1577">
        <f>H16</f>
        <v>100</v>
      </c>
      <c r="V16" s="1576" t="s">
        <v>8</v>
      </c>
      <c r="W16" s="1577">
        <f>J16</f>
        <v>100</v>
      </c>
      <c r="X16" s="1570"/>
      <c r="Y16" s="3383"/>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6"/>
      <c r="M17" s="2138"/>
      <c r="N17" s="2138"/>
      <c r="O17" s="2145"/>
      <c r="P17" s="3383"/>
      <c r="Q17" s="1575"/>
      <c r="R17" s="1576"/>
      <c r="S17" s="1577"/>
      <c r="T17" s="1576"/>
      <c r="U17" s="1577"/>
      <c r="V17" s="1576"/>
      <c r="W17" s="1577"/>
      <c r="X17" s="1570"/>
      <c r="Y17" s="3383"/>
      <c r="Z17" s="1578"/>
      <c r="AA17" s="1579">
        <v>1</v>
      </c>
      <c r="AB17" s="1579">
        <v>1</v>
      </c>
      <c r="AC17" s="1579">
        <v>1</v>
      </c>
    </row>
    <row r="18" spans="1:29" ht="42.75">
      <c r="A18" s="535"/>
      <c r="B18" s="2619" t="s">
        <v>2564</v>
      </c>
      <c r="C18" s="875" t="str">
        <f>IF(B1="工业",估价对象房地状况!G6,估价对象房地状况!C8)</f>
        <v>估价对象所在区域基础设施水平达七通</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83"/>
      <c r="Q18" s="2607" t="str">
        <f>B18</f>
        <v>基础设施水平</v>
      </c>
      <c r="R18" s="1576" t="s">
        <v>8</v>
      </c>
      <c r="S18" s="1577">
        <f>F18</f>
        <v>100</v>
      </c>
      <c r="T18" s="1576" t="s">
        <v>8</v>
      </c>
      <c r="U18" s="1577">
        <f>H18</f>
        <v>100</v>
      </c>
      <c r="V18" s="1576" t="s">
        <v>8</v>
      </c>
      <c r="W18" s="1577">
        <f>J18</f>
        <v>100</v>
      </c>
      <c r="X18" s="2609"/>
      <c r="Y18" s="3383"/>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83"/>
      <c r="Q19" s="2607"/>
      <c r="R19" s="1576"/>
      <c r="S19" s="1577"/>
      <c r="T19" s="1576"/>
      <c r="U19" s="1577"/>
      <c r="V19" s="1576"/>
      <c r="W19" s="1577"/>
      <c r="X19" s="2609"/>
      <c r="Y19" s="3383"/>
      <c r="Z19" s="2608"/>
      <c r="AA19" s="1579">
        <v>1</v>
      </c>
      <c r="AB19" s="1579">
        <v>1</v>
      </c>
      <c r="AC19" s="1579">
        <v>1</v>
      </c>
    </row>
    <row r="20" spans="1:29" ht="57">
      <c r="A20" s="535"/>
      <c r="B20" s="874" t="s">
        <v>804</v>
      </c>
      <c r="C20" s="875" t="str">
        <f>IF(B1="工业",估价对象房地状况!G7,估价对象房地状况!C9)</f>
        <v>周边有京城体育休闲公园；综合评价环境状况一般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83"/>
      <c r="Q20" s="1575" t="str">
        <f>B20</f>
        <v>自然及人文环境</v>
      </c>
      <c r="R20" s="1576" t="s">
        <v>8</v>
      </c>
      <c r="S20" s="1577">
        <f>F20</f>
        <v>100</v>
      </c>
      <c r="T20" s="1576" t="s">
        <v>8</v>
      </c>
      <c r="U20" s="1577">
        <f>H20</f>
        <v>100</v>
      </c>
      <c r="V20" s="1576" t="s">
        <v>8</v>
      </c>
      <c r="W20" s="1577">
        <f>J20</f>
        <v>100</v>
      </c>
      <c r="X20" s="1570"/>
      <c r="Y20" s="3383"/>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6"/>
      <c r="M21" s="2138"/>
      <c r="N21" s="2138"/>
      <c r="O21" s="2145"/>
      <c r="P21" s="3383"/>
      <c r="Q21" s="1575"/>
      <c r="R21" s="1576"/>
      <c r="S21" s="1577"/>
      <c r="T21" s="1576"/>
      <c r="U21" s="1577"/>
      <c r="V21" s="1576"/>
      <c r="W21" s="1577"/>
      <c r="X21" s="1570"/>
      <c r="Y21" s="3383"/>
      <c r="Z21" s="1578"/>
      <c r="AA21" s="1579">
        <v>1</v>
      </c>
      <c r="AB21" s="1579">
        <v>1</v>
      </c>
      <c r="AC21" s="1579">
        <v>1</v>
      </c>
    </row>
    <row r="22" spans="1:29" ht="15">
      <c r="A22" s="535"/>
      <c r="B22" s="874" t="s">
        <v>805</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83"/>
      <c r="Q22" s="1575" t="str">
        <f>B22</f>
        <v>楼层</v>
      </c>
      <c r="R22" s="1576" t="s">
        <v>8</v>
      </c>
      <c r="S22" s="1577">
        <f>F22</f>
        <v>100</v>
      </c>
      <c r="T22" s="1576" t="s">
        <v>8</v>
      </c>
      <c r="U22" s="1577">
        <f>H22</f>
        <v>100</v>
      </c>
      <c r="V22" s="1576" t="s">
        <v>8</v>
      </c>
      <c r="W22" s="1577">
        <f>J22</f>
        <v>100</v>
      </c>
      <c r="X22" s="1570"/>
      <c r="Y22" s="3383"/>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83"/>
      <c r="Q23" s="1575">
        <f>B23</f>
        <v>111</v>
      </c>
      <c r="R23" s="1576" t="s">
        <v>8</v>
      </c>
      <c r="S23" s="1577">
        <f>F23</f>
        <v>100</v>
      </c>
      <c r="T23" s="1576" t="s">
        <v>8</v>
      </c>
      <c r="U23" s="1577">
        <f>H23</f>
        <v>100</v>
      </c>
      <c r="V23" s="1576" t="s">
        <v>8</v>
      </c>
      <c r="W23" s="1577">
        <f>J23</f>
        <v>100</v>
      </c>
      <c r="X23" s="1570"/>
      <c r="Y23" s="3383"/>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83"/>
      <c r="Q24" s="1575">
        <f t="shared" ref="Q24:Q34" si="11">B24</f>
        <v>111</v>
      </c>
      <c r="R24" s="1576" t="s">
        <v>8</v>
      </c>
      <c r="S24" s="1577">
        <f>F24</f>
        <v>100</v>
      </c>
      <c r="T24" s="1576" t="s">
        <v>8</v>
      </c>
      <c r="U24" s="1577">
        <f>H24</f>
        <v>100</v>
      </c>
      <c r="V24" s="1576" t="s">
        <v>8</v>
      </c>
      <c r="W24" s="1577">
        <f>J24</f>
        <v>100</v>
      </c>
      <c r="X24" s="1570"/>
      <c r="Y24" s="3383"/>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83"/>
      <c r="Q25" s="1154">
        <f t="shared" si="11"/>
        <v>111</v>
      </c>
      <c r="R25" s="1571" t="s">
        <v>8</v>
      </c>
      <c r="S25" s="1572">
        <f>F25</f>
        <v>100</v>
      </c>
      <c r="T25" s="1571" t="s">
        <v>8</v>
      </c>
      <c r="U25" s="1572">
        <f>H25</f>
        <v>100</v>
      </c>
      <c r="V25" s="1571" t="s">
        <v>8</v>
      </c>
      <c r="W25" s="1572">
        <f>J25</f>
        <v>100</v>
      </c>
      <c r="X25" s="1573"/>
      <c r="Y25" s="3383"/>
      <c r="Z25" s="1153">
        <f>Q25</f>
        <v>111</v>
      </c>
      <c r="AA25" s="1579">
        <f>D25/F25</f>
        <v>1</v>
      </c>
      <c r="AB25" s="1579">
        <f>D25/H25</f>
        <v>1</v>
      </c>
      <c r="AC25" s="1579">
        <f>D25/J25</f>
        <v>1</v>
      </c>
    </row>
    <row r="26" spans="1:29" ht="15">
      <c r="A26" s="2937" t="s">
        <v>2763</v>
      </c>
      <c r="B26" s="172" t="s">
        <v>808</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84" t="s">
        <v>821</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5" t="s">
        <v>821</v>
      </c>
      <c r="Z26" s="1578" t="str">
        <f t="shared" ref="Z26:Z34" si="15">Q26</f>
        <v>公共部分装修</v>
      </c>
      <c r="AA26" s="1579">
        <f t="shared" si="3"/>
        <v>1</v>
      </c>
      <c r="AB26" s="1579">
        <f t="shared" si="4"/>
        <v>1</v>
      </c>
      <c r="AC26" s="1579">
        <f t="shared" si="5"/>
        <v>1</v>
      </c>
    </row>
    <row r="27" spans="1:29" s="1342" customFormat="1" ht="15">
      <c r="A27" s="606"/>
      <c r="B27" s="530" t="s">
        <v>809</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85"/>
      <c r="Q27" s="1608" t="str">
        <f t="shared" si="11"/>
        <v>成新率</v>
      </c>
      <c r="R27" s="1580" t="s">
        <v>8</v>
      </c>
      <c r="S27" s="1581" t="e">
        <f t="shared" si="12"/>
        <v>#N/A</v>
      </c>
      <c r="T27" s="1580" t="s">
        <v>8</v>
      </c>
      <c r="U27" s="1581" t="e">
        <f t="shared" si="13"/>
        <v>#N/A</v>
      </c>
      <c r="V27" s="1580" t="s">
        <v>8</v>
      </c>
      <c r="W27" s="1581" t="e">
        <f t="shared" si="14"/>
        <v>#N/A</v>
      </c>
      <c r="X27" s="1582"/>
      <c r="Y27" s="3385"/>
      <c r="Z27" s="1583" t="str">
        <f t="shared" si="15"/>
        <v>成新率</v>
      </c>
      <c r="AA27" s="1579" t="e">
        <f t="shared" si="3"/>
        <v>#N/A</v>
      </c>
      <c r="AB27" s="1579" t="e">
        <f t="shared" si="4"/>
        <v>#N/A</v>
      </c>
      <c r="AC27" s="1579" t="e">
        <f t="shared" si="5"/>
        <v>#N/A</v>
      </c>
    </row>
    <row r="28" spans="1:29" ht="15">
      <c r="A28" s="597"/>
      <c r="B28" s="530" t="s">
        <v>810</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85"/>
      <c r="Q28" s="1575" t="str">
        <f t="shared" si="11"/>
        <v>物业等级</v>
      </c>
      <c r="R28" s="1576" t="s">
        <v>8</v>
      </c>
      <c r="S28" s="1577">
        <f t="shared" si="12"/>
        <v>100</v>
      </c>
      <c r="T28" s="1576" t="s">
        <v>8</v>
      </c>
      <c r="U28" s="1577">
        <f t="shared" si="13"/>
        <v>100</v>
      </c>
      <c r="V28" s="1576" t="s">
        <v>8</v>
      </c>
      <c r="W28" s="1577">
        <f t="shared" si="14"/>
        <v>100</v>
      </c>
      <c r="X28" s="1570"/>
      <c r="Y28" s="3385"/>
      <c r="Z28" s="1578" t="str">
        <f t="shared" si="15"/>
        <v>物业等级</v>
      </c>
      <c r="AA28" s="1579">
        <f t="shared" si="3"/>
        <v>1</v>
      </c>
      <c r="AB28" s="1579">
        <f t="shared" si="4"/>
        <v>1</v>
      </c>
      <c r="AC28" s="1579">
        <f t="shared" si="5"/>
        <v>1</v>
      </c>
    </row>
    <row r="29" spans="1:29" ht="15">
      <c r="A29" s="597"/>
      <c r="B29" s="530" t="s">
        <v>822</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85"/>
      <c r="Q29" s="1575" t="str">
        <f t="shared" si="11"/>
        <v>有无电梯</v>
      </c>
      <c r="R29" s="1576" t="s">
        <v>8</v>
      </c>
      <c r="S29" s="1577">
        <f t="shared" si="12"/>
        <v>100</v>
      </c>
      <c r="T29" s="1576" t="s">
        <v>8</v>
      </c>
      <c r="U29" s="1577">
        <f t="shared" si="13"/>
        <v>100</v>
      </c>
      <c r="V29" s="1576" t="s">
        <v>8</v>
      </c>
      <c r="W29" s="1577">
        <f t="shared" si="14"/>
        <v>100</v>
      </c>
      <c r="X29" s="1570"/>
      <c r="Y29" s="3385"/>
      <c r="Z29" s="1578" t="str">
        <f t="shared" si="15"/>
        <v>有无电梯</v>
      </c>
      <c r="AA29" s="1579">
        <f t="shared" si="3"/>
        <v>1</v>
      </c>
      <c r="AB29" s="1579">
        <f t="shared" si="4"/>
        <v>1</v>
      </c>
      <c r="AC29" s="1579">
        <f t="shared" si="5"/>
        <v>1</v>
      </c>
    </row>
    <row r="30" spans="1:29" ht="15">
      <c r="A30" s="597"/>
      <c r="B30" s="530" t="s">
        <v>823</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85"/>
      <c r="Q30" s="1575" t="str">
        <f t="shared" si="11"/>
        <v>建筑面积</v>
      </c>
      <c r="R30" s="1576" t="s">
        <v>8</v>
      </c>
      <c r="S30" s="1577" t="e">
        <f t="shared" si="12"/>
        <v>#N/A</v>
      </c>
      <c r="T30" s="1576" t="s">
        <v>8</v>
      </c>
      <c r="U30" s="1577" t="e">
        <f t="shared" si="13"/>
        <v>#N/A</v>
      </c>
      <c r="V30" s="1576" t="s">
        <v>8</v>
      </c>
      <c r="W30" s="1577" t="e">
        <f t="shared" si="14"/>
        <v>#N/A</v>
      </c>
      <c r="X30" s="1570"/>
      <c r="Y30" s="3385"/>
      <c r="Z30" s="1578" t="str">
        <f t="shared" si="15"/>
        <v>建筑面积</v>
      </c>
      <c r="AA30" s="1579" t="e">
        <f t="shared" si="3"/>
        <v>#N/A</v>
      </c>
      <c r="AB30" s="1579" t="e">
        <f t="shared" si="4"/>
        <v>#N/A</v>
      </c>
      <c r="AC30" s="1579" t="e">
        <f t="shared" si="5"/>
        <v>#N/A</v>
      </c>
    </row>
    <row r="31" spans="1:29" s="1223" customFormat="1" ht="15">
      <c r="A31" s="603"/>
      <c r="B31" s="530" t="s">
        <v>824</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85"/>
      <c r="Q31" s="1154" t="str">
        <f t="shared" si="11"/>
        <v>是否封闭</v>
      </c>
      <c r="R31" s="1571" t="s">
        <v>8</v>
      </c>
      <c r="S31" s="1572">
        <f t="shared" si="12"/>
        <v>100</v>
      </c>
      <c r="T31" s="1571" t="s">
        <v>8</v>
      </c>
      <c r="U31" s="1572">
        <f t="shared" si="13"/>
        <v>100</v>
      </c>
      <c r="V31" s="1571" t="s">
        <v>8</v>
      </c>
      <c r="W31" s="1572">
        <f t="shared" si="14"/>
        <v>100</v>
      </c>
      <c r="X31" s="1573"/>
      <c r="Y31" s="3385"/>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85" t="s">
        <v>551</v>
      </c>
      <c r="Q32" s="1575">
        <f t="shared" si="11"/>
        <v>111</v>
      </c>
      <c r="R32" s="1576" t="s">
        <v>8</v>
      </c>
      <c r="S32" s="1577">
        <f t="shared" si="12"/>
        <v>100</v>
      </c>
      <c r="T32" s="1576" t="s">
        <v>8</v>
      </c>
      <c r="U32" s="1577">
        <f t="shared" si="13"/>
        <v>100</v>
      </c>
      <c r="V32" s="1576" t="s">
        <v>8</v>
      </c>
      <c r="W32" s="1577">
        <f t="shared" si="14"/>
        <v>100</v>
      </c>
      <c r="X32" s="1570"/>
      <c r="Y32" s="3385"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85"/>
      <c r="Q33" s="1575">
        <f t="shared" si="11"/>
        <v>111</v>
      </c>
      <c r="R33" s="1576" t="s">
        <v>8</v>
      </c>
      <c r="S33" s="1577">
        <f t="shared" si="12"/>
        <v>100</v>
      </c>
      <c r="T33" s="1576" t="s">
        <v>8</v>
      </c>
      <c r="U33" s="1577">
        <f t="shared" si="13"/>
        <v>100</v>
      </c>
      <c r="V33" s="1576" t="s">
        <v>8</v>
      </c>
      <c r="W33" s="1577">
        <f t="shared" si="14"/>
        <v>100</v>
      </c>
      <c r="X33" s="1570"/>
      <c r="Y33" s="3385"/>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85"/>
      <c r="Q34" s="1575">
        <f t="shared" si="11"/>
        <v>111</v>
      </c>
      <c r="R34" s="1576" t="s">
        <v>8</v>
      </c>
      <c r="S34" s="1577">
        <f t="shared" si="12"/>
        <v>100</v>
      </c>
      <c r="T34" s="1576" t="s">
        <v>8</v>
      </c>
      <c r="U34" s="1577">
        <f t="shared" si="13"/>
        <v>100</v>
      </c>
      <c r="V34" s="1576" t="s">
        <v>8</v>
      </c>
      <c r="W34" s="1577">
        <f t="shared" si="14"/>
        <v>100</v>
      </c>
      <c r="X34" s="1570"/>
      <c r="Y34" s="3385"/>
      <c r="Z34" s="1578">
        <f t="shared" si="15"/>
        <v>111</v>
      </c>
      <c r="AA34" s="1579">
        <f t="shared" si="3"/>
        <v>1</v>
      </c>
      <c r="AB34" s="1579">
        <f t="shared" si="4"/>
        <v>1</v>
      </c>
      <c r="AC34" s="1579">
        <f t="shared" si="5"/>
        <v>1</v>
      </c>
    </row>
    <row r="35" spans="1:29" ht="15">
      <c r="A35" s="610" t="s">
        <v>736</v>
      </c>
      <c r="B35" s="890"/>
      <c r="C35" s="2655" t="s">
        <v>1</v>
      </c>
      <c r="D35" s="2656"/>
      <c r="E35" s="2657"/>
      <c r="F35" s="2658"/>
      <c r="G35" s="2659"/>
      <c r="H35" s="2660"/>
      <c r="I35" s="2657"/>
      <c r="J35" s="2660"/>
      <c r="K35" s="1614"/>
      <c r="L35" s="2148"/>
      <c r="M35" s="2149"/>
      <c r="N35" s="2138"/>
      <c r="O35" s="2149"/>
      <c r="P35" s="3380" t="str">
        <f>A35</f>
        <v>成交单价（元/平方米）</v>
      </c>
      <c r="Q35" s="3380"/>
      <c r="R35" s="3441">
        <f>E35</f>
        <v>0</v>
      </c>
      <c r="S35" s="3441"/>
      <c r="T35" s="3441">
        <f>G35</f>
        <v>0</v>
      </c>
      <c r="U35" s="3441"/>
      <c r="V35" s="3441">
        <f>I35</f>
        <v>0</v>
      </c>
      <c r="W35" s="3441"/>
      <c r="X35" s="1562"/>
      <c r="Y35" s="1584"/>
      <c r="Z35" s="1562"/>
      <c r="AA35" s="1562"/>
      <c r="AB35" s="1562"/>
      <c r="AC35" s="1562"/>
    </row>
    <row r="36" spans="1:29" ht="15.75" thickBot="1">
      <c r="A36" s="618" t="s">
        <v>2768</v>
      </c>
      <c r="B36" s="891"/>
      <c r="C36" s="2661" t="e">
        <f>R37</f>
        <v>#DIV/0!</v>
      </c>
      <c r="D36" s="2662"/>
      <c r="E36" s="2663" t="e">
        <f>R36</f>
        <v>#DIV/0!</v>
      </c>
      <c r="F36" s="2663"/>
      <c r="G36" s="2661" t="e">
        <f>T36</f>
        <v>#DIV/0!</v>
      </c>
      <c r="H36" s="2662"/>
      <c r="I36" s="2663" t="e">
        <f>V36</f>
        <v>#DIV/0!</v>
      </c>
      <c r="J36" s="2662"/>
      <c r="K36" s="1615"/>
      <c r="L36" s="2148"/>
      <c r="M36" s="2149"/>
      <c r="N36" s="2138"/>
      <c r="O36" s="2149"/>
      <c r="P36" s="3380" t="str">
        <f>A36</f>
        <v>比较价格（元/平方米）</v>
      </c>
      <c r="Q36" s="338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562"/>
      <c r="Y36" s="1562"/>
      <c r="Z36" s="1562"/>
      <c r="AA36" s="1562"/>
      <c r="AB36" s="1562"/>
      <c r="AC36" s="1562"/>
    </row>
    <row r="37" spans="1:29" ht="15.75" thickBot="1">
      <c r="A37" s="624" t="s">
        <v>2939</v>
      </c>
      <c r="B37" s="625"/>
      <c r="C37" s="2664" t="e">
        <f>R37</f>
        <v>#DIV/0!</v>
      </c>
      <c r="D37" s="2664"/>
      <c r="E37" s="2664"/>
      <c r="F37" s="2664"/>
      <c r="G37" s="2664"/>
      <c r="H37" s="2664"/>
      <c r="I37" s="2664"/>
      <c r="J37" s="2664"/>
      <c r="K37" s="1616"/>
      <c r="L37" s="2148"/>
      <c r="M37" s="2149"/>
      <c r="N37" s="2149"/>
      <c r="O37" s="2149"/>
      <c r="P37" s="3402" t="str">
        <f>A37</f>
        <v>估价对象XX用房的比较价格（楼面单价，元/平方米）</v>
      </c>
      <c r="Q37" s="3403"/>
      <c r="R37" s="3442" t="e">
        <f>IF(F1="售价",ROUND(AVERAGE(R36:V36),0),ROUND(AVERAGE(R36:V36),1))</f>
        <v>#DIV/0!</v>
      </c>
      <c r="S37" s="3442"/>
      <c r="T37" s="3442"/>
      <c r="U37" s="3442"/>
      <c r="V37" s="3442"/>
      <c r="W37" s="3442"/>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50" customFormat="1" ht="15">
      <c r="A46" s="648" t="s">
        <v>530</v>
      </c>
      <c r="B46" s="649"/>
      <c r="C46" s="2832" t="str">
        <f>YEAR(C7)&amp;"-"&amp;MONTH(C7)</f>
        <v>2017-11</v>
      </c>
      <c r="D46" s="2834">
        <f>EDATE(C46,-1)</f>
        <v>43009</v>
      </c>
      <c r="E46" s="2834">
        <f t="shared" ref="E46:O46" si="16">EDATE(D46,-1)</f>
        <v>42979</v>
      </c>
      <c r="F46" s="2834">
        <f t="shared" si="16"/>
        <v>42948</v>
      </c>
      <c r="G46" s="2834">
        <f t="shared" si="16"/>
        <v>42917</v>
      </c>
      <c r="H46" s="2834">
        <f t="shared" si="16"/>
        <v>42887</v>
      </c>
      <c r="I46" s="2834">
        <f t="shared" si="16"/>
        <v>42856</v>
      </c>
      <c r="J46" s="2834">
        <f t="shared" si="16"/>
        <v>42826</v>
      </c>
      <c r="K46" s="2834">
        <f t="shared" si="16"/>
        <v>42795</v>
      </c>
      <c r="L46" s="2834">
        <f t="shared" si="16"/>
        <v>42767</v>
      </c>
      <c r="M46" s="2834">
        <f t="shared" si="16"/>
        <v>42736</v>
      </c>
      <c r="N46" s="2834">
        <f t="shared" si="16"/>
        <v>42705</v>
      </c>
      <c r="O46" s="2834">
        <f t="shared" si="16"/>
        <v>42675</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737</v>
      </c>
      <c r="D53" s="677" t="s">
        <v>738</v>
      </c>
      <c r="E53" s="677" t="s">
        <v>739</v>
      </c>
      <c r="F53" s="677" t="s">
        <v>740</v>
      </c>
      <c r="G53" s="677" t="s">
        <v>741</v>
      </c>
      <c r="H53" s="677" t="s">
        <v>742</v>
      </c>
      <c r="I53" s="677" t="s">
        <v>743</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2564</v>
      </c>
      <c r="C65" s="2626" t="s">
        <v>2565</v>
      </c>
      <c r="D65" s="2626" t="s">
        <v>2566</v>
      </c>
      <c r="E65" s="2626" t="s">
        <v>2567</v>
      </c>
      <c r="F65" s="2626" t="s">
        <v>2568</v>
      </c>
      <c r="G65" s="2626" t="s">
        <v>2569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744</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751</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816</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817</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825</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826</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827</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和记黄埔地产（北京朝阳）有限公司：</v>
      </c>
    </row>
    <row r="4" spans="1:4" ht="37.5">
      <c r="A4" s="1795" t="str">
        <f>"受贵公司委托，我公司对"&amp;项目基本情况!K2&amp;项目基本情况!B9&amp;"进行了预评估。"</f>
        <v>受贵公司委托，我公司对北京市出让国有建设用地使用权抵押价格进行了预评估。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97801.4平方米。根据《建设工程规划许可证》[]、《出让合同》[]，估价对象规划建筑面积为300788.66平方米。</v>
      </c>
    </row>
    <row r="7" spans="1:4" ht="93.75">
      <c r="A7" s="2903" t="s">
        <v>2756</v>
      </c>
    </row>
    <row r="8" spans="1:4" ht="18.75">
      <c r="A8" s="1798" t="s">
        <v>1907</v>
      </c>
    </row>
    <row r="9" spans="1:4" ht="75">
      <c r="A9" s="1800" t="str">
        <f>IF(项目基本情况!B8="抵押",IF(项目基本情况!B5=项目基本情况!B6,定义!C51,定义!B51),定义!D51)</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2029</v>
      </c>
    </row>
    <row r="11" spans="1:4" ht="18.75">
      <c r="A11" s="1784" t="str">
        <f>TEXT(项目基本情况!D3,"yyyy年m月d日;;")&amp;IF(项目基本情况!B3=项目基本情况!D3,"（评估专业人员勘察现场之日）","")</f>
        <v>2017年11月8日（评估专业人员勘察现场之日）</v>
      </c>
    </row>
    <row r="12" spans="1:4" ht="18.75">
      <c r="A12" s="1801" t="s">
        <v>2028</v>
      </c>
    </row>
    <row r="13" spans="1:4" ht="18.75">
      <c r="A13" s="1795" t="s">
        <v>2074</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2076</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根据《国有土地使用证》[]，估价对象（分摊）出让国有建设用地使用权面积为97801.4平方米。根据《建设工程规划许可证》[]、《出让合同》[]，估价对象规划建筑面积为300788.66平方米。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2077</v>
      </c>
    </row>
    <row r="23" spans="1:1" ht="18.75">
      <c r="A23" s="2905" t="s">
        <v>2757</v>
      </c>
    </row>
    <row r="24" spans="1:1" ht="18.75">
      <c r="A24" s="1795" t="s">
        <v>2078</v>
      </c>
    </row>
    <row r="25" spans="1:1" ht="75">
      <c r="A25" s="1795"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8" t="s">
        <v>2306</v>
      </c>
      <c r="C1" s="3478" t="s">
        <v>2307</v>
      </c>
      <c r="D1" s="3479"/>
      <c r="E1" s="3479"/>
      <c r="F1" s="3479"/>
      <c r="G1" s="3479"/>
      <c r="H1" s="3479"/>
      <c r="I1" s="3479"/>
      <c r="J1" s="3479"/>
      <c r="K1" s="3479"/>
      <c r="L1" s="3479"/>
      <c r="M1" s="3479"/>
      <c r="N1" s="3479"/>
      <c r="O1" s="3479"/>
      <c r="P1" s="3479"/>
      <c r="Q1" s="3479"/>
      <c r="R1" s="3479"/>
      <c r="S1" s="3480"/>
      <c r="T1" s="2238" t="s">
        <v>2308</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2309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6" t="s">
        <v>2932</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18" t="s">
        <v>2931</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18" t="s">
        <v>2930</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17"/>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6" t="s">
        <v>2944</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6" t="s">
        <v>2929</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6" t="s">
        <v>2928</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2310</v>
      </c>
      <c r="B17" s="2282" t="s">
        <v>2311</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828</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829</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830</v>
      </c>
      <c r="B22" s="53">
        <f>SUM(B24:B10000)</f>
        <v>0</v>
      </c>
      <c r="C22" s="3475" t="s">
        <v>20</v>
      </c>
      <c r="D22" s="3476"/>
      <c r="E22" s="3476"/>
      <c r="F22" s="3476"/>
      <c r="G22" s="3476"/>
      <c r="H22" s="3476"/>
      <c r="I22" s="3476"/>
      <c r="J22" s="3476"/>
      <c r="K22" s="3476"/>
      <c r="L22" s="3476"/>
      <c r="M22" s="3476"/>
      <c r="N22" s="3476"/>
      <c r="O22" s="3476"/>
      <c r="P22" s="3476"/>
      <c r="Q22" s="3477"/>
      <c r="R22" s="493" t="e">
        <f>ROUND(S22*10000/B22,0)</f>
        <v>#DIV/0!</v>
      </c>
      <c r="S22" s="53">
        <f>SUM(S24:S10000)</f>
        <v>0</v>
      </c>
    </row>
    <row r="23" spans="1:45" s="161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4" t="s">
        <v>834</v>
      </c>
      <c r="S23" s="17" t="s">
        <v>835</v>
      </c>
      <c r="T23" s="18"/>
      <c r="U23" s="18"/>
      <c r="V23" s="18"/>
      <c r="W23" s="18"/>
      <c r="X23" s="18"/>
      <c r="Y23" s="18"/>
      <c r="Z23" s="18"/>
      <c r="AA23" s="18"/>
      <c r="AB23" s="18"/>
      <c r="AC23" s="18"/>
      <c r="AD23" s="18"/>
      <c r="AE23" s="18"/>
      <c r="AF23" s="18"/>
      <c r="AG23" s="18"/>
      <c r="AH23" s="18"/>
      <c r="AI23" s="18"/>
    </row>
    <row r="24" spans="1:45" s="1618" customFormat="1">
      <c r="A24" s="964" t="s">
        <v>836</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2795</v>
      </c>
      <c r="C1" s="3033">
        <f>项目基本情况!D3</f>
        <v>43047</v>
      </c>
      <c r="H1" s="2967">
        <f>IF(C1&gt;C13,0,MATCH(C1,C$13:C$100,-1))+IF(SUMIF(C13:C100,C1,D13:D100)=0,13,12)</f>
        <v>13</v>
      </c>
      <c r="I1" s="2967">
        <f ca="1">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2826</v>
      </c>
      <c r="C2" s="3034">
        <f>'数据-取费表'!B22</f>
        <v>3</v>
      </c>
      <c r="D2" s="3029" t="s">
        <v>2796</v>
      </c>
      <c r="E2" s="3032">
        <f ca="1">INDIRECT("I"&amp;$I$1)/100</f>
        <v>4.7500000000000001E-2</v>
      </c>
      <c r="G2" s="2969"/>
      <c r="H2" s="2969"/>
      <c r="I2" s="2969" t="s">
        <v>2797</v>
      </c>
      <c r="K2" s="2969"/>
      <c r="L2" s="2969"/>
      <c r="M2" s="2969"/>
      <c r="N2" s="2969" t="s">
        <v>2798</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2828</v>
      </c>
      <c r="C3" s="3031">
        <f>'数据-取费表'!B19</f>
        <v>0</v>
      </c>
      <c r="D3" s="3029" t="s">
        <v>2796</v>
      </c>
      <c r="E3" s="3032">
        <f ca="1">INDIRECT("J"&amp;$J$1)/100</f>
        <v>0</v>
      </c>
      <c r="G3" s="2971" t="s">
        <v>2799</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2827</v>
      </c>
      <c r="C4" s="3032">
        <f ca="1">N4/100</f>
        <v>1.4999999999999999E-2</v>
      </c>
      <c r="G4" s="2977" t="s">
        <v>2800</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2801</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2802</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2803</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2804</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2805</v>
      </c>
      <c r="C10" s="2996"/>
      <c r="D10" s="2996"/>
      <c r="E10" s="2996"/>
      <c r="F10" s="2996"/>
      <c r="G10" s="2996"/>
      <c r="H10" s="2996"/>
      <c r="I10" s="2970"/>
      <c r="J10" s="2970"/>
      <c r="K10" s="2996"/>
      <c r="L10" s="2997" t="s">
        <v>2806</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2807</v>
      </c>
      <c r="C11" s="3001" t="s">
        <v>2808</v>
      </c>
      <c r="D11" s="3002" t="s">
        <v>2809</v>
      </c>
      <c r="E11" s="3003"/>
      <c r="F11" s="3002" t="s">
        <v>2810</v>
      </c>
      <c r="G11" s="3004"/>
      <c r="H11" s="3003"/>
      <c r="I11" s="3002" t="s">
        <v>2811</v>
      </c>
      <c r="J11" s="3003"/>
      <c r="K11" s="2999"/>
      <c r="L11" s="3000" t="s">
        <v>2807</v>
      </c>
      <c r="M11" s="3001" t="s">
        <v>2808</v>
      </c>
      <c r="N11" s="3000" t="s">
        <v>2812</v>
      </c>
      <c r="O11" s="3002" t="s">
        <v>2813</v>
      </c>
      <c r="P11" s="3004"/>
      <c r="Q11" s="3004"/>
      <c r="R11" s="3004"/>
      <c r="S11" s="3004"/>
      <c r="T11" s="3003"/>
      <c r="U11" s="3002" t="s">
        <v>2814</v>
      </c>
      <c r="V11" s="3004"/>
      <c r="W11" s="3003"/>
      <c r="X11" s="3000" t="s">
        <v>2815</v>
      </c>
      <c r="Y11" s="3000" t="s">
        <v>2816</v>
      </c>
      <c r="Z11" s="3000" t="s">
        <v>2817</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2818</v>
      </c>
      <c r="E12" s="3009" t="s">
        <v>2819</v>
      </c>
      <c r="F12" s="3009" t="s">
        <v>2820</v>
      </c>
      <c r="G12" s="3009" t="s">
        <v>2821</v>
      </c>
      <c r="H12" s="3009" t="s">
        <v>2803</v>
      </c>
      <c r="I12" s="3010" t="s">
        <v>2822</v>
      </c>
      <c r="J12" s="3010" t="s">
        <v>2822</v>
      </c>
      <c r="K12" s="3006"/>
      <c r="L12" s="3007"/>
      <c r="M12" s="3008"/>
      <c r="N12" s="3007"/>
      <c r="O12" s="3010" t="s">
        <v>2823</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2824</v>
      </c>
      <c r="C13" s="3014">
        <v>42301</v>
      </c>
      <c r="D13" s="3015">
        <v>4.3499999999999996</v>
      </c>
      <c r="E13" s="3015">
        <v>4.3499999999999996</v>
      </c>
      <c r="F13" s="3015">
        <v>4.75</v>
      </c>
      <c r="G13" s="3015">
        <v>4.75</v>
      </c>
      <c r="H13" s="3015">
        <v>4.9000000000000004</v>
      </c>
      <c r="I13" s="3015">
        <v>2.75</v>
      </c>
      <c r="J13" s="3015">
        <v>3.25</v>
      </c>
      <c r="K13" s="3012"/>
      <c r="L13" s="3013" t="s">
        <v>2824</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2825</v>
      </c>
      <c r="Y42" s="3019" t="s">
        <v>2825</v>
      </c>
      <c r="Z42" s="3019" t="s">
        <v>2825</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2825</v>
      </c>
      <c r="Y43" s="3019" t="s">
        <v>2825</v>
      </c>
      <c r="Z43" s="3019" t="s">
        <v>2825</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2825</v>
      </c>
      <c r="Y44" s="3019" t="s">
        <v>2825</v>
      </c>
      <c r="Z44" s="3019" t="s">
        <v>2825</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2825</v>
      </c>
      <c r="Y45" s="3019" t="s">
        <v>2825</v>
      </c>
      <c r="Z45" s="3019" t="s">
        <v>2825</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2825</v>
      </c>
      <c r="Y46" s="3019" t="s">
        <v>2825</v>
      </c>
      <c r="Z46" s="3019" t="s">
        <v>2825</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2825</v>
      </c>
      <c r="Y47" s="3019" t="s">
        <v>2825</v>
      </c>
      <c r="Z47" s="3019" t="s">
        <v>2825</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2825</v>
      </c>
      <c r="Y48" s="3019" t="s">
        <v>2825</v>
      </c>
      <c r="Z48" s="3019" t="s">
        <v>2825</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2825</v>
      </c>
      <c r="Y49" s="3019" t="s">
        <v>2825</v>
      </c>
      <c r="Z49" s="3019" t="s">
        <v>2825</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2825</v>
      </c>
      <c r="Y50" s="3019" t="s">
        <v>2825</v>
      </c>
      <c r="Z50" s="3019" t="s">
        <v>2825</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2825</v>
      </c>
      <c r="V51" s="3019" t="s">
        <v>2825</v>
      </c>
      <c r="W51" s="3019" t="s">
        <v>2825</v>
      </c>
      <c r="X51" s="3019" t="s">
        <v>2825</v>
      </c>
      <c r="Y51" s="3019" t="s">
        <v>2825</v>
      </c>
      <c r="Z51" s="3019" t="s">
        <v>2825</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2825</v>
      </c>
      <c r="J55" s="3019" t="s">
        <v>2825</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1" sqref="G41"/>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1695</v>
      </c>
      <c r="B1" s="1403"/>
      <c r="C1" s="1409" t="s">
        <v>2430</v>
      </c>
      <c r="D1" s="1524">
        <f>SUM(D29:D30,D33:D39)</f>
        <v>0</v>
      </c>
      <c r="E1" s="1409" t="s">
        <v>2431</v>
      </c>
      <c r="F1" s="2480"/>
      <c r="G1" s="1404"/>
      <c r="H1" s="1404"/>
      <c r="I1" s="1404"/>
      <c r="J1" s="1404"/>
      <c r="K1" s="1404"/>
      <c r="L1" s="1886" t="s">
        <v>2241</v>
      </c>
      <c r="M1" s="1887">
        <f>SUMPRODUCT((区片价!B5:B9=I2)*(区片价!C3:F3=E2)*(区片价!C5:F9))</f>
        <v>0</v>
      </c>
      <c r="N1" s="1888">
        <f>SUMPRODUCT((因素修正幅度!B5:B9=I2)*(因素修正幅度!C3:F3=E2)*(因素修正幅度!C5:F9))</f>
        <v>0</v>
      </c>
      <c r="O1" s="2193"/>
      <c r="P1" s="2193"/>
      <c r="Q1" s="2193"/>
      <c r="R1" s="2965" t="s">
        <v>2769</v>
      </c>
      <c r="S1" s="2965" t="s">
        <v>2770</v>
      </c>
      <c r="T1" s="2965" t="s">
        <v>2791</v>
      </c>
      <c r="U1" s="2965" t="s">
        <v>2792</v>
      </c>
      <c r="V1" s="2965" t="s">
        <v>2793</v>
      </c>
      <c r="W1" s="2193"/>
      <c r="X1" s="2193"/>
      <c r="Y1" s="2193"/>
      <c r="Z1" s="2193"/>
      <c r="AA1" s="2193"/>
      <c r="AB1" s="2193"/>
      <c r="AC1" s="2194"/>
    </row>
    <row r="2" spans="1:39" ht="15.75">
      <c r="A2" s="1409" t="s">
        <v>920</v>
      </c>
      <c r="B2" s="1041">
        <f ca="1">C26</f>
        <v>0</v>
      </c>
      <c r="C2" s="1410" t="s">
        <v>921</v>
      </c>
      <c r="D2" s="1411" t="s">
        <v>922</v>
      </c>
      <c r="E2" s="1412" t="s">
        <v>923</v>
      </c>
      <c r="F2" s="1411" t="s">
        <v>924</v>
      </c>
      <c r="G2" s="1655" t="str">
        <f>IF(E2="商业",项目基本情况!B43,IF(E2="办公",项目基本情况!C43,IF(E2="住宅",项目基本情况!D43,项目基本情况!E43)))</f>
        <v>五级</v>
      </c>
      <c r="H2" s="1411" t="s">
        <v>926</v>
      </c>
      <c r="I2" s="1656" t="str">
        <f>IF(E2="商业",项目基本情况!B44,IF(E2="办公",项目基本情况!C44,IF(E2="住宅",项目基本情况!D44,项目基本情况!E44)))</f>
        <v>Ⅴ-21</v>
      </c>
      <c r="J2" s="1413"/>
      <c r="K2" s="1404"/>
      <c r="L2" s="1889" t="s">
        <v>2242</v>
      </c>
      <c r="M2" s="1890">
        <f>SUMPRODUCT((区片价!B10:B28=I2)*(区片价!C3:F3=E2)*(区片价!C10:F28))</f>
        <v>0</v>
      </c>
      <c r="N2" s="1891">
        <f>SUMPRODUCT((因素修正幅度!B10:B28=I2)*(因素修正幅度!C3:F3=E2)*(因素修正幅度!C10:F28))</f>
        <v>0</v>
      </c>
      <c r="O2" s="2193"/>
      <c r="P2" s="2193"/>
      <c r="Q2" s="2193"/>
      <c r="R2" s="2966">
        <v>1</v>
      </c>
      <c r="S2" s="2966">
        <f>ROUND(IF(G3&gt;1,IF(R2&lt;7,SUMPRODUCT((B93:B98=R2)*(C92:N92=G2)*(C93:N98)),SUMIF(C92:N92,G2,C100:N100)),IF(R2&lt;7,SUMPRODUCT((B102:B107=R2)*(C92:N92=G2)*(C102:N107)),SUMIF(C92:N92,G2,C109:N109))),4)</f>
        <v>1.8629</v>
      </c>
      <c r="T2" s="2966">
        <f ca="1">ROUND($C$5*$C$18*$C$19*$C$20*S2*$C$24,0)</f>
        <v>35479</v>
      </c>
      <c r="U2" s="2955"/>
      <c r="V2" s="2966">
        <f ca="1">ROUND(T2*U2/10000,0)</f>
        <v>0</v>
      </c>
      <c r="W2" s="2193"/>
      <c r="X2" s="2193"/>
      <c r="Y2" s="2193"/>
      <c r="Z2" s="2193"/>
      <c r="AA2" s="2193"/>
      <c r="AB2" s="2193"/>
      <c r="AC2" s="2194"/>
    </row>
    <row r="3" spans="1:39" ht="24">
      <c r="A3" s="1414" t="s">
        <v>1688</v>
      </c>
      <c r="B3" s="1041" t="e">
        <f ca="1">ROUND(B2*10000/D1,0)</f>
        <v>#DIV/0!</v>
      </c>
      <c r="C3" s="1410" t="s">
        <v>927</v>
      </c>
      <c r="D3" s="1411" t="s">
        <v>928</v>
      </c>
      <c r="E3" s="1415" t="s">
        <v>3171</v>
      </c>
      <c r="F3" s="1416" t="s">
        <v>2940</v>
      </c>
      <c r="G3" s="1042">
        <f>IF(F3="宗地容积率",'数据-汇总表'!I4,IF(F3="估价对象容积率",'数据-汇总表'!I6,'数据-汇总表'!I7))</f>
        <v>2.42</v>
      </c>
      <c r="H3" s="1417" t="s">
        <v>929</v>
      </c>
      <c r="I3" s="1043"/>
      <c r="J3" s="1413" t="s">
        <v>930</v>
      </c>
      <c r="K3" s="1404"/>
      <c r="L3" s="1889" t="s">
        <v>2243</v>
      </c>
      <c r="M3" s="1890">
        <f>SUMPRODUCT((区片价!B29:B48=I2)*(区片价!C3:F3=E2)*(区片价!C29:F48))</f>
        <v>0</v>
      </c>
      <c r="N3" s="1891">
        <f>SUMPRODUCT((因素修正幅度!B29:B48=I2)*(因素修正幅度!C3:F3=E2)*(因素修正幅度!C29:F48))</f>
        <v>0</v>
      </c>
      <c r="O3" s="2193"/>
      <c r="P3" s="2193"/>
      <c r="Q3" s="2193"/>
      <c r="R3" s="2966">
        <v>2</v>
      </c>
      <c r="S3" s="2966">
        <f>ROUND(IF(G3&gt;1,IF(R3&lt;7,SUMPRODUCT((B93:B98=R3)*(C92:N92=G2)*(C93:N98)),SUMIF(C92:N92,G2,C100:N100)),IF(R3&lt;7,SUMPRODUCT((B102:B107=R3)*(C92:N92=G2)*(C102:N107)),SUMIF(C92:N92,G2,C109:N109))),4)</f>
        <v>1.3371999999999999</v>
      </c>
      <c r="T3" s="2966">
        <f t="shared" ref="T3:T16" ca="1" si="0">ROUND($C$5*$C$18*$C$19*$C$20*S3*$C$24,0)</f>
        <v>25467</v>
      </c>
      <c r="U3" s="2955"/>
      <c r="V3" s="2966">
        <f t="shared" ref="V3:V16" ca="1" si="1">ROUND(T3*U3/10000,0)</f>
        <v>0</v>
      </c>
      <c r="W3" s="2193"/>
      <c r="X3" s="2193"/>
      <c r="Y3" s="2193"/>
      <c r="Z3" s="2193"/>
      <c r="AA3" s="2193"/>
      <c r="AB3" s="2193"/>
      <c r="AC3" s="2194"/>
    </row>
    <row r="4" spans="1:39" ht="28.5">
      <c r="A4" s="1895" t="s">
        <v>2283</v>
      </c>
      <c r="B4" s="2481" t="e">
        <f ca="1">ROUND(B2*10000/F1,0)</f>
        <v>#DIV/0!</v>
      </c>
      <c r="C4" s="1898" t="s">
        <v>2257</v>
      </c>
      <c r="D4" s="1898" t="e">
        <f ca="1">ROUND(B2/(F1/666.67),0)</f>
        <v>#DIV/0!</v>
      </c>
      <c r="E4" s="1898" t="s">
        <v>2258</v>
      </c>
      <c r="F4" s="1896"/>
      <c r="G4" s="1896"/>
      <c r="H4" s="1896"/>
      <c r="I4" s="1896"/>
      <c r="J4" s="1897"/>
      <c r="K4" s="1404"/>
      <c r="L4" s="1889" t="s">
        <v>2244</v>
      </c>
      <c r="M4" s="1890">
        <f>SUMPRODUCT((区片价!B49:B75=I2)*(区片价!C3:F3=E2)*(区片价!C49:F75))</f>
        <v>0</v>
      </c>
      <c r="N4" s="1891">
        <f>SUMPRODUCT((因素修正幅度!B49:B75=I2)*(因素修正幅度!C3:F3=E2)*(因素修正幅度!C49:F75))</f>
        <v>0</v>
      </c>
      <c r="O4" s="2193"/>
      <c r="P4" s="2193"/>
      <c r="Q4" s="2193"/>
      <c r="R4" s="2966">
        <v>3</v>
      </c>
      <c r="S4" s="2966">
        <f>ROUND(IF(G3&gt;1,IF(R4&lt;7,SUMPRODUCT((B93:B98=R4)*(C92:N92=G2)*(C93:N98)),SUMIF(C92:N92,G2,C100:N100)),IF(R4&lt;7,SUMPRODUCT((B102:B107=R4)*(C92:N92=G2)*(C102:N107)),SUMIF(C92:N92,G2,C109:N109))),4)</f>
        <v>1.0788</v>
      </c>
      <c r="T4" s="2966">
        <f t="shared" ca="1" si="0"/>
        <v>20546</v>
      </c>
      <c r="U4" s="2955"/>
      <c r="V4" s="2966">
        <f t="shared" ca="1" si="1"/>
        <v>0</v>
      </c>
      <c r="W4" s="2193"/>
      <c r="X4" s="2193"/>
      <c r="Y4" s="2193"/>
      <c r="Z4" s="2193"/>
      <c r="AA4" s="2193"/>
      <c r="AB4" s="2193"/>
      <c r="AC4" s="2194"/>
    </row>
    <row r="5" spans="1:39" s="1424" customFormat="1" ht="15.75" thickBot="1">
      <c r="A5" s="1641" t="s">
        <v>1824</v>
      </c>
      <c r="B5" s="1418" t="s">
        <v>931</v>
      </c>
      <c r="C5" s="1044">
        <f>ROUND(IF(E2="商业",IF(F16="增加",C6*C7+C16,C6*C7-C16),IF(E2="住宅",IF(F16="增加",C6*C12+C16,C6*C12-C16),IF(F16="增加",C6+C16,C6-C16))),0)</f>
        <v>12880</v>
      </c>
      <c r="D5" s="3151">
        <f>ROUND(IF(E2="商业",IF(F16="增加",C6+C16,C6-C16)),0)</f>
        <v>0</v>
      </c>
      <c r="E5" s="1419"/>
      <c r="F5" s="1419"/>
      <c r="G5" s="1420"/>
      <c r="H5" s="1420"/>
      <c r="I5" s="1420"/>
      <c r="J5" s="1421"/>
      <c r="K5" s="1597"/>
      <c r="L5" s="1889" t="s">
        <v>2245</v>
      </c>
      <c r="M5" s="1890">
        <f>SUMPRODUCT((区片价!B76:B109=I2)*(区片价!C3:F3=E2)*(区片价!C76:F109))</f>
        <v>12900</v>
      </c>
      <c r="N5" s="1891">
        <f>SUMPRODUCT((因素修正幅度!B76:B109=I2)*(因素修正幅度!C3:F3=E2)*(因素修正幅度!C76:F109))</f>
        <v>9.9000000000000005E-2</v>
      </c>
      <c r="O5" s="2193"/>
      <c r="P5" s="2193"/>
      <c r="Q5" s="2193"/>
      <c r="R5" s="2966">
        <v>4</v>
      </c>
      <c r="S5" s="2966">
        <f>ROUND(IF(G3&gt;1,IF(R5&lt;7,SUMPRODUCT((B93:B98=R5)*(C92:N92=G2)*(C93:N98)),SUMIF(C92:N92,G2,C100:N100)),IF(R5&lt;7,SUMPRODUCT((B102:B107=R5)*(C92:N92=G2)*(C102:N107)),SUMIF(C92:N92,G2,C109:N109))),4)</f>
        <v>0.86560000000000004</v>
      </c>
      <c r="T5" s="2966">
        <f t="shared" ca="1" si="0"/>
        <v>16485</v>
      </c>
      <c r="U5" s="2955"/>
      <c r="V5" s="2966">
        <f t="shared" ca="1" si="1"/>
        <v>0</v>
      </c>
      <c r="W5" s="2193"/>
      <c r="X5" s="2193"/>
      <c r="Y5" s="2193"/>
      <c r="Z5" s="2193"/>
      <c r="AA5" s="2193"/>
      <c r="AB5" s="2193"/>
      <c r="AC5" s="2195"/>
      <c r="AD5" s="1422"/>
      <c r="AE5" s="1422"/>
      <c r="AF5" s="1422"/>
      <c r="AG5" s="1422"/>
      <c r="AH5" s="1422"/>
      <c r="AI5" s="1422"/>
      <c r="AJ5" s="1423"/>
      <c r="AK5" s="1423"/>
      <c r="AL5" s="1423"/>
      <c r="AM5" s="1423"/>
    </row>
    <row r="6" spans="1:39" ht="15.75" thickBot="1">
      <c r="A6" s="1642" t="s">
        <v>1871</v>
      </c>
      <c r="B6" s="1425" t="s">
        <v>931</v>
      </c>
      <c r="C6" s="1045">
        <f>SUMIF(L1:L12,基准地价!G2,M1:M12)</f>
        <v>12900</v>
      </c>
      <c r="D6" s="1426" t="s">
        <v>1696</v>
      </c>
      <c r="E6" s="1427"/>
      <c r="F6" s="1427"/>
      <c r="G6" s="1428"/>
      <c r="H6" s="1428"/>
      <c r="I6" s="1428"/>
      <c r="J6" s="1429"/>
      <c r="K6" s="1598"/>
      <c r="L6" s="1889" t="s">
        <v>2246</v>
      </c>
      <c r="M6" s="1890">
        <f>SUMPRODUCT((区片价!B110:B157=I2)*(区片价!C3:F3=E2)*(区片价!C110:F157))</f>
        <v>0</v>
      </c>
      <c r="N6" s="1891">
        <f>SUMPRODUCT((因素修正幅度!B110:B157=I2)*(因素修正幅度!C3:F3=E2)*(因素修正幅度!C110:F157))</f>
        <v>0</v>
      </c>
      <c r="O6" s="2193"/>
      <c r="P6" s="2193"/>
      <c r="Q6" s="2193"/>
      <c r="R6" s="2966">
        <v>5</v>
      </c>
      <c r="S6" s="2966">
        <f>ROUND(IF(G3&gt;1,IF(R6&lt;7,SUMPRODUCT((B93:B98=R6)*(C92:N92=G2)*(C93:N98)),SUMIF(C92:N92,G2,C100:N100)),IF(R6&lt;7,SUMPRODUCT((B102:B107=R6)*(C92:N92=G2)*(C102:N107)),SUMIF(C92:N92,G2,C109:N109))),4)</f>
        <v>0.73709999999999998</v>
      </c>
      <c r="T6" s="2966">
        <f t="shared" ca="1" si="0"/>
        <v>14038</v>
      </c>
      <c r="U6" s="2955"/>
      <c r="V6" s="2966">
        <f t="shared" ca="1" si="1"/>
        <v>0</v>
      </c>
      <c r="W6" s="2193"/>
      <c r="X6" s="2193"/>
      <c r="Y6" s="2193"/>
      <c r="Z6" s="2193"/>
      <c r="AA6" s="2193"/>
      <c r="AB6" s="2193"/>
      <c r="AC6" s="2195"/>
      <c r="AD6" s="1422"/>
      <c r="AE6" s="1422"/>
      <c r="AF6" s="1422"/>
      <c r="AG6" s="1422"/>
      <c r="AH6" s="1422"/>
      <c r="AI6" s="1422"/>
      <c r="AJ6" s="1423"/>
    </row>
    <row r="7" spans="1:39" ht="24">
      <c r="A7" s="3482" t="str">
        <f>IF(E2="商业",IF(C8="不临58条商业街","",2),"")</f>
        <v/>
      </c>
      <c r="B7" s="1430" t="s">
        <v>932</v>
      </c>
      <c r="C7" s="1046">
        <f>IF(C8="不临58条商业街",1,ROUND(1+(1.6*E8+1.2*E9+0.8*E10+0.4*E11)*C9,4))</f>
        <v>1</v>
      </c>
      <c r="D7" s="1431" t="s">
        <v>933</v>
      </c>
      <c r="E7" s="1047"/>
      <c r="F7" s="1432"/>
      <c r="G7" s="1433"/>
      <c r="H7" s="1433"/>
      <c r="I7" s="1433"/>
      <c r="J7" s="1434"/>
      <c r="K7" s="1598"/>
      <c r="L7" s="1889" t="s">
        <v>2247</v>
      </c>
      <c r="M7" s="1890">
        <f>SUMPRODUCT((区片价!B158:B205=I2)*(区片价!C3:F3=E2)*(区片价!C158:F205))</f>
        <v>0</v>
      </c>
      <c r="N7" s="1891">
        <f>SUMPRODUCT((因素修正幅度!B158:B205=I2)*(因素修正幅度!C3:F3=E2)*(因素修正幅度!C158:F205))</f>
        <v>0</v>
      </c>
      <c r="O7" s="2193"/>
      <c r="P7" s="2193"/>
      <c r="Q7" s="2193"/>
      <c r="R7" s="2966">
        <v>6</v>
      </c>
      <c r="S7" s="2966">
        <f>ROUND(IF(G3&gt;1,IF(R7&lt;7,SUMPRODUCT((B93:B98=R7)*(C92:N92=G2)*(C93:N98)),SUMIF(C92:N92,G2,C100:N100)),IF(R7&lt;7,SUMPRODUCT((B102:B107=R7)*(C92:N92=G2)*(C102:N107)),SUMIF(C92:N92,G2,C109:N109))),4)</f>
        <v>0.6482</v>
      </c>
      <c r="T7" s="2966">
        <f t="shared" ca="1" si="0"/>
        <v>12345</v>
      </c>
      <c r="U7" s="2955"/>
      <c r="V7" s="2966">
        <f t="shared" ca="1" si="1"/>
        <v>0</v>
      </c>
      <c r="W7" s="2964" t="s">
        <v>2772</v>
      </c>
      <c r="X7" s="2956" t="str">
        <f>G2</f>
        <v>五级</v>
      </c>
      <c r="Y7" s="2956" t="s">
        <v>2773</v>
      </c>
      <c r="Z7" s="2957">
        <f>G3</f>
        <v>2.42</v>
      </c>
      <c r="AA7" s="2196"/>
      <c r="AB7" s="2196"/>
      <c r="AC7" s="2197"/>
      <c r="AD7" s="2958"/>
      <c r="AE7" s="2958"/>
      <c r="AF7" s="2958"/>
      <c r="AG7" s="2958"/>
      <c r="AH7" s="2958"/>
      <c r="AI7" s="2958"/>
      <c r="AJ7" s="2959"/>
    </row>
    <row r="8" spans="1:39" ht="25.5">
      <c r="A8" s="3483"/>
      <c r="B8" s="1417" t="s">
        <v>934</v>
      </c>
      <c r="C8" s="1532" t="s">
        <v>3178</v>
      </c>
      <c r="D8" s="1048" t="s">
        <v>935</v>
      </c>
      <c r="E8" s="1049" t="e">
        <f>ROUND(C11/E7,4)</f>
        <v>#DIV/0!</v>
      </c>
      <c r="F8" s="1435" t="s">
        <v>936</v>
      </c>
      <c r="G8" s="1436"/>
      <c r="H8" s="1436"/>
      <c r="I8" s="1436"/>
      <c r="J8" s="1437"/>
      <c r="K8" s="1404"/>
      <c r="L8" s="1889" t="s">
        <v>2248</v>
      </c>
      <c r="M8" s="1890">
        <f>SUMPRODUCT((区片价!B206:B244=I2)*(区片价!C3:F3=E2)*(区片价!C206:F244))</f>
        <v>0</v>
      </c>
      <c r="N8" s="1891">
        <f>SUMPRODUCT((因素修正幅度!B206:B244=I2)*(因素修正幅度!C3:F3=E2)*(因素修正幅度!C206:F244))</f>
        <v>0</v>
      </c>
      <c r="O8" s="2193"/>
      <c r="P8" s="2193"/>
      <c r="Q8" s="2193"/>
      <c r="R8" s="2966">
        <v>7</v>
      </c>
      <c r="S8" s="2955"/>
      <c r="T8" s="2966">
        <f t="shared" ca="1" si="0"/>
        <v>0</v>
      </c>
      <c r="U8" s="2955"/>
      <c r="V8" s="2966">
        <f t="shared" ca="1" si="1"/>
        <v>0</v>
      </c>
      <c r="W8" s="3490" t="s">
        <v>2790</v>
      </c>
      <c r="X8" s="3491"/>
      <c r="Y8" s="1853" t="s">
        <v>2774</v>
      </c>
      <c r="Z8" s="1853" t="s">
        <v>2775</v>
      </c>
      <c r="AA8" s="1853" t="s">
        <v>2776</v>
      </c>
      <c r="AB8" s="1853" t="s">
        <v>2777</v>
      </c>
      <c r="AC8" s="1853" t="s">
        <v>2778</v>
      </c>
      <c r="AD8" s="1853" t="s">
        <v>2779</v>
      </c>
      <c r="AE8" s="1853" t="s">
        <v>2780</v>
      </c>
      <c r="AF8" s="1853" t="s">
        <v>2781</v>
      </c>
      <c r="AG8" s="1853" t="s">
        <v>2782</v>
      </c>
      <c r="AH8" s="1853" t="s">
        <v>2783</v>
      </c>
      <c r="AI8" s="1853" t="s">
        <v>2784</v>
      </c>
      <c r="AJ8" s="1853" t="s">
        <v>2785</v>
      </c>
    </row>
    <row r="9" spans="1:39" ht="15">
      <c r="A9" s="3483"/>
      <c r="B9" s="1417" t="s">
        <v>937</v>
      </c>
      <c r="C9" s="1050">
        <f>SUMIF(修正!C59:C119,C8,修正!E59:E119)</f>
        <v>0</v>
      </c>
      <c r="D9" s="1051" t="s">
        <v>938</v>
      </c>
      <c r="E9" s="1051" t="e">
        <f>ROUND(C11/E7,4)</f>
        <v>#DIV/0!</v>
      </c>
      <c r="F9" s="1435" t="s">
        <v>939</v>
      </c>
      <c r="G9" s="1436"/>
      <c r="H9" s="1436"/>
      <c r="I9" s="1436"/>
      <c r="J9" s="1437"/>
      <c r="K9" s="1404"/>
      <c r="L9" s="1889" t="s">
        <v>2249</v>
      </c>
      <c r="M9" s="1890">
        <f>SUMPRODUCT((区片价!B245:B289=I2)*(区片价!C3:F3=E2)*(区片价!C245:F289))</f>
        <v>0</v>
      </c>
      <c r="N9" s="1891">
        <f>SUMPRODUCT((因素修正幅度!B245:B289=I2)*(因素修正幅度!C3:F3=E2)*(因素修正幅度!C245:F289))</f>
        <v>0</v>
      </c>
      <c r="O9" s="2193"/>
      <c r="P9" s="2193"/>
      <c r="Q9" s="2193"/>
      <c r="R9" s="2966">
        <v>8</v>
      </c>
      <c r="S9" s="2955"/>
      <c r="T9" s="2966">
        <f t="shared" ca="1" si="0"/>
        <v>0</v>
      </c>
      <c r="U9" s="2955"/>
      <c r="V9" s="2966">
        <f t="shared" ca="1" si="1"/>
        <v>0</v>
      </c>
      <c r="W9" s="3489" t="s">
        <v>2786</v>
      </c>
      <c r="X9" s="2960" t="s">
        <v>2787</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83"/>
      <c r="B10" s="1417" t="s">
        <v>940</v>
      </c>
      <c r="C10" s="1051">
        <f>SUMIF(修正!C59:C119,C8,修正!F59:F119)</f>
        <v>0</v>
      </c>
      <c r="D10" s="1051" t="s">
        <v>941</v>
      </c>
      <c r="E10" s="1051" t="e">
        <f>ROUND(C11/E7,4)</f>
        <v>#DIV/0!</v>
      </c>
      <c r="F10" s="1435" t="s">
        <v>942</v>
      </c>
      <c r="G10" s="1436"/>
      <c r="H10" s="1436"/>
      <c r="I10" s="1436"/>
      <c r="J10" s="1437"/>
      <c r="K10" s="1404"/>
      <c r="L10" s="1889" t="s">
        <v>2250</v>
      </c>
      <c r="M10" s="1890">
        <f>SUMPRODUCT((区片价!B290:B316=I2)*(区片价!C3:F3=E2)*(区片价!C290:F316))</f>
        <v>0</v>
      </c>
      <c r="N10" s="1891">
        <f>SUMPRODUCT((因素修正幅度!B290:B316=I2)*(因素修正幅度!C3:F3=E2)*(因素修正幅度!C290:F316))</f>
        <v>0</v>
      </c>
      <c r="O10" s="2193"/>
      <c r="P10" s="2193"/>
      <c r="Q10" s="2193"/>
      <c r="R10" s="2966">
        <v>9</v>
      </c>
      <c r="S10" s="2955"/>
      <c r="T10" s="2966">
        <f t="shared" ca="1" si="0"/>
        <v>0</v>
      </c>
      <c r="U10" s="2955"/>
      <c r="V10" s="2966">
        <f t="shared" ca="1" si="1"/>
        <v>0</v>
      </c>
      <c r="W10" s="3489"/>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83"/>
      <c r="B11" s="1438" t="s">
        <v>943</v>
      </c>
      <c r="C11" s="1052">
        <f>C10/4</f>
        <v>0</v>
      </c>
      <c r="D11" s="1052" t="s">
        <v>944</v>
      </c>
      <c r="E11" s="1052" t="e">
        <f>ROUND(C11/E7,4)</f>
        <v>#DIV/0!</v>
      </c>
      <c r="F11" s="1439" t="s">
        <v>945</v>
      </c>
      <c r="G11" s="1440"/>
      <c r="H11" s="1440"/>
      <c r="I11" s="1440"/>
      <c r="J11" s="1441"/>
      <c r="K11" s="1404"/>
      <c r="L11" s="1889" t="s">
        <v>2251</v>
      </c>
      <c r="M11" s="1890">
        <f>SUMPRODUCT((区片价!B317:B337=I2)*(区片价!C3:F3=E2)*(区片价!C317:F337))</f>
        <v>0</v>
      </c>
      <c r="N11" s="1891">
        <f>SUMPRODUCT((因素修正幅度!B317:B337=I2)*(因素修正幅度!C3:F3=E2)*(因素修正幅度!C317:F337))</f>
        <v>0</v>
      </c>
      <c r="O11" s="2193"/>
      <c r="P11" s="2193"/>
      <c r="Q11" s="2193"/>
      <c r="R11" s="2966">
        <v>10</v>
      </c>
      <c r="S11" s="2955"/>
      <c r="T11" s="2966">
        <f t="shared" ca="1" si="0"/>
        <v>0</v>
      </c>
      <c r="U11" s="2955"/>
      <c r="V11" s="2966">
        <f t="shared" ca="1" si="1"/>
        <v>0</v>
      </c>
      <c r="W11" s="3489" t="s">
        <v>2788</v>
      </c>
      <c r="X11" s="1051" t="s">
        <v>2773</v>
      </c>
      <c r="Y11" s="1656">
        <f>$G$3</f>
        <v>2.42</v>
      </c>
      <c r="Z11" s="1656">
        <f t="shared" ref="Z11:AJ11" si="3">$G$3</f>
        <v>2.42</v>
      </c>
      <c r="AA11" s="1656">
        <f t="shared" si="3"/>
        <v>2.42</v>
      </c>
      <c r="AB11" s="1656">
        <f t="shared" si="3"/>
        <v>2.42</v>
      </c>
      <c r="AC11" s="1656">
        <f t="shared" si="3"/>
        <v>2.42</v>
      </c>
      <c r="AD11" s="1656">
        <f t="shared" si="3"/>
        <v>2.42</v>
      </c>
      <c r="AE11" s="1656">
        <f t="shared" si="3"/>
        <v>2.42</v>
      </c>
      <c r="AF11" s="1656">
        <f t="shared" si="3"/>
        <v>2.42</v>
      </c>
      <c r="AG11" s="1656">
        <f t="shared" si="3"/>
        <v>2.42</v>
      </c>
      <c r="AH11" s="1656">
        <f t="shared" si="3"/>
        <v>2.42</v>
      </c>
      <c r="AI11" s="1656">
        <f t="shared" si="3"/>
        <v>2.42</v>
      </c>
      <c r="AJ11" s="1656">
        <f t="shared" si="3"/>
        <v>2.42</v>
      </c>
    </row>
    <row r="12" spans="1:39" ht="25.5" thickBot="1">
      <c r="A12" s="3482" t="s">
        <v>1872</v>
      </c>
      <c r="B12" s="1442" t="s">
        <v>946</v>
      </c>
      <c r="C12" s="1046">
        <f>ROUND(C15*D15*E15*F15*G15*H15*I15*J15,4)</f>
        <v>1</v>
      </c>
      <c r="D12" s="1443" t="s">
        <v>947</v>
      </c>
      <c r="E12" s="1444"/>
      <c r="F12" s="1444"/>
      <c r="G12" s="1445"/>
      <c r="H12" s="1445"/>
      <c r="I12" s="1445"/>
      <c r="J12" s="1446"/>
      <c r="K12" s="1404"/>
      <c r="L12" s="1892" t="s">
        <v>2252</v>
      </c>
      <c r="M12" s="1893">
        <f>SUMPRODUCT((区片价!B338:B344=I2)*(区片价!C3:F3=E2)*(区片价!C338:F344))</f>
        <v>0</v>
      </c>
      <c r="N12" s="1894">
        <f>SUMPRODUCT((因素修正幅度!B338:B344=I2)*(因素修正幅度!C3:F3=E2)*(因素修正幅度!C338:F344))</f>
        <v>0</v>
      </c>
      <c r="O12" s="2193"/>
      <c r="P12" s="2193"/>
      <c r="Q12" s="2193"/>
      <c r="R12" s="2966">
        <v>11</v>
      </c>
      <c r="S12" s="2955"/>
      <c r="T12" s="2966">
        <f t="shared" ca="1" si="0"/>
        <v>0</v>
      </c>
      <c r="U12" s="2955"/>
      <c r="V12" s="2966">
        <f t="shared" ca="1" si="1"/>
        <v>0</v>
      </c>
      <c r="W12" s="3489"/>
      <c r="X12" s="2963" t="s">
        <v>2789</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84"/>
      <c r="B13" s="1447" t="s">
        <v>1697</v>
      </c>
      <c r="C13" s="1448" t="s">
        <v>1698</v>
      </c>
      <c r="D13" s="1092" t="s">
        <v>1699</v>
      </c>
      <c r="E13" s="1092" t="s">
        <v>1700</v>
      </c>
      <c r="F13" s="1449" t="s">
        <v>948</v>
      </c>
      <c r="G13" s="1450" t="s">
        <v>1643</v>
      </c>
      <c r="H13" s="1451" t="s">
        <v>1643</v>
      </c>
      <c r="I13" s="1452" t="s">
        <v>1643</v>
      </c>
      <c r="J13" s="1453" t="s">
        <v>1643</v>
      </c>
      <c r="K13" s="1404"/>
      <c r="L13" s="2193"/>
      <c r="M13" s="2193"/>
      <c r="N13" s="2193"/>
      <c r="O13" s="2193"/>
      <c r="P13" s="2193"/>
      <c r="Q13" s="2193"/>
      <c r="R13" s="2966">
        <v>12</v>
      </c>
      <c r="S13" s="2955"/>
      <c r="T13" s="2966">
        <f t="shared" ca="1" si="0"/>
        <v>0</v>
      </c>
      <c r="U13" s="2955"/>
      <c r="V13" s="2966">
        <f t="shared" ca="1" si="1"/>
        <v>0</v>
      </c>
      <c r="W13" s="3489"/>
      <c r="X13" s="2963"/>
      <c r="Y13" s="2962">
        <f>(-0.163*(Y12^2)-0.59*Y12+7617)*(10^(-4))/Y11</f>
        <v>0.3147520661157025</v>
      </c>
      <c r="Z13" s="2962">
        <f t="shared" ref="Z13:AJ13" si="5">(-0.163*(Z12^2)-0.59*Z12+7617)*(10^(-4))/Z11</f>
        <v>0.3147520661157025</v>
      </c>
      <c r="AA13" s="2962">
        <f t="shared" si="5"/>
        <v>0.3147520661157025</v>
      </c>
      <c r="AB13" s="2962">
        <f t="shared" si="5"/>
        <v>0.3147520661157025</v>
      </c>
      <c r="AC13" s="2962">
        <f t="shared" si="5"/>
        <v>0.3147520661157025</v>
      </c>
      <c r="AD13" s="2962">
        <f t="shared" si="5"/>
        <v>0.3147520661157025</v>
      </c>
      <c r="AE13" s="2962">
        <f t="shared" si="5"/>
        <v>0.3147520661157025</v>
      </c>
      <c r="AF13" s="2962">
        <f t="shared" si="5"/>
        <v>0.3147520661157025</v>
      </c>
      <c r="AG13" s="2962">
        <f t="shared" si="5"/>
        <v>0.3147520661157025</v>
      </c>
      <c r="AH13" s="2962">
        <f t="shared" si="5"/>
        <v>0.3147520661157025</v>
      </c>
      <c r="AI13" s="2962">
        <f t="shared" si="5"/>
        <v>0.3147520661157025</v>
      </c>
      <c r="AJ13" s="2962">
        <f t="shared" si="5"/>
        <v>0.3147520661157025</v>
      </c>
    </row>
    <row r="14" spans="1:39" ht="12.75" customHeight="1" thickBot="1">
      <c r="A14" s="3484"/>
      <c r="B14" s="1454"/>
      <c r="C14" s="1455"/>
      <c r="D14" s="1456"/>
      <c r="E14" s="1456"/>
      <c r="F14" s="1457"/>
      <c r="G14" s="1458" t="s">
        <v>949</v>
      </c>
      <c r="H14" s="1459"/>
      <c r="I14" s="1460"/>
      <c r="J14" s="1461"/>
      <c r="K14" s="1404"/>
      <c r="L14" s="2193"/>
      <c r="M14" s="2193"/>
      <c r="N14" s="2193"/>
      <c r="O14" s="2193"/>
      <c r="P14" s="2193"/>
      <c r="Q14" s="2193"/>
      <c r="R14" s="2966">
        <v>13</v>
      </c>
      <c r="S14" s="2955"/>
      <c r="T14" s="2966">
        <f t="shared" ca="1" si="0"/>
        <v>0</v>
      </c>
      <c r="U14" s="2955"/>
      <c r="V14" s="2966">
        <f t="shared" ca="1" si="1"/>
        <v>0</v>
      </c>
      <c r="W14" s="2193"/>
      <c r="X14" s="2193"/>
      <c r="Y14" s="2193"/>
      <c r="Z14" s="2193"/>
      <c r="AA14" s="2193"/>
      <c r="AB14" s="2193"/>
      <c r="AC14" s="2194"/>
    </row>
    <row r="15" spans="1:39" ht="13.5" customHeight="1" thickBot="1">
      <c r="A15" s="3485"/>
      <c r="B15" s="1462" t="s">
        <v>1701</v>
      </c>
      <c r="C15" s="1054">
        <f>IF(C14="有",1.1,1)</f>
        <v>1</v>
      </c>
      <c r="D15" s="1054">
        <f>IF(D14="有",1.1,1)</f>
        <v>1</v>
      </c>
      <c r="E15" s="1054">
        <f>IF(E14="有",1.1,1)</f>
        <v>1</v>
      </c>
      <c r="F15" s="1054">
        <f>IF(F14="500米范围内",1.2,IF(F14="500-1000米",1.1,1))</f>
        <v>1</v>
      </c>
      <c r="G15" s="1055">
        <v>1</v>
      </c>
      <c r="H15" s="1055">
        <v>1</v>
      </c>
      <c r="I15" s="1055">
        <v>1</v>
      </c>
      <c r="J15" s="1056">
        <v>1</v>
      </c>
      <c r="K15" s="1404"/>
      <c r="L15" s="1601" t="s">
        <v>898</v>
      </c>
      <c r="M15" s="1431" t="s">
        <v>984</v>
      </c>
      <c r="N15" s="1431" t="s">
        <v>985</v>
      </c>
      <c r="O15" s="1431" t="s">
        <v>902</v>
      </c>
      <c r="P15" s="1479" t="s">
        <v>986</v>
      </c>
      <c r="Q15" s="2193"/>
      <c r="R15" s="2966">
        <v>14</v>
      </c>
      <c r="S15" s="2955"/>
      <c r="T15" s="2966">
        <f t="shared" ca="1" si="0"/>
        <v>0</v>
      </c>
      <c r="U15" s="2955"/>
      <c r="V15" s="2966">
        <f t="shared" ca="1" si="1"/>
        <v>0</v>
      </c>
      <c r="W15" s="2193"/>
      <c r="X15" s="2193"/>
      <c r="Y15" s="2193"/>
      <c r="Z15" s="2193"/>
      <c r="AA15" s="2193"/>
      <c r="AB15" s="2193"/>
      <c r="AC15" s="2194"/>
    </row>
    <row r="16" spans="1:39" ht="24">
      <c r="A16" s="3482" t="s">
        <v>1839</v>
      </c>
      <c r="B16" s="1430" t="s">
        <v>950</v>
      </c>
      <c r="C16" s="1057">
        <f>ROUND(SUM(G17:J17)/C17,0)</f>
        <v>20</v>
      </c>
      <c r="D16" s="1463" t="s">
        <v>951</v>
      </c>
      <c r="E16" s="1464" t="s">
        <v>3172</v>
      </c>
      <c r="F16" s="1465" t="s">
        <v>3173</v>
      </c>
      <c r="G16" s="1466" t="s">
        <v>3174</v>
      </c>
      <c r="H16" s="1466"/>
      <c r="I16" s="1466"/>
      <c r="J16" s="1466"/>
      <c r="K16" s="1404"/>
      <c r="L16" s="1467" t="s">
        <v>988</v>
      </c>
      <c r="M16" s="1050">
        <v>0.25</v>
      </c>
      <c r="N16" s="1050">
        <v>0.2</v>
      </c>
      <c r="O16" s="1050">
        <v>0.15</v>
      </c>
      <c r="P16" s="1542">
        <v>0.1</v>
      </c>
      <c r="Q16" s="2196"/>
      <c r="R16" s="2966">
        <v>15</v>
      </c>
      <c r="S16" s="2955"/>
      <c r="T16" s="2966">
        <f t="shared" ca="1" si="0"/>
        <v>0</v>
      </c>
      <c r="U16" s="2955"/>
      <c r="V16" s="2966">
        <f t="shared" ca="1" si="1"/>
        <v>0</v>
      </c>
      <c r="W16" s="2196"/>
      <c r="X16" s="2196"/>
      <c r="Y16" s="2196"/>
      <c r="Z16" s="2196"/>
      <c r="AA16" s="2196"/>
      <c r="AB16" s="2196"/>
      <c r="AC16" s="2197"/>
    </row>
    <row r="17" spans="1:40" ht="13.5" thickBot="1">
      <c r="A17" s="3483"/>
      <c r="B17" s="1468" t="s">
        <v>953</v>
      </c>
      <c r="C17" s="1058">
        <f>SUMPRODUCT((修正!A2:A5=E2)*(修正!B1:M1=G2)*(修正!B2:M5))</f>
        <v>2.5</v>
      </c>
      <c r="D17" s="1470" t="s">
        <v>954</v>
      </c>
      <c r="E17" s="1471" t="str">
        <f>IF(OR(G2="八级",G2="九级",G2="十级",G2="十一级",G2="十二级"),"五通一平","七通一平")</f>
        <v>七通一平</v>
      </c>
      <c r="F17" s="1469" t="s">
        <v>955</v>
      </c>
      <c r="G17" s="1058">
        <f>SUMPRODUCT((七通一平=G16)*(修正!B1:M1=G2)*(修正!B6:M14))</f>
        <v>50</v>
      </c>
      <c r="H17" s="1058">
        <f>SUMPRODUCT((七通一平=H16)*(修正!B1:M1=G2)*(修正!B6:M14))</f>
        <v>0</v>
      </c>
      <c r="I17" s="1058">
        <f>SUMPRODUCT((七通一平=I16)*(修正!B1:M1=G2)*(修正!B6:M14))</f>
        <v>0</v>
      </c>
      <c r="J17" s="1059">
        <f>SUMPRODUCT((七通一平=J16)*(修正!B1:M1=G2)*(修正!B6:M14))</f>
        <v>0</v>
      </c>
      <c r="K17" s="1404"/>
      <c r="L17" s="1472" t="s">
        <v>974</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1830</v>
      </c>
      <c r="B18" s="2802" t="s">
        <v>956</v>
      </c>
      <c r="C18" s="2803">
        <f>SUMIF(修正!C18:C39,E3,修正!E18:E39)</f>
        <v>1</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1836</v>
      </c>
      <c r="B19" s="1473" t="s">
        <v>957</v>
      </c>
      <c r="C19" s="1060">
        <f>ROUND(IF(H19="按公示增长率计算",SUMPRODUCT((地价!A3:A20=YEAR(G19)&amp;"-"&amp;ROUNDUP(MONTH(G19)/3,0))*(地价!X2:AB2=E2)*(地价!X3:AB20)),IF(H19="地价指数",M20/M19,(1+I19)^O19)),4)</f>
        <v>1.4982</v>
      </c>
      <c r="D19" s="1477" t="s">
        <v>958</v>
      </c>
      <c r="E19" s="1061">
        <v>41640</v>
      </c>
      <c r="F19" s="1477" t="s">
        <v>959</v>
      </c>
      <c r="G19" s="1062">
        <f>'数据-取费表'!B2</f>
        <v>43047</v>
      </c>
      <c r="H19" s="1478" t="s">
        <v>3175</v>
      </c>
      <c r="I19" s="2814" t="str">
        <f>IF(H19="季度增幅（自定义）",SUMIF(N21:N24,E2,O21:O24),"")</f>
        <v/>
      </c>
      <c r="J19" s="1474"/>
      <c r="K19" s="1484"/>
      <c r="L19" s="3068" t="s">
        <v>2848</v>
      </c>
      <c r="M19" s="3069">
        <f>ROUND(SUMIF(地价!B2:F2,E2,地价!B20:F20),0)</f>
        <v>423</v>
      </c>
      <c r="N19" s="2816" t="s">
        <v>1677</v>
      </c>
      <c r="O19" s="2815">
        <f>ROUNDDOWN(DATEDIF(E19,G19,"M")/3,0)</f>
        <v>15</v>
      </c>
      <c r="P19" s="1599"/>
      <c r="R19" s="2954"/>
      <c r="S19" s="2954"/>
      <c r="T19" s="2954"/>
      <c r="U19" s="2954"/>
      <c r="V19" s="2954"/>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1837</v>
      </c>
      <c r="B20" s="2809" t="s">
        <v>972</v>
      </c>
      <c r="C20" s="2810">
        <f ca="1">ROUND(POWER(1+G20,J20-I20)*(POWER(1+G20,I20)-1)/(POWER(1+G20,J20)-1),4)</f>
        <v>0.96940000000000004</v>
      </c>
      <c r="D20" s="2811" t="s">
        <v>973</v>
      </c>
      <c r="E20" s="3122">
        <f ca="1">存贷款利率!I4/100</f>
        <v>4.3499999999999997E-2</v>
      </c>
      <c r="F20" s="2811" t="s">
        <v>974</v>
      </c>
      <c r="G20" s="2812">
        <f ca="1">SUMIF(M15:P15,E2,M17:P17)</f>
        <v>0.05</v>
      </c>
      <c r="H20" s="2811" t="s">
        <v>975</v>
      </c>
      <c r="I20" s="2801">
        <f>SUMIF('数据-取费表'!C6:C15,E2,'数据-取费表'!F6:F15)/COUNTIF('数据-取费表'!C6:C15,E2)</f>
        <v>56.84</v>
      </c>
      <c r="J20" s="2813">
        <f>IF(E2="住宅",70,IF(E2="商业",40,50))</f>
        <v>70</v>
      </c>
      <c r="K20" s="1484"/>
      <c r="L20" s="3070" t="s">
        <v>2849</v>
      </c>
      <c r="M20" s="3071">
        <f>ROUND(SUMPRODUCT((地价!A5:A20=YEAR(G19)&amp;"-"&amp;ROUNDUP(MONTH(G19)/3,0))*(地价!B2:F2=E2)*(地价!B5:F20)),0)</f>
        <v>633</v>
      </c>
      <c r="N20" s="2819" t="s">
        <v>2653</v>
      </c>
      <c r="O20" s="2817" t="s">
        <v>2652</v>
      </c>
      <c r="P20" s="2818" t="s">
        <v>2658</v>
      </c>
      <c r="R20" s="2954"/>
      <c r="S20" s="2954"/>
      <c r="T20" s="2954"/>
      <c r="U20" s="2954"/>
      <c r="V20" s="2954"/>
      <c r="W20" s="2199"/>
      <c r="X20" s="2199"/>
      <c r="Y20" s="2199"/>
      <c r="Z20" s="2199"/>
      <c r="AA20" s="2199"/>
      <c r="AB20" s="2199"/>
      <c r="AC20" s="2199"/>
      <c r="AD20" s="1475"/>
      <c r="AE20" s="1475"/>
      <c r="AF20" s="1475"/>
      <c r="AG20" s="1475"/>
      <c r="AH20" s="1475"/>
      <c r="AI20" s="1475"/>
    </row>
    <row r="21" spans="1:40" s="1424" customFormat="1" ht="14.25">
      <c r="A21" s="1645" t="s">
        <v>1838</v>
      </c>
      <c r="B21" s="1483" t="s">
        <v>3176</v>
      </c>
      <c r="C21" s="1161">
        <f>IF(B21="容积率修正",IF(G3&lt;=10,D22,J22),C23)</f>
        <v>1.0085999999999999</v>
      </c>
      <c r="D21" s="1484"/>
      <c r="E21" s="1484"/>
      <c r="F21" s="1484"/>
      <c r="G21" s="1484"/>
      <c r="H21" s="1484"/>
      <c r="I21" s="1484"/>
      <c r="J21" s="1485"/>
      <c r="K21" s="1484"/>
      <c r="L21" s="1484"/>
      <c r="M21" s="1484"/>
      <c r="N21" s="1481" t="s">
        <v>976</v>
      </c>
      <c r="O21" s="1545"/>
      <c r="P21" s="2799">
        <f>SUMPRODUCT((地价!A3:A20=YEAR(G19)&amp;"-"&amp;ROUNDUP(MONTH(G19)/3,0))*(地价!AD2:AH2=N21)*(地价!AD3:AH20))</f>
        <v>1.6400000000000001E-2</v>
      </c>
      <c r="R21" s="2954"/>
      <c r="S21" s="2954"/>
      <c r="T21" s="2954"/>
      <c r="U21" s="2954"/>
      <c r="V21" s="2954"/>
      <c r="W21" s="2199"/>
      <c r="X21" s="2199"/>
      <c r="Y21" s="2199"/>
      <c r="Z21" s="2199"/>
      <c r="AA21" s="2199"/>
      <c r="AB21" s="2199"/>
      <c r="AC21" s="2199"/>
      <c r="AD21" s="1406"/>
      <c r="AE21" s="1406"/>
      <c r="AF21" s="1406"/>
      <c r="AG21" s="1406"/>
      <c r="AH21" s="1475"/>
      <c r="AI21" s="1475"/>
    </row>
    <row r="22" spans="1:40" s="1424" customFormat="1" ht="14.25">
      <c r="A22" s="1646" t="s">
        <v>1871</v>
      </c>
      <c r="B22" s="1486" t="s">
        <v>977</v>
      </c>
      <c r="C22" s="1063" t="s">
        <v>1703</v>
      </c>
      <c r="D22" s="1063">
        <f>IF(E22=G22,F22,IF(G3&lt;=10,ROUND(F22+(H22-F22)*(G3-E22)/(G22-E22),4),"——"))</f>
        <v>1.0085999999999999</v>
      </c>
      <c r="E22" s="1042">
        <f>ROUNDDOWN(G3,1)</f>
        <v>2.4</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1.0107999999999999</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3" t="s">
        <v>978</v>
      </c>
      <c r="J22" s="1063" t="str">
        <f>IF(G3&gt;10,D113,"——")</f>
        <v>——</v>
      </c>
      <c r="K22" s="1484"/>
      <c r="L22" s="1484"/>
      <c r="M22" s="1484"/>
      <c r="N22" s="1481" t="s">
        <v>979</v>
      </c>
      <c r="O22" s="1545"/>
      <c r="P22" s="2799">
        <f>SUMPRODUCT((地价!A3:A20=YEAR(G19)&amp;"-"&amp;ROUNDUP(MONTH(G19)/3,0))*(地价!AD2:AH2=N22)*(地价!AD3:AH20))</f>
        <v>1.6400000000000001E-2</v>
      </c>
      <c r="R22" s="2954"/>
      <c r="S22" s="2954"/>
      <c r="T22" s="2954"/>
      <c r="U22" s="2954"/>
      <c r="V22" s="2954"/>
      <c r="W22" s="2199"/>
      <c r="X22" s="2199"/>
      <c r="Y22" s="2199"/>
      <c r="Z22" s="2199"/>
      <c r="AA22" s="2199"/>
      <c r="AB22" s="2199"/>
      <c r="AC22" s="2199"/>
      <c r="AD22" s="1475"/>
      <c r="AE22" s="1475"/>
      <c r="AF22" s="1475"/>
      <c r="AG22" s="1475"/>
      <c r="AH22" s="1475"/>
      <c r="AI22" s="1475"/>
    </row>
    <row r="23" spans="1:40" ht="27.75" thickBot="1">
      <c r="A23" s="1646" t="s">
        <v>1872</v>
      </c>
      <c r="B23" s="1486" t="s">
        <v>980</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923</v>
      </c>
      <c r="O23" s="1545"/>
      <c r="P23" s="2799">
        <f>SUMPRODUCT((地价!A3:A20=YEAR(G19)&amp;"-"&amp;ROUNDUP(MONTH(G19)/3,0))*(地价!AD2:AH2=N23)*(地价!AD3:AH20))</f>
        <v>2.7799999999999998E-2</v>
      </c>
      <c r="R23" s="2954"/>
      <c r="S23" s="2954"/>
      <c r="T23" s="2954"/>
      <c r="U23" s="2954"/>
      <c r="V23" s="2954"/>
      <c r="W23" s="2199"/>
      <c r="X23" s="2199"/>
      <c r="Y23" s="2199"/>
      <c r="Z23" s="2199"/>
      <c r="AA23" s="2199"/>
      <c r="AB23" s="2199"/>
      <c r="AC23" s="2199"/>
      <c r="AN23" s="1407"/>
    </row>
    <row r="24" spans="1:40" s="1424" customFormat="1" ht="15.75" thickBot="1">
      <c r="A24" s="1644" t="s">
        <v>1873</v>
      </c>
      <c r="B24" s="1418" t="s">
        <v>981</v>
      </c>
      <c r="C24" s="1065">
        <f>SUMIF(A44:A87,E2,B44:B87)</f>
        <v>1.0181</v>
      </c>
      <c r="D24" s="1538"/>
      <c r="E24" s="1539"/>
      <c r="F24" s="1539"/>
      <c r="G24" s="1539"/>
      <c r="H24" s="1539"/>
      <c r="I24" s="1539"/>
      <c r="J24" s="1539"/>
      <c r="K24" s="1484"/>
      <c r="L24" s="1484"/>
      <c r="M24" s="1484"/>
      <c r="N24" s="1487" t="s">
        <v>982</v>
      </c>
      <c r="O24" s="1546"/>
      <c r="P24" s="1544">
        <f>SUMPRODUCT((地价!A3:A20=YEAR(G19)&amp;"-"&amp;ROUNDUP(MONTH(G19)/3,0))*(地价!AD2:AH2=N24)*(地价!AD3:AH20))</f>
        <v>1.3899999999999999E-2</v>
      </c>
      <c r="R24" s="2954"/>
      <c r="S24" s="2954"/>
      <c r="T24" s="2954"/>
      <c r="U24" s="2954"/>
      <c r="V24" s="2954"/>
      <c r="W24" s="2199"/>
      <c r="X24" s="2199"/>
      <c r="Y24" s="2199"/>
      <c r="Z24" s="2199"/>
      <c r="AA24" s="2199"/>
      <c r="AB24" s="2199"/>
      <c r="AC24" s="2199"/>
      <c r="AD24" s="1475"/>
      <c r="AE24" s="1475"/>
      <c r="AF24" s="1475"/>
      <c r="AG24" s="1475"/>
      <c r="AH24" s="1475"/>
      <c r="AI24" s="1475"/>
    </row>
    <row r="25" spans="1:40" ht="15" thickBot="1">
      <c r="A25" s="1644" t="s">
        <v>1874</v>
      </c>
      <c r="B25" s="1489" t="s">
        <v>983</v>
      </c>
      <c r="C25" s="1490"/>
      <c r="D25" s="1433"/>
      <c r="E25" s="1433"/>
      <c r="F25" s="1491"/>
      <c r="G25" s="1433"/>
      <c r="H25" s="1433"/>
      <c r="I25" s="1433"/>
      <c r="J25" s="1434"/>
      <c r="K25" s="1404"/>
      <c r="L25" s="2199"/>
      <c r="M25" s="2199"/>
      <c r="N25" s="2827" t="s">
        <v>2656</v>
      </c>
      <c r="O25" s="2199"/>
      <c r="P25" s="1544">
        <f>SUMPRODUCT((地价!A3:A20=YEAR(G19)&amp;"-"&amp;ROUNDUP(MONTH(G19)/3,0))*(地价!AD2:AH2=N25)*(地价!AD3:AH20))</f>
        <v>2.4899999999999999E-2</v>
      </c>
      <c r="R25" s="2954"/>
      <c r="S25" s="2954"/>
      <c r="T25" s="2954"/>
      <c r="U25" s="2954"/>
      <c r="V25" s="2954"/>
      <c r="W25" s="2199"/>
      <c r="X25" s="2199"/>
      <c r="Y25" s="2199"/>
      <c r="Z25" s="2199"/>
      <c r="AA25" s="2199"/>
      <c r="AB25" s="2199"/>
      <c r="AC25" s="2199"/>
    </row>
    <row r="26" spans="1:40" ht="14.25">
      <c r="A26" s="1492"/>
      <c r="B26" s="1486" t="s">
        <v>987</v>
      </c>
      <c r="C26" s="1066">
        <f ca="1">E29+SUM(E33:E39)</f>
        <v>0</v>
      </c>
      <c r="D26" s="1493"/>
      <c r="E26" s="1459"/>
      <c r="F26" s="1494"/>
      <c r="G26" s="1459"/>
      <c r="H26" s="1459"/>
      <c r="I26" s="1459"/>
      <c r="J26" s="1495"/>
      <c r="K26" s="1404"/>
      <c r="L26" s="2199"/>
      <c r="M26" s="2199"/>
      <c r="N26" s="2199"/>
      <c r="O26" s="2199"/>
      <c r="P26" s="2199"/>
      <c r="Q26" s="2199"/>
      <c r="R26" s="2954"/>
      <c r="S26" s="2954"/>
      <c r="T26" s="2954"/>
      <c r="U26" s="2954"/>
      <c r="V26" s="2954"/>
      <c r="W26" s="2199"/>
      <c r="X26" s="2199"/>
      <c r="Y26" s="2199"/>
      <c r="Z26" s="2199"/>
      <c r="AA26" s="2199"/>
      <c r="AB26" s="2199"/>
      <c r="AC26" s="2199"/>
      <c r="AD26" s="1475"/>
      <c r="AE26" s="1475"/>
      <c r="AF26" s="1475"/>
      <c r="AG26" s="1475"/>
    </row>
    <row r="27" spans="1:40" ht="15" thickBot="1">
      <c r="A27" s="1492"/>
      <c r="B27" s="1496" t="s">
        <v>989</v>
      </c>
      <c r="C27" s="1067">
        <f ca="1">E30+SUM(I33:I39)</f>
        <v>0</v>
      </c>
      <c r="D27" s="1497"/>
      <c r="E27" s="1498"/>
      <c r="F27" s="1499"/>
      <c r="G27" s="1498"/>
      <c r="H27" s="1498"/>
      <c r="I27" s="1498"/>
      <c r="J27" s="1500"/>
      <c r="K27" s="1404"/>
      <c r="L27" s="2199"/>
      <c r="M27" s="2199"/>
      <c r="N27" s="2199"/>
      <c r="O27" s="2199"/>
      <c r="P27" s="2199"/>
      <c r="Q27" s="2199"/>
      <c r="R27" s="2954"/>
      <c r="S27" s="2954"/>
      <c r="T27" s="2954"/>
      <c r="U27" s="2954"/>
      <c r="V27" s="2954"/>
      <c r="W27" s="2199"/>
      <c r="X27" s="2199"/>
      <c r="Y27" s="2199"/>
      <c r="Z27" s="2199"/>
      <c r="AA27" s="2199"/>
      <c r="AB27" s="2199"/>
      <c r="AC27" s="2199"/>
    </row>
    <row r="28" spans="1:40" ht="14.25">
      <c r="A28" s="1488"/>
      <c r="B28" s="1501" t="s">
        <v>990</v>
      </c>
      <c r="C28" s="1502" t="s">
        <v>991</v>
      </c>
      <c r="D28" s="1502" t="s">
        <v>992</v>
      </c>
      <c r="E28" s="1503" t="s">
        <v>993</v>
      </c>
      <c r="F28" s="1504"/>
      <c r="G28" s="1445"/>
      <c r="H28" s="1445"/>
      <c r="I28" s="1445"/>
      <c r="J28" s="1446"/>
      <c r="K28" s="1404"/>
      <c r="L28" s="2199"/>
      <c r="M28" s="2199"/>
      <c r="N28" s="2199"/>
      <c r="O28" s="2199"/>
      <c r="P28" s="2199"/>
      <c r="Q28" s="2199"/>
      <c r="R28" s="2954"/>
      <c r="S28" s="2954"/>
      <c r="T28" s="2954"/>
      <c r="U28" s="2954"/>
      <c r="V28" s="2954"/>
      <c r="W28" s="2199"/>
      <c r="X28" s="2199"/>
      <c r="Y28" s="2199"/>
      <c r="Z28" s="2199"/>
      <c r="AA28" s="2199"/>
      <c r="AB28" s="2199"/>
      <c r="AC28" s="2199"/>
      <c r="AD28" s="1475"/>
      <c r="AE28" s="1475"/>
      <c r="AF28" s="1475"/>
      <c r="AG28" s="1475"/>
    </row>
    <row r="29" spans="1:40" ht="24">
      <c r="A29" s="1505"/>
      <c r="B29" s="1506" t="s">
        <v>994</v>
      </c>
      <c r="C29" s="1066">
        <f ca="1">ROUND(C5*C18*C19*C20*C21*C24,0)</f>
        <v>19209</v>
      </c>
      <c r="D29" s="1507"/>
      <c r="E29" s="1853">
        <f ca="1">ROUND(C29*D29/10000,0)</f>
        <v>0</v>
      </c>
      <c r="F29" s="1508" t="s">
        <v>1702</v>
      </c>
      <c r="G29" s="1509"/>
      <c r="H29" s="1509"/>
      <c r="I29" s="1509"/>
      <c r="J29" s="1510"/>
      <c r="K29" s="1404"/>
      <c r="L29" s="2199"/>
      <c r="M29" s="2199"/>
      <c r="N29" s="2199"/>
      <c r="O29" s="2199"/>
      <c r="P29" s="2199"/>
      <c r="Q29" s="2199"/>
      <c r="R29" s="2954"/>
      <c r="S29" s="2954"/>
      <c r="T29" s="2954"/>
      <c r="U29" s="2954"/>
      <c r="V29" s="2954"/>
      <c r="W29" s="2199"/>
      <c r="X29" s="2199"/>
      <c r="Y29" s="2199"/>
      <c r="Z29" s="2199"/>
      <c r="AA29" s="2199"/>
      <c r="AB29" s="2199"/>
      <c r="AC29" s="2199"/>
      <c r="AH29" s="1405"/>
      <c r="AI29" s="1405"/>
      <c r="AJ29" s="1408"/>
      <c r="AK29" s="1408"/>
      <c r="AL29" s="1408"/>
      <c r="AM29" s="1408"/>
    </row>
    <row r="30" spans="1:40" ht="24.75" thickBot="1">
      <c r="A30" s="1511"/>
      <c r="B30" s="1512" t="s">
        <v>995</v>
      </c>
      <c r="C30" s="1054">
        <f ca="1">ROUND(IF(E2="工业",C29*M39,C29*M38),0)</f>
        <v>4802</v>
      </c>
      <c r="D30" s="1513"/>
      <c r="E30" s="1853">
        <f ca="1">ROUND(C30*D30/10000,0)</f>
        <v>0</v>
      </c>
      <c r="F30" s="1514" t="s">
        <v>996</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997</v>
      </c>
      <c r="C31" s="1519" t="s">
        <v>998</v>
      </c>
      <c r="D31" s="1445"/>
      <c r="E31" s="1519"/>
      <c r="F31" s="1519"/>
      <c r="G31" s="1443" t="s">
        <v>996</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991</v>
      </c>
      <c r="D32" s="1523" t="s">
        <v>992</v>
      </c>
      <c r="E32" s="1523" t="s">
        <v>993</v>
      </c>
      <c r="F32" s="1524" t="s">
        <v>999</v>
      </c>
      <c r="G32" s="1482" t="s">
        <v>991</v>
      </c>
      <c r="H32" s="1482" t="s">
        <v>992</v>
      </c>
      <c r="I32" s="1482" t="s">
        <v>993</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86" t="s">
        <v>2967</v>
      </c>
      <c r="B33" s="1527" t="s">
        <v>1000</v>
      </c>
      <c r="C33" s="1066">
        <f ca="1">ROUND(D5*C19*C20*C24*F33,0)</f>
        <v>0</v>
      </c>
      <c r="D33" s="1540"/>
      <c r="E33" s="1051">
        <f ca="1">ROUND(C33*D33/10000,0)</f>
        <v>0</v>
      </c>
      <c r="F33" s="1051">
        <f>SUMIF(修正!A45:A56,G2,修正!B45:B56)</f>
        <v>0.7</v>
      </c>
      <c r="G33" s="1051">
        <f t="shared" ref="G33:G38" ca="1" si="6">ROUND(IF(E2="工业",C33*$M$39,C33*$M$38),0)</f>
        <v>0</v>
      </c>
      <c r="H33" s="1051">
        <f>D33</f>
        <v>0</v>
      </c>
      <c r="I33" s="1051">
        <f ca="1">ROUND(G33*H33/10000,0)</f>
        <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87"/>
      <c r="B34" s="1448" t="s">
        <v>1001</v>
      </c>
      <c r="C34" s="1066">
        <f ca="1">ROUND(D5*C19*C20*C24*F34,0)</f>
        <v>0</v>
      </c>
      <c r="D34" s="1540"/>
      <c r="E34" s="1051">
        <f t="shared" ref="E34:E39" ca="1" si="7">ROUND(C34*D34/10000,0)</f>
        <v>0</v>
      </c>
      <c r="F34" s="1051">
        <f>SUMIF(修正!A45:A56,G2,修正!C45:C56)</f>
        <v>0.4</v>
      </c>
      <c r="G34" s="1051">
        <f t="shared" ca="1" si="6"/>
        <v>0</v>
      </c>
      <c r="H34" s="1051">
        <f t="shared" ref="H34:H39" si="8">D34</f>
        <v>0</v>
      </c>
      <c r="I34" s="1051">
        <f t="shared" ref="I34:I39" ca="1" si="9">ROUND(G34*H34/10000,0)</f>
        <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87"/>
      <c r="B35" s="1448" t="s">
        <v>1002</v>
      </c>
      <c r="C35" s="1066">
        <f ca="1">ROUND(D5*C19*C20*C24*F35,0)</f>
        <v>0</v>
      </c>
      <c r="D35" s="1540"/>
      <c r="E35" s="1051">
        <f t="shared" ca="1" si="7"/>
        <v>0</v>
      </c>
      <c r="F35" s="1051">
        <f>SUMIF(修正!A45:A56,G2,修正!D45:D56)</f>
        <v>0.28000000000000003</v>
      </c>
      <c r="G35" s="1051">
        <f t="shared" ca="1" si="6"/>
        <v>0</v>
      </c>
      <c r="H35" s="1051">
        <f t="shared" si="8"/>
        <v>0</v>
      </c>
      <c r="I35" s="1051">
        <f t="shared" ca="1" si="9"/>
        <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88"/>
      <c r="B36" s="1448" t="s">
        <v>1003</v>
      </c>
      <c r="C36" s="1066">
        <f ca="1">ROUND(D5*C19*C20*C24*F36,0)</f>
        <v>0</v>
      </c>
      <c r="D36" s="1540"/>
      <c r="E36" s="1051">
        <f t="shared" ca="1" si="7"/>
        <v>0</v>
      </c>
      <c r="F36" s="1051">
        <f>SUMIF(修正!A45:A56,G2,修正!E45:E56)</f>
        <v>0.25</v>
      </c>
      <c r="G36" s="1051">
        <f t="shared" ca="1" si="6"/>
        <v>0</v>
      </c>
      <c r="H36" s="1051">
        <f t="shared" si="8"/>
        <v>0</v>
      </c>
      <c r="I36" s="1051">
        <f t="shared" ca="1" si="9"/>
        <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1004</v>
      </c>
      <c r="C37" s="1051">
        <f ca="1">ROUND(C5*C19*C20*C24*F37,0)</f>
        <v>4761</v>
      </c>
      <c r="D37" s="1540"/>
      <c r="E37" s="1051">
        <f t="shared" ca="1" si="7"/>
        <v>0</v>
      </c>
      <c r="F37" s="1066">
        <f>SUMIF(修正!A45:A56,G2,修正!F45:F56)</f>
        <v>0.25</v>
      </c>
      <c r="G37" s="1051">
        <f t="shared" ca="1" si="6"/>
        <v>1190</v>
      </c>
      <c r="H37" s="1051">
        <f t="shared" si="8"/>
        <v>0</v>
      </c>
      <c r="I37" s="1051">
        <f t="shared" ca="1" si="9"/>
        <v>0</v>
      </c>
      <c r="J37" s="1528"/>
      <c r="K37" s="1404"/>
      <c r="L37" s="1547" t="s">
        <v>1704</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1005</v>
      </c>
      <c r="C38" s="1051">
        <f ca="1">ROUND(C5*C19*C20*C24*F38,0)</f>
        <v>4761</v>
      </c>
      <c r="D38" s="1540"/>
      <c r="E38" s="1051">
        <f t="shared" ca="1" si="7"/>
        <v>0</v>
      </c>
      <c r="F38" s="1066">
        <f>SUMIF(修正!A45:A56,G2,修正!G45:G56)</f>
        <v>0.25</v>
      </c>
      <c r="G38" s="1051">
        <f t="shared" ca="1" si="6"/>
        <v>1190</v>
      </c>
      <c r="H38" s="1051">
        <f t="shared" si="8"/>
        <v>0</v>
      </c>
      <c r="I38" s="1051">
        <f t="shared" ca="1" si="9"/>
        <v>0</v>
      </c>
      <c r="J38" s="1528"/>
      <c r="K38" s="1404"/>
      <c r="L38" s="1549" t="s">
        <v>1706</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1006</v>
      </c>
      <c r="C39" s="1054">
        <f ca="1">ROUND(C5*C19*C20*C24*F39,0)</f>
        <v>3809</v>
      </c>
      <c r="D39" s="1541"/>
      <c r="E39" s="1054">
        <f t="shared" ca="1" si="7"/>
        <v>0</v>
      </c>
      <c r="F39" s="1068">
        <f>SUMIF(修正!A45:A56,G2,修正!H45:H56)</f>
        <v>0.2</v>
      </c>
      <c r="G39" s="1054">
        <f ca="1">ROUND(IF(E2="工业",C39*$M$39,C39*$M$38),0)</f>
        <v>952</v>
      </c>
      <c r="H39" s="1054">
        <f t="shared" si="8"/>
        <v>0</v>
      </c>
      <c r="I39" s="1054">
        <f t="shared" ca="1" si="9"/>
        <v>0</v>
      </c>
      <c r="J39" s="1530"/>
      <c r="K39" s="1404"/>
      <c r="L39" s="1551" t="s">
        <v>1705</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1007</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1008</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70" t="s">
        <v>1009</v>
      </c>
      <c r="B46" s="2436" t="s">
        <v>1010</v>
      </c>
      <c r="C46" s="2458" t="s">
        <v>1011</v>
      </c>
      <c r="D46" s="2459" t="s">
        <v>1012</v>
      </c>
      <c r="E46" s="2460" t="s">
        <v>1014</v>
      </c>
      <c r="F46" s="2461" t="s">
        <v>2253</v>
      </c>
      <c r="G46" s="2459" t="s">
        <v>1015</v>
      </c>
      <c r="H46" s="2442" t="s">
        <v>2422</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24">
      <c r="A47" s="1070" t="s">
        <v>1021</v>
      </c>
      <c r="B47" s="2439">
        <f>估价对象房地状况!C16</f>
        <v>0</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36">
      <c r="A48" s="1070" t="s">
        <v>1022</v>
      </c>
      <c r="B48" s="2436" t="str">
        <f>估价对象房地状况!C18</f>
        <v>估价对象周边有344、531路公交线路经过，综合评价交通便捷度一般</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70" t="s">
        <v>1023</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70" t="s">
        <v>1024</v>
      </c>
      <c r="B50" s="3124" t="s">
        <v>2942</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70" t="s">
        <v>1025</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70" t="s">
        <v>1026</v>
      </c>
      <c r="B52" s="3123" t="s">
        <v>2941</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1027</v>
      </c>
      <c r="B53" s="2437" t="str">
        <f>估价对象房地状况!C21</f>
        <v>估价对象所在区域公共配套设施齐备度一般</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1028</v>
      </c>
      <c r="B54" s="2436" t="str">
        <f>估价对象房地状况!C22</f>
        <v>估价对象所在区域基础设施水平达七通</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1029</v>
      </c>
      <c r="B55" s="2440" t="str">
        <f>估价对象房地状况!C20</f>
        <v>周边有京城体育休闲公园；综合评价环境状况一般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1030</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70" t="s">
        <v>1009</v>
      </c>
      <c r="B57" s="2436"/>
      <c r="C57" s="2458" t="s">
        <v>1011</v>
      </c>
      <c r="D57" s="2459" t="s">
        <v>1012</v>
      </c>
      <c r="E57" s="2460" t="s">
        <v>1014</v>
      </c>
      <c r="F57" s="2461" t="s">
        <v>2254</v>
      </c>
      <c r="G57" s="2459" t="s">
        <v>1015</v>
      </c>
      <c r="H57" s="2442" t="s">
        <v>2422</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24">
      <c r="A58" s="1070" t="s">
        <v>1031</v>
      </c>
      <c r="B58" s="2439">
        <f>估价对象房地状况!C17</f>
        <v>0</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36">
      <c r="A59" s="1070" t="s">
        <v>1022</v>
      </c>
      <c r="B59" s="2436" t="str">
        <f>估价对象房地状况!C18</f>
        <v>估价对象周边有344、531路公交线路经过，综合评价交通便捷度一般</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70" t="s">
        <v>1023</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70" t="s">
        <v>1024</v>
      </c>
      <c r="B61" s="3124" t="s">
        <v>2943</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70" t="s">
        <v>1025</v>
      </c>
      <c r="B62" s="2436">
        <f>估价对象房地状况!C24</f>
        <v>0</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70" t="s">
        <v>1026</v>
      </c>
      <c r="B63" s="3123" t="s">
        <v>2941</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70" t="s">
        <v>1027</v>
      </c>
      <c r="B64" s="2437" t="str">
        <f>估价对象房地状况!C21</f>
        <v>估价对象所在区域公共配套设施齐备度一般</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70" t="s">
        <v>1028</v>
      </c>
      <c r="B65" s="2437" t="str">
        <f>估价对象房地状况!C22</f>
        <v>估价对象所在区域基础设施水平达七通</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1029</v>
      </c>
      <c r="B66" s="2441" t="str">
        <f>估价对象房地状况!C20</f>
        <v>周边有京城体育休闲公园；综合评价环境状况一般</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1032</v>
      </c>
      <c r="B67" s="2453">
        <f>1+E69</f>
        <v>1.0181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70" t="s">
        <v>1009</v>
      </c>
      <c r="B68" s="2436"/>
      <c r="C68" s="2458" t="s">
        <v>1011</v>
      </c>
      <c r="D68" s="2459" t="s">
        <v>1012</v>
      </c>
      <c r="E68" s="2460" t="s">
        <v>1014</v>
      </c>
      <c r="F68" s="2461" t="s">
        <v>2255</v>
      </c>
      <c r="G68" s="2459" t="s">
        <v>1015</v>
      </c>
      <c r="H68" s="2442" t="s">
        <v>2422</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70" t="s">
        <v>1033</v>
      </c>
      <c r="B69" s="2439" t="str">
        <f>估价对象房地状况!C15</f>
        <v>估价对象周边有姚家园东里、逸翠园等居住项目，综合评价居住社区成熟度一般</v>
      </c>
      <c r="C69" s="1162" t="s">
        <v>3099</v>
      </c>
      <c r="D69" s="2445">
        <f t="shared" ref="D69:D77" si="20">SUMIF($J$68:$N$68,C69,J69:N69)</f>
        <v>0</v>
      </c>
      <c r="E69" s="2464">
        <f>ROUND(SUM(D69:D77),4)</f>
        <v>1.8100000000000002E-2</v>
      </c>
      <c r="F69" s="2465">
        <f>IF(E2="住宅",SUMIF(L1:L12,G2,N1:N12),"——")</f>
        <v>9.9000000000000005E-2</v>
      </c>
      <c r="G69" s="2446">
        <v>6.8999999999999999E-3</v>
      </c>
      <c r="H69" s="2490">
        <f t="shared" ref="H69:H77" si="21">IFERROR(ROUNDDOWN($F$69*I69/2,4),"——")</f>
        <v>6.8999999999999999E-3</v>
      </c>
      <c r="I69" s="2463">
        <v>0.14000000000000001</v>
      </c>
      <c r="J69" s="2466">
        <f t="shared" ref="J69:J77" si="22">K69+$G69</f>
        <v>1.38E-2</v>
      </c>
      <c r="K69" s="2466">
        <f t="shared" ref="K69:K77" si="23">$L69+$G69</f>
        <v>6.8999999999999999E-3</v>
      </c>
      <c r="L69" s="2466">
        <v>0</v>
      </c>
      <c r="M69" s="2466">
        <f t="shared" ref="M69:N77" si="24">L69-$G69</f>
        <v>-6.8999999999999999E-3</v>
      </c>
      <c r="N69" s="2466">
        <f t="shared" si="24"/>
        <v>-1.38E-2</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36">
      <c r="A70" s="1070" t="s">
        <v>1034</v>
      </c>
      <c r="B70" s="2436" t="str">
        <f>估价对象房地状况!C18</f>
        <v>估价对象周边有344、531路公交线路经过，综合评价交通便捷度一般</v>
      </c>
      <c r="C70" s="1162" t="s">
        <v>3099</v>
      </c>
      <c r="D70" s="2445">
        <f t="shared" si="20"/>
        <v>0</v>
      </c>
      <c r="E70" s="2473"/>
      <c r="F70" s="2474"/>
      <c r="G70" s="2446">
        <v>1.4800000000000001E-2</v>
      </c>
      <c r="H70" s="2490">
        <f t="shared" si="21"/>
        <v>1.4800000000000001E-2</v>
      </c>
      <c r="I70" s="2463">
        <v>0.3</v>
      </c>
      <c r="J70" s="2466">
        <f t="shared" si="22"/>
        <v>2.9600000000000001E-2</v>
      </c>
      <c r="K70" s="2466">
        <f t="shared" si="23"/>
        <v>1.4800000000000001E-2</v>
      </c>
      <c r="L70" s="2466">
        <v>0</v>
      </c>
      <c r="M70" s="2466">
        <f t="shared" si="24"/>
        <v>-1.4800000000000001E-2</v>
      </c>
      <c r="N70" s="2466">
        <f t="shared" si="24"/>
        <v>-2.9600000000000001E-2</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70" t="s">
        <v>1023</v>
      </c>
      <c r="B71" s="2436">
        <f>估价对象房地状况!C19</f>
        <v>0</v>
      </c>
      <c r="C71" s="1162" t="s">
        <v>3090</v>
      </c>
      <c r="D71" s="2445">
        <f t="shared" si="20"/>
        <v>3.8999999999999998E-3</v>
      </c>
      <c r="E71" s="2473"/>
      <c r="F71" s="2474"/>
      <c r="G71" s="2446">
        <v>3.8999999999999998E-3</v>
      </c>
      <c r="H71" s="2490">
        <f t="shared" si="21"/>
        <v>3.8999999999999998E-3</v>
      </c>
      <c r="I71" s="2463">
        <v>0.08</v>
      </c>
      <c r="J71" s="2466">
        <f t="shared" si="22"/>
        <v>7.7999999999999996E-3</v>
      </c>
      <c r="K71" s="2466">
        <f t="shared" si="23"/>
        <v>3.8999999999999998E-3</v>
      </c>
      <c r="L71" s="2466">
        <v>0</v>
      </c>
      <c r="M71" s="2466">
        <f t="shared" si="24"/>
        <v>-3.8999999999999998E-3</v>
      </c>
      <c r="N71" s="2466">
        <f t="shared" si="24"/>
        <v>-7.7999999999999996E-3</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70" t="s">
        <v>1035</v>
      </c>
      <c r="B72" s="2436">
        <f>估价对象房地状况!C24</f>
        <v>0</v>
      </c>
      <c r="C72" s="1162" t="s">
        <v>3098</v>
      </c>
      <c r="D72" s="2445">
        <f t="shared" si="20"/>
        <v>-1.9E-3</v>
      </c>
      <c r="E72" s="2473"/>
      <c r="F72" s="2474"/>
      <c r="G72" s="2446">
        <v>1.9E-3</v>
      </c>
      <c r="H72" s="2490">
        <f t="shared" si="21"/>
        <v>1.9E-3</v>
      </c>
      <c r="I72" s="2463">
        <v>0.04</v>
      </c>
      <c r="J72" s="2466">
        <f t="shared" si="22"/>
        <v>3.8E-3</v>
      </c>
      <c r="K72" s="2466">
        <f t="shared" si="23"/>
        <v>1.9E-3</v>
      </c>
      <c r="L72" s="2466">
        <v>0</v>
      </c>
      <c r="M72" s="2466">
        <f t="shared" si="24"/>
        <v>-1.9E-3</v>
      </c>
      <c r="N72" s="2466">
        <f t="shared" si="24"/>
        <v>-3.8E-3</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70" t="s">
        <v>1027</v>
      </c>
      <c r="B73" s="2437" t="str">
        <f>估价对象房地状况!C21</f>
        <v>估价对象所在区域公共配套设施齐备度一般</v>
      </c>
      <c r="C73" s="1162" t="s">
        <v>3099</v>
      </c>
      <c r="D73" s="2445">
        <f t="shared" si="20"/>
        <v>0</v>
      </c>
      <c r="E73" s="2473"/>
      <c r="F73" s="2474"/>
      <c r="G73" s="2446">
        <v>3.8999999999999998E-3</v>
      </c>
      <c r="H73" s="2490">
        <f t="shared" si="21"/>
        <v>3.8999999999999998E-3</v>
      </c>
      <c r="I73" s="2463">
        <v>0.08</v>
      </c>
      <c r="J73" s="2466">
        <f t="shared" si="22"/>
        <v>7.7999999999999996E-3</v>
      </c>
      <c r="K73" s="2466">
        <f t="shared" si="23"/>
        <v>3.8999999999999998E-3</v>
      </c>
      <c r="L73" s="2466">
        <v>0</v>
      </c>
      <c r="M73" s="2466">
        <f t="shared" si="24"/>
        <v>-3.8999999999999998E-3</v>
      </c>
      <c r="N73" s="2466">
        <f t="shared" si="24"/>
        <v>-7.7999999999999996E-3</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70" t="s">
        <v>1028</v>
      </c>
      <c r="B74" s="2437" t="str">
        <f>估价对象房地状况!C22</f>
        <v>估价对象所在区域基础设施水平达七通</v>
      </c>
      <c r="C74" s="1162" t="s">
        <v>3177</v>
      </c>
      <c r="D74" s="2445">
        <f t="shared" si="20"/>
        <v>1.18E-2</v>
      </c>
      <c r="E74" s="2473"/>
      <c r="F74" s="2474"/>
      <c r="G74" s="2446">
        <v>5.8999999999999999E-3</v>
      </c>
      <c r="H74" s="2490">
        <f t="shared" si="21"/>
        <v>5.8999999999999999E-3</v>
      </c>
      <c r="I74" s="2463">
        <v>0.12</v>
      </c>
      <c r="J74" s="2466">
        <f t="shared" si="22"/>
        <v>1.18E-2</v>
      </c>
      <c r="K74" s="2466">
        <f t="shared" si="23"/>
        <v>5.8999999999999999E-3</v>
      </c>
      <c r="L74" s="2466">
        <v>0</v>
      </c>
      <c r="M74" s="2466">
        <f t="shared" si="24"/>
        <v>-5.8999999999999999E-3</v>
      </c>
      <c r="N74" s="2466">
        <f t="shared" si="24"/>
        <v>-1.18E-2</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70" t="s">
        <v>1026</v>
      </c>
      <c r="B75" s="3123" t="s">
        <v>2941</v>
      </c>
      <c r="C75" s="1162" t="s">
        <v>3090</v>
      </c>
      <c r="D75" s="2445">
        <f t="shared" si="20"/>
        <v>2.3999999999999998E-3</v>
      </c>
      <c r="E75" s="2473"/>
      <c r="F75" s="2474"/>
      <c r="G75" s="2446">
        <v>2.3999999999999998E-3</v>
      </c>
      <c r="H75" s="2490">
        <f t="shared" si="21"/>
        <v>2.3999999999999998E-3</v>
      </c>
      <c r="I75" s="2463">
        <v>0.05</v>
      </c>
      <c r="J75" s="2466">
        <f t="shared" si="22"/>
        <v>4.7999999999999996E-3</v>
      </c>
      <c r="K75" s="2466">
        <f t="shared" si="23"/>
        <v>2.3999999999999998E-3</v>
      </c>
      <c r="L75" s="2466">
        <v>0</v>
      </c>
      <c r="M75" s="2466">
        <f t="shared" si="24"/>
        <v>-2.3999999999999998E-3</v>
      </c>
      <c r="N75" s="2466">
        <f t="shared" si="24"/>
        <v>-4.7999999999999996E-3</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70" t="s">
        <v>1029</v>
      </c>
      <c r="B76" s="2439" t="str">
        <f>估价对象房地状况!C20</f>
        <v>周边有京城体育休闲公园；综合评价环境状况一般</v>
      </c>
      <c r="C76" s="1162" t="s">
        <v>3099</v>
      </c>
      <c r="D76" s="2445">
        <f t="shared" si="20"/>
        <v>0</v>
      </c>
      <c r="E76" s="2473"/>
      <c r="F76" s="2474"/>
      <c r="G76" s="2446">
        <v>7.4000000000000003E-3</v>
      </c>
      <c r="H76" s="2490">
        <f t="shared" si="21"/>
        <v>7.4000000000000003E-3</v>
      </c>
      <c r="I76" s="2463">
        <v>0.15</v>
      </c>
      <c r="J76" s="2466">
        <f t="shared" si="22"/>
        <v>1.4800000000000001E-2</v>
      </c>
      <c r="K76" s="2466">
        <f t="shared" si="23"/>
        <v>7.4000000000000003E-3</v>
      </c>
      <c r="L76" s="2466">
        <v>0</v>
      </c>
      <c r="M76" s="2466">
        <f t="shared" si="24"/>
        <v>-7.4000000000000003E-3</v>
      </c>
      <c r="N76" s="2466">
        <f t="shared" si="24"/>
        <v>-1.4800000000000001E-2</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1036</v>
      </c>
      <c r="B77" s="1854"/>
      <c r="C77" s="1162" t="s">
        <v>3090</v>
      </c>
      <c r="D77" s="2445">
        <f t="shared" si="20"/>
        <v>1.9E-3</v>
      </c>
      <c r="E77" s="2475"/>
      <c r="F77" s="2474"/>
      <c r="G77" s="2446">
        <v>1.9E-3</v>
      </c>
      <c r="H77" s="2490">
        <f t="shared" si="21"/>
        <v>1.9E-3</v>
      </c>
      <c r="I77" s="2470">
        <v>0.04</v>
      </c>
      <c r="J77" s="2466">
        <f t="shared" si="22"/>
        <v>3.8E-3</v>
      </c>
      <c r="K77" s="2466">
        <f t="shared" si="23"/>
        <v>1.9E-3</v>
      </c>
      <c r="L77" s="2466">
        <v>0</v>
      </c>
      <c r="M77" s="2466">
        <f t="shared" si="24"/>
        <v>-1.9E-3</v>
      </c>
      <c r="N77" s="2466">
        <f t="shared" si="24"/>
        <v>-3.8E-3</v>
      </c>
      <c r="AC77" s="1408"/>
      <c r="AD77" s="1407"/>
      <c r="AJ77" s="1406"/>
      <c r="AN77" s="1407"/>
    </row>
    <row r="78" spans="1:40" ht="15">
      <c r="A78" s="2452" t="s">
        <v>1037</v>
      </c>
      <c r="B78" s="2453">
        <f>1+E80</f>
        <v>1</v>
      </c>
      <c r="C78" s="2472"/>
      <c r="D78" s="2455"/>
      <c r="E78" s="2456"/>
      <c r="F78" s="2457"/>
      <c r="G78" s="2451"/>
      <c r="H78" s="2451"/>
      <c r="I78" s="2451"/>
      <c r="J78" s="1069"/>
      <c r="K78" s="1069"/>
      <c r="L78" s="1069"/>
      <c r="M78" s="1069"/>
      <c r="N78" s="1069"/>
      <c r="AC78" s="1408"/>
      <c r="AD78" s="1407"/>
      <c r="AJ78" s="1406"/>
      <c r="AN78" s="1407"/>
    </row>
    <row r="79" spans="1:40" ht="24">
      <c r="A79" s="1070" t="s">
        <v>1009</v>
      </c>
      <c r="B79" s="2436"/>
      <c r="C79" s="2458" t="s">
        <v>1011</v>
      </c>
      <c r="D79" s="2459" t="s">
        <v>1012</v>
      </c>
      <c r="E79" s="2460" t="s">
        <v>1014</v>
      </c>
      <c r="F79" s="2461" t="s">
        <v>2256</v>
      </c>
      <c r="G79" s="2459" t="s">
        <v>1015</v>
      </c>
      <c r="H79" s="2442" t="s">
        <v>2422</v>
      </c>
      <c r="I79" s="2459" t="s">
        <v>1013</v>
      </c>
      <c r="J79" s="2462" t="s">
        <v>1016</v>
      </c>
      <c r="K79" s="2462" t="s">
        <v>1017</v>
      </c>
      <c r="L79" s="2462" t="s">
        <v>1018</v>
      </c>
      <c r="M79" s="2462" t="s">
        <v>1019</v>
      </c>
      <c r="N79" s="2462" t="s">
        <v>1020</v>
      </c>
      <c r="AC79" s="1408"/>
      <c r="AD79" s="1407"/>
      <c r="AJ79" s="1406"/>
      <c r="AN79" s="1407"/>
    </row>
    <row r="80" spans="1:40" ht="36">
      <c r="A80" s="1070" t="s">
        <v>1038</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70" t="s">
        <v>1034</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70" t="s">
        <v>1023</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70" t="s">
        <v>1035</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70" t="s">
        <v>1027</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70" t="s">
        <v>1028</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70" t="s">
        <v>1026</v>
      </c>
      <c r="B86" s="3123" t="s">
        <v>2941</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1039</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8" t="s">
        <v>1634</v>
      </c>
      <c r="B90" s="3418"/>
      <c r="C90" s="3418"/>
      <c r="D90" s="3418"/>
      <c r="E90" s="3418"/>
      <c r="F90" s="3418"/>
      <c r="G90" s="3418"/>
      <c r="H90" s="3418"/>
      <c r="I90" s="3418"/>
      <c r="J90" s="3418"/>
      <c r="K90" s="2478"/>
      <c r="L90" s="2478"/>
      <c r="M90" s="2478"/>
      <c r="N90" s="2478"/>
    </row>
    <row r="91" spans="1:40">
      <c r="A91" s="3417" t="s">
        <v>1444</v>
      </c>
      <c r="B91" s="3417" t="s">
        <v>1635</v>
      </c>
      <c r="C91" s="1143" t="s">
        <v>1636</v>
      </c>
      <c r="D91" s="1144"/>
      <c r="E91" s="1144"/>
      <c r="F91" s="1144"/>
      <c r="G91" s="1144"/>
      <c r="H91" s="1144"/>
      <c r="I91" s="1144"/>
      <c r="J91" s="1145"/>
      <c r="K91" s="1137"/>
      <c r="L91" s="1137"/>
      <c r="M91" s="1137"/>
      <c r="N91" s="1137"/>
    </row>
    <row r="92" spans="1:40">
      <c r="A92" s="3417"/>
      <c r="B92" s="3417"/>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92"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93"/>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93"/>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93"/>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93"/>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93"/>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93"/>
      <c r="B99" s="1146" t="s">
        <v>1637</v>
      </c>
      <c r="C99" s="1148">
        <f>$I$3</f>
        <v>0</v>
      </c>
      <c r="D99" s="1148">
        <f t="shared" ref="D99:N99" si="30">$I$3</f>
        <v>0</v>
      </c>
      <c r="E99" s="1148">
        <f t="shared" si="30"/>
        <v>0</v>
      </c>
      <c r="F99" s="1148">
        <f t="shared" si="30"/>
        <v>0</v>
      </c>
      <c r="G99" s="1148">
        <f t="shared" si="30"/>
        <v>0</v>
      </c>
      <c r="H99" s="1148">
        <f t="shared" si="30"/>
        <v>0</v>
      </c>
      <c r="I99" s="1148">
        <f t="shared" si="30"/>
        <v>0</v>
      </c>
      <c r="J99" s="1148">
        <f t="shared" si="30"/>
        <v>0</v>
      </c>
      <c r="K99" s="1148">
        <f t="shared" si="30"/>
        <v>0</v>
      </c>
      <c r="L99" s="1148">
        <f t="shared" si="30"/>
        <v>0</v>
      </c>
      <c r="M99" s="1148">
        <f t="shared" si="30"/>
        <v>0</v>
      </c>
      <c r="N99" s="1148">
        <f t="shared" si="30"/>
        <v>0</v>
      </c>
    </row>
    <row r="100" spans="1:14">
      <c r="A100" s="3494"/>
      <c r="B100" s="1146">
        <v>7</v>
      </c>
      <c r="C100" s="1149">
        <f>(-0.163*(C99^2)-0.59*C99+7617)*(10^(-4))</f>
        <v>0.76170000000000004</v>
      </c>
      <c r="D100" s="1149">
        <f>(-0.163*(D99^2)-0.59*D99+7617)*(10^(-4))</f>
        <v>0.76170000000000004</v>
      </c>
      <c r="E100" s="1149">
        <f>(-0.161*(E99^2)-7.509*E99+6533)*(10^(-4))</f>
        <v>0.65329999999999999</v>
      </c>
      <c r="F100" s="1149">
        <f>(-0.161*(F99^2)-7.509*F99+6533)*(10^(-4))</f>
        <v>0.65329999999999999</v>
      </c>
      <c r="G100" s="1149">
        <f>(-0.161*(G99^2)-7.509*G99+6533)*(10^(-4))</f>
        <v>0.65329999999999999</v>
      </c>
      <c r="H100" s="1149">
        <f>(-0.161*(H99^2)-7.509*H99+6533)*(10^(-4))</f>
        <v>0.65329999999999999</v>
      </c>
      <c r="I100" s="1149">
        <f>(-0.161*(I99^2)-7.509*I99+6533)*(10^(-4))</f>
        <v>0.65329999999999999</v>
      </c>
      <c r="J100" s="1149">
        <f>(-0.214*(J99^2)-21.991*J99+4665)*(10^(-4))</f>
        <v>0.46650000000000003</v>
      </c>
      <c r="K100" s="1149">
        <f>(-0.214*(K99^2)-21.991*K99+4665)*(10^(-4))</f>
        <v>0.46650000000000003</v>
      </c>
      <c r="L100" s="1149">
        <f>(-0.214*(L99^2)-21.991*L99+4665)*(10^(-4))</f>
        <v>0.46650000000000003</v>
      </c>
      <c r="M100" s="1149">
        <f>(-0.214*(M99^2)-21.991*M99+4665)*(10^(-4))</f>
        <v>0.46650000000000003</v>
      </c>
      <c r="N100" s="1149">
        <f>(-0.214*(N99^2)-21.991*N99+4665)*(10^(-4))</f>
        <v>0.46650000000000003</v>
      </c>
    </row>
    <row r="101" spans="1:14">
      <c r="A101" s="3492" t="s">
        <v>1638</v>
      </c>
      <c r="B101" s="1150" t="s">
        <v>906</v>
      </c>
      <c r="C101" s="1151">
        <f>$G$3</f>
        <v>2.42</v>
      </c>
      <c r="D101" s="1151">
        <f t="shared" ref="D101:N101" si="31">$G$3</f>
        <v>2.42</v>
      </c>
      <c r="E101" s="1151">
        <f t="shared" si="31"/>
        <v>2.42</v>
      </c>
      <c r="F101" s="1151">
        <f t="shared" si="31"/>
        <v>2.42</v>
      </c>
      <c r="G101" s="1151">
        <f t="shared" si="31"/>
        <v>2.42</v>
      </c>
      <c r="H101" s="1151">
        <f t="shared" si="31"/>
        <v>2.42</v>
      </c>
      <c r="I101" s="1151">
        <f t="shared" si="31"/>
        <v>2.42</v>
      </c>
      <c r="J101" s="1151">
        <f t="shared" si="31"/>
        <v>2.42</v>
      </c>
      <c r="K101" s="1151">
        <f t="shared" si="31"/>
        <v>2.42</v>
      </c>
      <c r="L101" s="1151">
        <f t="shared" si="31"/>
        <v>2.42</v>
      </c>
      <c r="M101" s="1151">
        <f t="shared" si="31"/>
        <v>2.42</v>
      </c>
      <c r="N101" s="1151">
        <f t="shared" si="31"/>
        <v>2.42</v>
      </c>
    </row>
    <row r="102" spans="1:14">
      <c r="A102" s="3493"/>
      <c r="B102" s="1146">
        <v>1</v>
      </c>
      <c r="C102" s="1147">
        <f>1.9362/C101</f>
        <v>0.80008264462809919</v>
      </c>
      <c r="D102" s="1147">
        <f>1.9362/D101</f>
        <v>0.80008264462809919</v>
      </c>
      <c r="E102" s="1147">
        <f>1.8629/E101</f>
        <v>0.76979338842975209</v>
      </c>
      <c r="F102" s="1147">
        <f>1.8629/F101</f>
        <v>0.76979338842975209</v>
      </c>
      <c r="G102" s="1147">
        <f>1.8629/G101</f>
        <v>0.76979338842975209</v>
      </c>
      <c r="H102" s="1147">
        <f>1.8629/H101</f>
        <v>0.76979338842975209</v>
      </c>
      <c r="I102" s="1147">
        <f>1.8629/I101</f>
        <v>0.76979338842975209</v>
      </c>
      <c r="J102" s="1147">
        <f>1.942/J101</f>
        <v>0.80247933884297518</v>
      </c>
      <c r="K102" s="1147">
        <f>1.942/K101</f>
        <v>0.80247933884297518</v>
      </c>
      <c r="L102" s="1147">
        <f>1.942/L101</f>
        <v>0.80247933884297518</v>
      </c>
      <c r="M102" s="1147">
        <f>1.942/M101</f>
        <v>0.80247933884297518</v>
      </c>
      <c r="N102" s="1147">
        <f>1.942/N101</f>
        <v>0.80247933884297518</v>
      </c>
    </row>
    <row r="103" spans="1:14">
      <c r="A103" s="3493"/>
      <c r="B103" s="1146">
        <v>2</v>
      </c>
      <c r="C103" s="1147">
        <f>1.4198/C101</f>
        <v>0.58669421487603302</v>
      </c>
      <c r="D103" s="1147">
        <f>1.4198/D101</f>
        <v>0.58669421487603302</v>
      </c>
      <c r="E103" s="1147">
        <f>1.3372/E101</f>
        <v>0.55256198347107433</v>
      </c>
      <c r="F103" s="1147">
        <f>1.3372/F101</f>
        <v>0.55256198347107433</v>
      </c>
      <c r="G103" s="1147">
        <f>1.3372/G101</f>
        <v>0.55256198347107433</v>
      </c>
      <c r="H103" s="1147">
        <f>1.3372/H101</f>
        <v>0.55256198347107433</v>
      </c>
      <c r="I103" s="1147">
        <f>1.3372/I101</f>
        <v>0.55256198347107433</v>
      </c>
      <c r="J103" s="1147">
        <f>1.2799/J101</f>
        <v>0.52888429752066124</v>
      </c>
      <c r="K103" s="1147">
        <f>1.2799/K101</f>
        <v>0.52888429752066124</v>
      </c>
      <c r="L103" s="1147">
        <f>1.2799/L101</f>
        <v>0.52888429752066124</v>
      </c>
      <c r="M103" s="1147">
        <f>1.2799/M101</f>
        <v>0.52888429752066124</v>
      </c>
      <c r="N103" s="1147">
        <f>1.2799/N101</f>
        <v>0.52888429752066124</v>
      </c>
    </row>
    <row r="104" spans="1:14">
      <c r="A104" s="3493"/>
      <c r="B104" s="1146">
        <v>3</v>
      </c>
      <c r="C104" s="1147">
        <f>1.1594/C101</f>
        <v>0.47909090909090912</v>
      </c>
      <c r="D104" s="1147">
        <f>1.1594/D101</f>
        <v>0.47909090909090912</v>
      </c>
      <c r="E104" s="1147">
        <f>1.0788/E101</f>
        <v>0.44578512396694214</v>
      </c>
      <c r="F104" s="1147">
        <f>1.0788/F101</f>
        <v>0.44578512396694214</v>
      </c>
      <c r="G104" s="1147">
        <f>1.0788/G101</f>
        <v>0.44578512396694214</v>
      </c>
      <c r="H104" s="1147">
        <f>1.0788/H101</f>
        <v>0.44578512396694214</v>
      </c>
      <c r="I104" s="1147">
        <f>1.0788/I101</f>
        <v>0.44578512396694214</v>
      </c>
      <c r="J104" s="1147">
        <f>1.0072/J101</f>
        <v>0.41619834710743808</v>
      </c>
      <c r="K104" s="1147">
        <f>1.0072/K101</f>
        <v>0.41619834710743808</v>
      </c>
      <c r="L104" s="1147">
        <f>1.0072/L101</f>
        <v>0.41619834710743808</v>
      </c>
      <c r="M104" s="1147">
        <f>1.0072/M101</f>
        <v>0.41619834710743808</v>
      </c>
      <c r="N104" s="1147">
        <f>1.0072/N101</f>
        <v>0.41619834710743808</v>
      </c>
    </row>
    <row r="105" spans="1:14">
      <c r="A105" s="3493"/>
      <c r="B105" s="1146">
        <v>4</v>
      </c>
      <c r="C105" s="1147">
        <f>0.9622/C101</f>
        <v>0.39760330578512398</v>
      </c>
      <c r="D105" s="1147">
        <f>0.9622/D101</f>
        <v>0.39760330578512398</v>
      </c>
      <c r="E105" s="1147">
        <f>0.8656/E101</f>
        <v>0.35768595041322315</v>
      </c>
      <c r="F105" s="1147">
        <f>0.8656/F101</f>
        <v>0.35768595041322315</v>
      </c>
      <c r="G105" s="1147">
        <f>0.8656/G101</f>
        <v>0.35768595041322315</v>
      </c>
      <c r="H105" s="1147">
        <f>0.8656/H101</f>
        <v>0.35768595041322315</v>
      </c>
      <c r="I105" s="1147">
        <f>0.8656/I101</f>
        <v>0.35768595041322315</v>
      </c>
      <c r="J105" s="1147">
        <f>0.7525/J101</f>
        <v>0.31095041322314049</v>
      </c>
      <c r="K105" s="1147">
        <f>0.7525/K101</f>
        <v>0.31095041322314049</v>
      </c>
      <c r="L105" s="1147">
        <f>0.7525/L101</f>
        <v>0.31095041322314049</v>
      </c>
      <c r="M105" s="1147">
        <f>0.7525/M101</f>
        <v>0.31095041322314049</v>
      </c>
      <c r="N105" s="1147">
        <f>0.7525/N101</f>
        <v>0.31095041322314049</v>
      </c>
    </row>
    <row r="106" spans="1:14">
      <c r="A106" s="3493"/>
      <c r="B106" s="1146">
        <v>5</v>
      </c>
      <c r="C106" s="1147">
        <f>0.8417/C101</f>
        <v>0.34780991735537192</v>
      </c>
      <c r="D106" s="1147">
        <f>0.8417/D101</f>
        <v>0.34780991735537192</v>
      </c>
      <c r="E106" s="1147">
        <f>0.7371/E101</f>
        <v>0.30458677685950414</v>
      </c>
      <c r="F106" s="1147">
        <f>0.7371/F101</f>
        <v>0.30458677685950414</v>
      </c>
      <c r="G106" s="1147">
        <f>0.7371/G101</f>
        <v>0.30458677685950414</v>
      </c>
      <c r="H106" s="1147">
        <f>0.7371/H101</f>
        <v>0.30458677685950414</v>
      </c>
      <c r="I106" s="1147">
        <f>0.7371/I101</f>
        <v>0.30458677685950414</v>
      </c>
      <c r="J106" s="1147">
        <f>0.5659/J101</f>
        <v>0.23384297520661157</v>
      </c>
      <c r="K106" s="1147">
        <f>0.5659/K101</f>
        <v>0.23384297520661157</v>
      </c>
      <c r="L106" s="1147">
        <f>0.5659/L101</f>
        <v>0.23384297520661157</v>
      </c>
      <c r="M106" s="1147">
        <f>0.5659/M101</f>
        <v>0.23384297520661157</v>
      </c>
      <c r="N106" s="1147">
        <f>0.5659/N101</f>
        <v>0.23384297520661157</v>
      </c>
    </row>
    <row r="107" spans="1:14">
      <c r="A107" s="3493"/>
      <c r="B107" s="1146">
        <v>6</v>
      </c>
      <c r="C107" s="1147">
        <f>0.7608/C101</f>
        <v>0.31438016528925622</v>
      </c>
      <c r="D107" s="1147">
        <f>0.7608/D101</f>
        <v>0.31438016528925622</v>
      </c>
      <c r="E107" s="1147">
        <f>0.6482/E101</f>
        <v>0.26785123966942148</v>
      </c>
      <c r="F107" s="1147">
        <f>0.6482/F101</f>
        <v>0.26785123966942148</v>
      </c>
      <c r="G107" s="1147">
        <f>0.6482/G101</f>
        <v>0.26785123966942148</v>
      </c>
      <c r="H107" s="1147">
        <f>0.6482/H101</f>
        <v>0.26785123966942148</v>
      </c>
      <c r="I107" s="1147">
        <f>0.6482/I101</f>
        <v>0.26785123966942148</v>
      </c>
      <c r="J107" s="1147">
        <f>0.4525/J101</f>
        <v>0.18698347107438018</v>
      </c>
      <c r="K107" s="1147">
        <f>0.4525/K101</f>
        <v>0.18698347107438018</v>
      </c>
      <c r="L107" s="1147">
        <f>0.4525/L101</f>
        <v>0.18698347107438018</v>
      </c>
      <c r="M107" s="1147">
        <f>0.4525/M101</f>
        <v>0.18698347107438018</v>
      </c>
      <c r="N107" s="1147">
        <f>0.4525/N101</f>
        <v>0.18698347107438018</v>
      </c>
    </row>
    <row r="108" spans="1:14">
      <c r="A108" s="3493"/>
      <c r="B108" s="3495" t="s">
        <v>1639</v>
      </c>
      <c r="C108" s="1148">
        <f>C99</f>
        <v>0</v>
      </c>
      <c r="D108" s="1148">
        <f t="shared" ref="D108:N108" si="32">D99</f>
        <v>0</v>
      </c>
      <c r="E108" s="1148">
        <f t="shared" si="32"/>
        <v>0</v>
      </c>
      <c r="F108" s="1148">
        <f t="shared" si="32"/>
        <v>0</v>
      </c>
      <c r="G108" s="1148">
        <f t="shared" si="32"/>
        <v>0</v>
      </c>
      <c r="H108" s="1148">
        <f t="shared" si="32"/>
        <v>0</v>
      </c>
      <c r="I108" s="1148">
        <f t="shared" si="32"/>
        <v>0</v>
      </c>
      <c r="J108" s="1148">
        <f t="shared" si="32"/>
        <v>0</v>
      </c>
      <c r="K108" s="1148">
        <f t="shared" si="32"/>
        <v>0</v>
      </c>
      <c r="L108" s="1148">
        <f t="shared" si="32"/>
        <v>0</v>
      </c>
      <c r="M108" s="1148">
        <f t="shared" si="32"/>
        <v>0</v>
      </c>
      <c r="N108" s="1148">
        <f t="shared" si="32"/>
        <v>0</v>
      </c>
    </row>
    <row r="109" spans="1:14">
      <c r="A109" s="3494"/>
      <c r="B109" s="3496"/>
      <c r="C109" s="1149">
        <f>(-0.163*(C108^2)-0.59*C108+7617)*(10^(-4))/C101</f>
        <v>0.3147520661157025</v>
      </c>
      <c r="D109" s="1149">
        <f>(-0.163*(D108^2)-0.59*D108+7617)*(10^(-4))/D101</f>
        <v>0.3147520661157025</v>
      </c>
      <c r="E109" s="1149">
        <f>(-0.161*(E108^2)-7.509*E108+6533)*(10^(-4))/E101</f>
        <v>0.26995867768595044</v>
      </c>
      <c r="F109" s="1149">
        <f>(-0.161*(F108^2)-7.509*F108+6533)*(10^(-4))/F101</f>
        <v>0.26995867768595044</v>
      </c>
      <c r="G109" s="1149">
        <f>(-0.161*(G108^2)-7.509*G108+6533)*(10^(-4))/G101</f>
        <v>0.26995867768595044</v>
      </c>
      <c r="H109" s="1149">
        <f>(-0.161*(H108^2)-7.509*H108+6533)*(10^(-4))/H101</f>
        <v>0.26995867768595044</v>
      </c>
      <c r="I109" s="1149">
        <f>(-0.161*(I108^2)-7.509*I108+6533)*(10^(-4))/I101</f>
        <v>0.26995867768595044</v>
      </c>
      <c r="J109" s="1149">
        <f>(-0.214*(J108^2)-21.991*J108+4665)*(10^(-4))/J101</f>
        <v>0.19276859504132232</v>
      </c>
      <c r="K109" s="1149">
        <f>(-0.214*(K108^2)-21.991*K108+4665)*(10^(-4))/K101</f>
        <v>0.19276859504132232</v>
      </c>
      <c r="L109" s="1149">
        <f>(-0.214*(L108^2)-21.991*L108+4665)*(10^(-4))/L101</f>
        <v>0.19276859504132232</v>
      </c>
      <c r="M109" s="1149">
        <f>(-0.214*(M108^2)-21.991*M108+4665)*(10^(-4))/M101</f>
        <v>0.19276859504132232</v>
      </c>
      <c r="N109" s="1149">
        <f>(-0.214*(N108^2)-21.991*N108+4665)*(10^(-4))/N101</f>
        <v>0.19276859504132232</v>
      </c>
    </row>
    <row r="110" spans="1:14">
      <c r="A110" s="3481" t="s">
        <v>1640</v>
      </c>
      <c r="B110" s="3481"/>
      <c r="C110" s="3481"/>
      <c r="D110" s="3481"/>
      <c r="E110" s="3481"/>
      <c r="F110" s="3481"/>
      <c r="G110" s="3481"/>
      <c r="H110" s="3481"/>
      <c r="I110" s="3481"/>
      <c r="J110" s="3481"/>
      <c r="K110" s="2476"/>
      <c r="L110" s="2476"/>
      <c r="M110" s="2476"/>
      <c r="N110" s="2476"/>
    </row>
    <row r="112" spans="1:14" ht="12.75" thickBot="1"/>
    <row r="113" spans="1:13" ht="25.5" thickBot="1">
      <c r="A113" s="1019" t="s">
        <v>896</v>
      </c>
      <c r="B113" s="2479">
        <f>G3</f>
        <v>2.42</v>
      </c>
      <c r="C113" s="1020" t="s">
        <v>897</v>
      </c>
      <c r="D113" s="1021">
        <f>SUMPRODUCT((A115:A118=F113)*(B114:M114=H113)*B115:M118)</f>
        <v>0.85540000000000005</v>
      </c>
      <c r="E113" s="1022" t="s">
        <v>898</v>
      </c>
      <c r="F113" s="1023" t="str">
        <f>E2</f>
        <v>住宅</v>
      </c>
      <c r="G113" s="1022" t="s">
        <v>899</v>
      </c>
      <c r="H113" s="1023" t="str">
        <f>G2</f>
        <v>五级</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0.91080000000000005</v>
      </c>
      <c r="C115" s="1033">
        <f>B115</f>
        <v>0.91080000000000005</v>
      </c>
      <c r="D115" s="1033">
        <f>ROUND(0.8331-0.0109*B113,4)</f>
        <v>0.80669999999999997</v>
      </c>
      <c r="E115" s="1033">
        <f>D115</f>
        <v>0.80669999999999997</v>
      </c>
      <c r="F115" s="1033">
        <f>E115</f>
        <v>0.80669999999999997</v>
      </c>
      <c r="G115" s="1033">
        <f>F115</f>
        <v>0.80669999999999997</v>
      </c>
      <c r="H115" s="1033">
        <f>G115</f>
        <v>0.80669999999999997</v>
      </c>
      <c r="I115" s="1033">
        <f>ROUND(0.689-0.0155*B113,4)</f>
        <v>0.65149999999999997</v>
      </c>
      <c r="J115" s="1033">
        <f t="shared" ref="J115:M118" si="33">I115</f>
        <v>0.65149999999999997</v>
      </c>
      <c r="K115" s="1033">
        <f t="shared" si="33"/>
        <v>0.65149999999999997</v>
      </c>
      <c r="L115" s="1033">
        <f t="shared" si="33"/>
        <v>0.65149999999999997</v>
      </c>
      <c r="M115" s="1034">
        <f t="shared" si="33"/>
        <v>0.65149999999999997</v>
      </c>
    </row>
    <row r="116" spans="1:13" ht="12.75">
      <c r="A116" s="1032" t="s">
        <v>901</v>
      </c>
      <c r="B116" s="1033">
        <f>ROUND(0.949-0.012*B113,4)</f>
        <v>0.92</v>
      </c>
      <c r="C116" s="1033">
        <f>B116</f>
        <v>0.92</v>
      </c>
      <c r="D116" s="1033">
        <f>ROUND(0.8567-0.013*B113,4)</f>
        <v>0.82520000000000004</v>
      </c>
      <c r="E116" s="1033">
        <f t="shared" ref="E116:H117" si="34">D116</f>
        <v>0.82520000000000004</v>
      </c>
      <c r="F116" s="1033">
        <f t="shared" si="34"/>
        <v>0.82520000000000004</v>
      </c>
      <c r="G116" s="1033">
        <f t="shared" si="34"/>
        <v>0.82520000000000004</v>
      </c>
      <c r="H116" s="1033">
        <f t="shared" si="34"/>
        <v>0.82520000000000004</v>
      </c>
      <c r="I116" s="1033">
        <f>ROUND(0.7694-0.014*B113,4)</f>
        <v>0.73550000000000004</v>
      </c>
      <c r="J116" s="1033">
        <f t="shared" si="33"/>
        <v>0.73550000000000004</v>
      </c>
      <c r="K116" s="1033">
        <f t="shared" si="33"/>
        <v>0.73550000000000004</v>
      </c>
      <c r="L116" s="1033">
        <f t="shared" si="33"/>
        <v>0.73550000000000004</v>
      </c>
      <c r="M116" s="1034">
        <f t="shared" si="33"/>
        <v>0.73550000000000004</v>
      </c>
    </row>
    <row r="117" spans="1:13" ht="12.75">
      <c r="A117" s="1035" t="s">
        <v>902</v>
      </c>
      <c r="B117" s="1033">
        <f>ROUND(0.8808-0.006*B113,4)</f>
        <v>0.86629999999999996</v>
      </c>
      <c r="C117" s="1033">
        <f>B117</f>
        <v>0.86629999999999996</v>
      </c>
      <c r="D117" s="1033">
        <f>ROUND(0.8748-0.008*B113,4)</f>
        <v>0.85540000000000005</v>
      </c>
      <c r="E117" s="1033">
        <f t="shared" si="34"/>
        <v>0.85540000000000005</v>
      </c>
      <c r="F117" s="1033">
        <f t="shared" si="34"/>
        <v>0.85540000000000005</v>
      </c>
      <c r="G117" s="1033">
        <f t="shared" si="34"/>
        <v>0.85540000000000005</v>
      </c>
      <c r="H117" s="1033">
        <f t="shared" si="34"/>
        <v>0.85540000000000005</v>
      </c>
      <c r="I117" s="1033">
        <f>ROUND(0.7412-0.0095*B113,4)</f>
        <v>0.71819999999999995</v>
      </c>
      <c r="J117" s="1033">
        <f t="shared" si="33"/>
        <v>0.71819999999999995</v>
      </c>
      <c r="K117" s="1033">
        <f t="shared" si="33"/>
        <v>0.71819999999999995</v>
      </c>
      <c r="L117" s="1033">
        <f t="shared" si="33"/>
        <v>0.71819999999999995</v>
      </c>
      <c r="M117" s="1034">
        <f t="shared" si="33"/>
        <v>0.71819999999999995</v>
      </c>
    </row>
    <row r="118" spans="1:13" ht="13.5" thickBot="1">
      <c r="A118" s="1036" t="s">
        <v>903</v>
      </c>
      <c r="B118" s="1037">
        <f>ROUND(0.7275-0.01*B113,4)</f>
        <v>0.70330000000000004</v>
      </c>
      <c r="C118" s="1037">
        <f>B118</f>
        <v>0.70330000000000004</v>
      </c>
      <c r="D118" s="1037">
        <f>ROUND(0.7043-0.012*B113,4)</f>
        <v>0.67530000000000001</v>
      </c>
      <c r="E118" s="1037">
        <f>D118</f>
        <v>0.67530000000000001</v>
      </c>
      <c r="F118" s="1037">
        <f>E118</f>
        <v>0.67530000000000001</v>
      </c>
      <c r="G118" s="1037">
        <f>ROUND(0.6299-0.0122*B113,4)</f>
        <v>0.60040000000000004</v>
      </c>
      <c r="H118" s="1037">
        <f>G118</f>
        <v>0.60040000000000004</v>
      </c>
      <c r="I118" s="1037">
        <f>ROUND(0.5667-0.0136*B113,4)</f>
        <v>0.53380000000000005</v>
      </c>
      <c r="J118" s="1037">
        <f t="shared" si="33"/>
        <v>0.53380000000000005</v>
      </c>
      <c r="K118" s="1037">
        <f t="shared" si="33"/>
        <v>0.53380000000000005</v>
      </c>
      <c r="L118" s="1037">
        <f t="shared" si="33"/>
        <v>0.53380000000000005</v>
      </c>
      <c r="M118" s="1038">
        <f t="shared" si="33"/>
        <v>0.53380000000000005</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9" sqref="M39"/>
    </sheetView>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2041</v>
      </c>
      <c r="B1" s="3200"/>
      <c r="C1" s="3200"/>
      <c r="D1" s="3200"/>
      <c r="E1" s="3200"/>
      <c r="F1" s="3200"/>
      <c r="G1" s="3200"/>
      <c r="H1" s="3200"/>
      <c r="I1" s="3200"/>
      <c r="J1" s="3200"/>
      <c r="K1" s="3200"/>
      <c r="L1" s="3200"/>
      <c r="M1" s="3200"/>
      <c r="N1" s="3200"/>
      <c r="O1" s="3200"/>
      <c r="P1" s="3200"/>
      <c r="Q1" s="3200"/>
      <c r="R1" s="3200"/>
    </row>
    <row r="2" spans="1:18">
      <c r="A2" s="1811" t="s">
        <v>2043</v>
      </c>
      <c r="B2" s="1811"/>
      <c r="C2" s="1811"/>
      <c r="D2" s="1811"/>
      <c r="E2" s="1811"/>
      <c r="F2" s="1811"/>
      <c r="G2" s="1811"/>
      <c r="H2" s="1811"/>
      <c r="I2" s="1812"/>
      <c r="J2" s="1812"/>
      <c r="K2" s="1813" t="str">
        <f>"估价期日："&amp;TEXT(项目基本情况!D3,"yyyy年m月d日;;")</f>
        <v>估价期日：2017年11月8日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1" t="s">
        <v>2032</v>
      </c>
      <c r="B3" s="3201" t="s">
        <v>2739</v>
      </c>
      <c r="C3" s="3202" t="s">
        <v>2033</v>
      </c>
      <c r="D3" s="3201" t="s">
        <v>2743</v>
      </c>
      <c r="E3" s="3204" t="s">
        <v>2034</v>
      </c>
      <c r="F3" s="3204"/>
      <c r="G3" s="3204"/>
      <c r="H3" s="3204" t="s">
        <v>2035</v>
      </c>
      <c r="I3" s="3204"/>
      <c r="J3" s="3204"/>
      <c r="K3" s="3202" t="s">
        <v>2036</v>
      </c>
      <c r="L3" s="3202" t="s">
        <v>2037</v>
      </c>
      <c r="M3" s="3201" t="s">
        <v>2740</v>
      </c>
      <c r="N3" s="3203" t="str">
        <f>"（分摊）"&amp;项目基本情况!B16&amp;"国有建设用地使用权面积/㎡"</f>
        <v>（分摊）出让国有建设用地使用权面积/㎡</v>
      </c>
      <c r="O3" s="3201" t="s">
        <v>2066</v>
      </c>
      <c r="P3" s="3202" t="s">
        <v>2046</v>
      </c>
      <c r="Q3" s="3202" t="s">
        <v>2067</v>
      </c>
      <c r="R3" s="3202" t="s">
        <v>2038</v>
      </c>
    </row>
    <row r="4" spans="1:18" ht="36.75" customHeight="1">
      <c r="A4" s="3201"/>
      <c r="B4" s="3201"/>
      <c r="C4" s="3202"/>
      <c r="D4" s="3201"/>
      <c r="E4" s="2678" t="s">
        <v>2045</v>
      </c>
      <c r="F4" s="2678" t="s">
        <v>2752</v>
      </c>
      <c r="G4" s="2678" t="s">
        <v>2039</v>
      </c>
      <c r="H4" s="2678" t="s">
        <v>2040</v>
      </c>
      <c r="I4" s="2678" t="s">
        <v>2753</v>
      </c>
      <c r="J4" s="2678" t="s">
        <v>2039</v>
      </c>
      <c r="K4" s="3202"/>
      <c r="L4" s="3202"/>
      <c r="M4" s="3201"/>
      <c r="N4" s="3203"/>
      <c r="O4" s="3201"/>
      <c r="P4" s="3202"/>
      <c r="Q4" s="3202"/>
      <c r="R4" s="3202"/>
    </row>
    <row r="5" spans="1:18" ht="135" customHeight="1">
      <c r="A5" s="1947" t="s">
        <v>2663</v>
      </c>
      <c r="B5" s="2897" t="s">
        <v>2661</v>
      </c>
      <c r="C5" s="2677">
        <v>22</v>
      </c>
      <c r="D5" s="2676" t="s">
        <v>2662</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v>
      </c>
      <c r="M5" s="1814">
        <f>IF(项目基本情况!B16="出让",项目基本情况!D20,"——")</f>
        <v>0</v>
      </c>
      <c r="N5" s="1814">
        <f>项目基本情况!C22</f>
        <v>97801.4</v>
      </c>
      <c r="O5" s="1814">
        <f>项目基本情况!C21</f>
        <v>300788.65999999997</v>
      </c>
      <c r="P5" s="1814">
        <f ca="1">结果表!E42</f>
        <v>100744</v>
      </c>
      <c r="Q5" s="1814">
        <f ca="1">结果表!D42</f>
        <v>32757</v>
      </c>
      <c r="R5" s="1815">
        <f ca="1">结果表!C42</f>
        <v>985289</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6">
        <f ca="1">结果表!O39</f>
        <v>985289</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6"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6" t="str">
        <f>结果表!O41</f>
        <v>——</v>
      </c>
    </row>
    <row r="9" spans="1:18">
      <c r="A9" s="1817" t="s">
        <v>2044</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2031</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8" t="s">
        <v>2068</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2069</v>
      </c>
      <c r="B5" s="3211"/>
      <c r="C5" s="3211"/>
      <c r="D5" s="3211"/>
    </row>
    <row r="6" spans="1:4">
      <c r="A6" s="3208" t="s">
        <v>2047</v>
      </c>
      <c r="B6" s="3208"/>
      <c r="C6" s="3208"/>
      <c r="D6" s="3208"/>
    </row>
    <row r="7" spans="1:4" ht="33" customHeight="1">
      <c r="A7" s="3208" t="s">
        <v>2581</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2071</v>
      </c>
      <c r="B12" s="3211"/>
      <c r="C12" s="3211"/>
      <c r="D12" s="3211"/>
    </row>
    <row r="13" spans="1:4">
      <c r="A13" s="3209" t="s">
        <v>2754</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2710</v>
      </c>
      <c r="B17" s="3208"/>
      <c r="C17" s="3208"/>
      <c r="D17" s="3208"/>
    </row>
    <row r="18" spans="1:4">
      <c r="A18" s="3208" t="s">
        <v>2702</v>
      </c>
      <c r="B18" s="3208"/>
      <c r="C18" s="3208"/>
      <c r="D18" s="3208"/>
    </row>
    <row r="19" spans="1:4">
      <c r="A19" s="2898" t="s">
        <v>2703</v>
      </c>
      <c r="B19" s="2898" t="s">
        <v>2704</v>
      </c>
      <c r="C19" s="2898" t="s">
        <v>2705</v>
      </c>
      <c r="D19" s="2898" t="s">
        <v>2706</v>
      </c>
    </row>
    <row r="20" spans="1:4">
      <c r="A20" s="2898" t="str">
        <f>项目基本情况!B4</f>
        <v>赵雯</v>
      </c>
      <c r="B20" s="2898">
        <f ca="1">项目基本情况!C4</f>
        <v>2011110090</v>
      </c>
      <c r="C20" s="2900"/>
      <c r="D20" s="1804" t="s">
        <v>2711</v>
      </c>
    </row>
    <row r="21" spans="1:4">
      <c r="A21" s="2898" t="str">
        <f>项目基本情况!D4</f>
        <v>欧红伟</v>
      </c>
      <c r="B21" s="2898">
        <f ca="1">项目基本情况!E4</f>
        <v>2000110082</v>
      </c>
      <c r="C21" s="2900"/>
      <c r="D21" s="1804" t="s">
        <v>2712</v>
      </c>
    </row>
    <row r="23" spans="1:4">
      <c r="A23" s="3208" t="s">
        <v>2707</v>
      </c>
      <c r="B23" s="3208"/>
      <c r="C23" s="3208"/>
      <c r="D23" s="3208"/>
    </row>
    <row r="24" spans="1:4">
      <c r="A24" s="2898" t="s">
        <v>2703</v>
      </c>
      <c r="B24" s="2898" t="s">
        <v>2708</v>
      </c>
      <c r="C24" s="2898" t="s">
        <v>2705</v>
      </c>
      <c r="D24" s="2898" t="s">
        <v>2706</v>
      </c>
    </row>
    <row r="25" spans="1:4">
      <c r="A25" s="2901" t="s">
        <v>2709</v>
      </c>
      <c r="B25" s="2898" t="s">
        <v>952</v>
      </c>
      <c r="C25" s="2900"/>
      <c r="D25" s="1804" t="s">
        <v>2712</v>
      </c>
    </row>
    <row r="29" spans="1:4">
      <c r="D29" s="2899" t="s">
        <v>2042</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20" t="s">
        <v>53</v>
      </c>
      <c r="B15" s="3221" t="s">
        <v>846</v>
      </c>
      <c r="C15" s="3217"/>
    </row>
    <row r="16" spans="1:7" ht="14.25">
      <c r="A16" s="3220"/>
      <c r="B16" s="3218" t="s">
        <v>54</v>
      </c>
      <c r="C16" s="1175" t="s">
        <v>53</v>
      </c>
    </row>
    <row r="17" spans="1:3" ht="14.25">
      <c r="A17" s="3220"/>
      <c r="B17" s="3218"/>
      <c r="C17" s="1175" t="s">
        <v>55</v>
      </c>
    </row>
    <row r="18" spans="1:3" ht="14.25">
      <c r="A18" s="3220"/>
      <c r="B18" s="3218"/>
      <c r="C18" s="1175" t="s">
        <v>56</v>
      </c>
    </row>
    <row r="19" spans="1:3" ht="14.25">
      <c r="A19" s="3220"/>
      <c r="B19" s="3216" t="s">
        <v>57</v>
      </c>
      <c r="C19" s="3217"/>
    </row>
    <row r="20" spans="1:3" ht="14.25">
      <c r="A20" s="1176" t="s">
        <v>58</v>
      </c>
      <c r="B20" s="1177"/>
      <c r="C20" s="1178"/>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9" t="s">
        <v>837</v>
      </c>
    </row>
    <row r="25" spans="1:3" ht="14.25">
      <c r="A25" s="3219"/>
      <c r="B25" s="3223"/>
      <c r="C25" s="1179" t="s">
        <v>838</v>
      </c>
    </row>
    <row r="26" spans="1:3" ht="14.25">
      <c r="A26" s="3219"/>
      <c r="B26" s="3223"/>
      <c r="C26" s="1179" t="s">
        <v>839</v>
      </c>
    </row>
    <row r="27" spans="1:3" ht="14.25">
      <c r="A27" s="3219"/>
      <c r="B27" s="3223"/>
      <c r="C27" s="1179" t="s">
        <v>840</v>
      </c>
    </row>
    <row r="28" spans="1:3" ht="14.25">
      <c r="A28" s="3219"/>
      <c r="B28" s="3223"/>
      <c r="C28" s="1179" t="s">
        <v>841</v>
      </c>
    </row>
    <row r="29" spans="1:3" ht="14.25">
      <c r="A29" s="3219"/>
      <c r="B29" s="3223"/>
      <c r="C29" s="1179" t="s">
        <v>842</v>
      </c>
    </row>
    <row r="30" spans="1:3" ht="14.25">
      <c r="A30" s="3219"/>
      <c r="B30" s="3223"/>
      <c r="C30" s="1179" t="s">
        <v>843</v>
      </c>
    </row>
    <row r="31" spans="1:3" ht="14.25">
      <c r="A31" s="3219"/>
      <c r="B31" s="3223"/>
      <c r="C31" s="1179" t="s">
        <v>844</v>
      </c>
    </row>
    <row r="32" spans="1:3" ht="14.25">
      <c r="A32" s="3219"/>
      <c r="B32" s="3223"/>
      <c r="C32" s="1179" t="s">
        <v>1647</v>
      </c>
    </row>
    <row r="33" spans="1:3" ht="14.25">
      <c r="A33" s="3219"/>
      <c r="B33" s="3213" t="s">
        <v>1653</v>
      </c>
      <c r="C33" s="1179" t="s">
        <v>1648</v>
      </c>
    </row>
    <row r="34" spans="1:3" ht="14.25">
      <c r="A34" s="3219"/>
      <c r="B34" s="3214"/>
      <c r="C34" s="1184" t="s">
        <v>1649</v>
      </c>
    </row>
    <row r="35" spans="1:3" ht="14.25">
      <c r="A35" s="3219"/>
      <c r="B35" s="3214"/>
      <c r="C35" s="1185" t="s">
        <v>1650</v>
      </c>
    </row>
    <row r="36" spans="1:3" ht="14.25">
      <c r="A36" s="3219"/>
      <c r="B36" s="3214"/>
      <c r="C36" s="1185" t="s">
        <v>1651</v>
      </c>
    </row>
    <row r="37" spans="1:3" ht="14.25">
      <c r="A37" s="3219"/>
      <c r="B37" s="3215"/>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1908</v>
      </c>
      <c r="B2" s="1660">
        <f ca="1">TODAY()</f>
        <v>43049</v>
      </c>
      <c r="C2" s="2343" t="s">
        <v>1909</v>
      </c>
      <c r="D2" s="2344"/>
    </row>
    <row r="3" spans="1:6" ht="20.25" customHeight="1">
      <c r="A3" s="2346" t="s">
        <v>1910</v>
      </c>
      <c r="B3" s="2347" t="s">
        <v>1911</v>
      </c>
      <c r="C3" s="2347" t="s">
        <v>1912</v>
      </c>
      <c r="D3" s="2348" t="s">
        <v>1913</v>
      </c>
      <c r="E3" s="2347" t="s">
        <v>1914</v>
      </c>
      <c r="F3" s="2347" t="s">
        <v>1912</v>
      </c>
    </row>
    <row r="4" spans="1:6" ht="20.25" customHeight="1">
      <c r="A4" s="2347" t="s">
        <v>1915</v>
      </c>
      <c r="B4" s="2347">
        <f ca="1">IF(C4&lt;B2,"已过期",1119970066)</f>
        <v>1119970066</v>
      </c>
      <c r="C4" s="3035">
        <v>43849</v>
      </c>
      <c r="D4" s="2347" t="s">
        <v>1915</v>
      </c>
      <c r="E4" s="2347">
        <f ca="1">IF(F4&lt;B2,"已过期",96010014)</f>
        <v>96010014</v>
      </c>
      <c r="F4" s="3036">
        <v>47118</v>
      </c>
    </row>
    <row r="5" spans="1:6" ht="20.25" customHeight="1">
      <c r="A5" s="2347" t="s">
        <v>1916</v>
      </c>
      <c r="B5" s="2347">
        <f ca="1">IF(C5&lt;B2,"已过期",1119970074)</f>
        <v>1119970074</v>
      </c>
      <c r="C5" s="3035">
        <v>43849</v>
      </c>
      <c r="D5" s="2347" t="s">
        <v>1916</v>
      </c>
      <c r="E5" s="2347">
        <f ca="1">IF(F5&lt;B2,"已过期",2002110027)</f>
        <v>2002110027</v>
      </c>
      <c r="F5" s="3036">
        <v>46752</v>
      </c>
    </row>
    <row r="6" spans="1:6" ht="20.25" customHeight="1">
      <c r="A6" s="2347" t="s">
        <v>1917</v>
      </c>
      <c r="B6" s="2347">
        <f ca="1">IF(C6&lt;B2,"已过期",1119970111)</f>
        <v>1119970111</v>
      </c>
      <c r="C6" s="3035">
        <v>43849</v>
      </c>
      <c r="D6" s="2347" t="s">
        <v>1917</v>
      </c>
      <c r="E6" s="2347">
        <f ca="1">IF(F6&lt;B2,"已过期",94010078)</f>
        <v>94010078</v>
      </c>
      <c r="F6" s="3036">
        <v>46387</v>
      </c>
    </row>
    <row r="7" spans="1:6" ht="20.25" customHeight="1">
      <c r="A7" s="2347" t="s">
        <v>1918</v>
      </c>
      <c r="B7" s="2347">
        <f ca="1">IF(C7&lt;B2,"已过期",1120050019)</f>
        <v>1120050019</v>
      </c>
      <c r="C7" s="3035">
        <v>43359</v>
      </c>
      <c r="D7" s="2347" t="s">
        <v>1918</v>
      </c>
      <c r="E7" s="2347">
        <f ca="1">IF(F7&lt;B2,"已过期",2002110030)</f>
        <v>2002110030</v>
      </c>
      <c r="F7" s="3036">
        <v>46387</v>
      </c>
    </row>
    <row r="8" spans="1:6" ht="20.25" customHeight="1">
      <c r="A8" s="2347" t="s">
        <v>1919</v>
      </c>
      <c r="B8" s="2347">
        <f ca="1">IF(C8&lt;B2,"已过期",1120000080)</f>
        <v>1120000080</v>
      </c>
      <c r="C8" s="3035">
        <v>43849</v>
      </c>
      <c r="D8" s="2347" t="s">
        <v>1919</v>
      </c>
      <c r="E8" s="2347">
        <f ca="1">IF(F8&lt;B2,"已过期",2000110082)</f>
        <v>2000110082</v>
      </c>
      <c r="F8" s="3036">
        <v>46387</v>
      </c>
    </row>
    <row r="9" spans="1:6" ht="20.25" customHeight="1">
      <c r="A9" s="2347" t="s">
        <v>1920</v>
      </c>
      <c r="B9" s="2347">
        <f ca="1">IF(C9&lt;B2,"已过期",1419970001)</f>
        <v>1419970001</v>
      </c>
      <c r="C9" s="3035">
        <v>43867</v>
      </c>
      <c r="D9" s="2347" t="s">
        <v>1920</v>
      </c>
      <c r="E9" s="2347">
        <f ca="1">IF(F9&lt;B2,"已过期",2002110125)</f>
        <v>2002110125</v>
      </c>
      <c r="F9" s="3036">
        <v>47118</v>
      </c>
    </row>
    <row r="10" spans="1:6" ht="20.25" customHeight="1">
      <c r="A10" s="2347" t="s">
        <v>1921</v>
      </c>
      <c r="B10" s="2347">
        <f ca="1">IF(C10&lt;B2,"已过期",1120060040)</f>
        <v>1120060040</v>
      </c>
      <c r="C10" s="3035">
        <v>43483</v>
      </c>
      <c r="D10" s="2347" t="s">
        <v>1921</v>
      </c>
      <c r="E10" s="2347">
        <f ca="1">IF(F10&lt;B2,"已过期",2004110096)</f>
        <v>2004110096</v>
      </c>
      <c r="F10" s="3036">
        <v>47118</v>
      </c>
    </row>
    <row r="11" spans="1:6" ht="20.25" customHeight="1">
      <c r="A11" s="2347" t="s">
        <v>1922</v>
      </c>
      <c r="B11" s="2347">
        <f ca="1">IF(C11&lt;B2,"已过期",1120100036)</f>
        <v>1120100036</v>
      </c>
      <c r="C11" s="3035">
        <v>43622</v>
      </c>
      <c r="D11" s="2347" t="s">
        <v>1922</v>
      </c>
      <c r="E11" s="2347">
        <f ca="1">IF(F11&lt;B2,"已过期",2010110070)</f>
        <v>2010110070</v>
      </c>
      <c r="F11" s="3036">
        <v>47907</v>
      </c>
    </row>
    <row r="12" spans="1:6" ht="20.25" customHeight="1">
      <c r="A12" s="2347"/>
      <c r="B12" s="2347"/>
      <c r="C12" s="3035"/>
      <c r="D12" s="2347"/>
      <c r="E12" s="2347"/>
      <c r="F12" s="2347"/>
    </row>
    <row r="13" spans="1:6" ht="20.25" customHeight="1">
      <c r="A13" s="2347" t="s">
        <v>1923</v>
      </c>
      <c r="B13" s="2347">
        <f ca="1">IF(C13&lt;B2,"已过期",1120070131)</f>
        <v>1120070131</v>
      </c>
      <c r="C13" s="3035">
        <v>43814</v>
      </c>
      <c r="D13" s="2347" t="s">
        <v>1923</v>
      </c>
      <c r="E13" s="2347">
        <v>2014110011</v>
      </c>
      <c r="F13" s="3036">
        <v>49302</v>
      </c>
    </row>
    <row r="14" spans="1:6" ht="20.25" customHeight="1">
      <c r="A14" s="2347" t="s">
        <v>1924</v>
      </c>
      <c r="B14" s="2347">
        <f ca="1">IF(C14&lt;B2,"已过期",1120130020)</f>
        <v>1120130020</v>
      </c>
      <c r="C14" s="3035">
        <v>43622</v>
      </c>
      <c r="D14" s="2347"/>
      <c r="E14" s="2347"/>
      <c r="F14" s="2347"/>
    </row>
    <row r="15" spans="1:6" ht="20.25" customHeight="1">
      <c r="A15" s="2347" t="s">
        <v>2580</v>
      </c>
      <c r="B15" s="2347">
        <v>1120070085</v>
      </c>
      <c r="C15" s="3035">
        <v>43814</v>
      </c>
      <c r="D15" s="2347" t="s">
        <v>2580</v>
      </c>
      <c r="E15" s="2347">
        <v>2004110128</v>
      </c>
      <c r="F15" s="3036">
        <v>47118</v>
      </c>
    </row>
    <row r="16" spans="1:6" ht="20.25" customHeight="1">
      <c r="A16" s="2347" t="s">
        <v>1925</v>
      </c>
      <c r="B16" s="2347">
        <f ca="1">IF(C16&lt;B2,"已过期",1120140022)</f>
        <v>1120140022</v>
      </c>
      <c r="C16" s="3035">
        <v>44029</v>
      </c>
      <c r="D16" s="2347" t="s">
        <v>1925</v>
      </c>
      <c r="E16" s="2347">
        <f ca="1">IF(F16&lt;B2,"已过期",2008110059)</f>
        <v>2008110059</v>
      </c>
      <c r="F16" s="3036">
        <v>47177</v>
      </c>
    </row>
    <row r="17" spans="1:7" ht="20.25" customHeight="1">
      <c r="A17" s="2347"/>
      <c r="B17" s="2347"/>
      <c r="C17" s="3035"/>
      <c r="D17" s="2347"/>
      <c r="E17" s="2347"/>
      <c r="F17" s="3036"/>
    </row>
    <row r="18" spans="1:7" ht="20.25" customHeight="1">
      <c r="A18" s="2347"/>
      <c r="B18" s="2347"/>
      <c r="C18" s="3035"/>
      <c r="D18" s="2347"/>
      <c r="E18" s="2347"/>
      <c r="F18" s="3036"/>
    </row>
    <row r="19" spans="1:7" ht="20.25" customHeight="1">
      <c r="A19" s="2347"/>
      <c r="B19" s="2347"/>
      <c r="C19" s="3035"/>
      <c r="D19" s="2347"/>
      <c r="E19" s="2347"/>
      <c r="F19" s="2347"/>
    </row>
    <row r="20" spans="1:7" ht="20.25" customHeight="1">
      <c r="A20" s="2347"/>
      <c r="B20" s="2347"/>
      <c r="C20" s="3035"/>
      <c r="D20" s="2347"/>
      <c r="E20" s="2347"/>
      <c r="F20" s="2347"/>
    </row>
    <row r="21" spans="1:7" ht="20.25" customHeight="1">
      <c r="A21" s="2347"/>
      <c r="B21" s="2347"/>
      <c r="C21" s="3035"/>
      <c r="D21" s="2347" t="s">
        <v>1926</v>
      </c>
      <c r="E21" s="2347">
        <f ca="1">IF(F21&lt;B2,"已过期",2011110090)</f>
        <v>2011110090</v>
      </c>
      <c r="F21" s="3036">
        <v>48302</v>
      </c>
    </row>
    <row r="22" spans="1:7" ht="20.25" customHeight="1">
      <c r="A22" s="2347" t="s">
        <v>1927</v>
      </c>
      <c r="B22" s="2347">
        <f ca="1">IF(C22&lt;B2,"已过期",1120020033)</f>
        <v>1120020033</v>
      </c>
      <c r="C22" s="3035">
        <v>43304</v>
      </c>
      <c r="D22" s="2347" t="s">
        <v>1927</v>
      </c>
      <c r="E22" s="2347">
        <f ca="1">IF(F22&lt;B2,"已过期",2000110137)</f>
        <v>2000110137</v>
      </c>
      <c r="F22" s="3036">
        <v>46387</v>
      </c>
    </row>
    <row r="23" spans="1:7" ht="20.25" customHeight="1">
      <c r="A23" s="2347" t="s">
        <v>1928</v>
      </c>
      <c r="B23" s="2347">
        <f ca="1">IF(C23&lt;B2,"已过期",1120130048)</f>
        <v>1120130048</v>
      </c>
      <c r="C23" s="3035">
        <v>43686</v>
      </c>
      <c r="D23" s="2347"/>
      <c r="E23" s="2347"/>
      <c r="F23" s="2347"/>
    </row>
    <row r="24" spans="1:7" s="2351" customFormat="1" ht="20.25" customHeight="1">
      <c r="A24" s="2349" t="s">
        <v>2056</v>
      </c>
      <c r="B24" s="2349" t="s">
        <v>2056</v>
      </c>
      <c r="C24" s="3035"/>
      <c r="D24" s="3037" t="s">
        <v>2056</v>
      </c>
      <c r="E24" s="2349" t="s">
        <v>2056</v>
      </c>
      <c r="F24" s="2350"/>
    </row>
    <row r="25" spans="1:7" ht="20.25" customHeight="1">
      <c r="A25" s="3224" t="s">
        <v>1929</v>
      </c>
      <c r="B25" s="3224"/>
      <c r="C25" s="3224"/>
      <c r="D25" s="3224"/>
      <c r="E25" s="3224"/>
      <c r="F25" s="3224"/>
      <c r="G25" s="3224"/>
    </row>
    <row r="26" spans="1:7" ht="20.25" customHeight="1">
      <c r="A26" s="3225" t="s">
        <v>1930</v>
      </c>
      <c r="B26" s="3225"/>
      <c r="C26" s="3225"/>
      <c r="D26" s="3225" t="s">
        <v>1931</v>
      </c>
      <c r="E26" s="3225"/>
      <c r="F26" s="3225"/>
    </row>
    <row r="27" spans="1:7" s="2355" customFormat="1" ht="20.25" customHeight="1">
      <c r="A27" s="2352" t="s">
        <v>1932</v>
      </c>
      <c r="B27" s="2353" t="s">
        <v>1933</v>
      </c>
      <c r="C27" s="2353" t="s">
        <v>1934</v>
      </c>
      <c r="D27" s="2354" t="s">
        <v>1932</v>
      </c>
      <c r="E27" s="2353" t="s">
        <v>1933</v>
      </c>
      <c r="F27" s="2353" t="s">
        <v>1934</v>
      </c>
    </row>
    <row r="28" spans="1:7" s="2355" customFormat="1" ht="20.25" customHeight="1">
      <c r="A28" s="2356" t="s">
        <v>1935</v>
      </c>
      <c r="B28" s="2356" t="s">
        <v>1936</v>
      </c>
      <c r="C28" s="2357">
        <v>43725</v>
      </c>
      <c r="D28" s="2356" t="s">
        <v>1937</v>
      </c>
      <c r="E28" s="2356" t="s">
        <v>1938</v>
      </c>
      <c r="F28" s="2358">
        <v>44377</v>
      </c>
    </row>
    <row r="29" spans="1:7" s="2355" customFormat="1" ht="20.25" customHeight="1">
      <c r="A29" s="2356"/>
      <c r="B29" s="2356"/>
      <c r="C29" s="2359"/>
      <c r="D29" s="2356" t="s">
        <v>1939</v>
      </c>
      <c r="E29" s="2360" t="s">
        <v>2948</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3"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2551</v>
      </c>
      <c r="R1" s="2610" t="s">
        <v>2545</v>
      </c>
      <c r="S1" s="6" t="s">
        <v>146</v>
      </c>
      <c r="T1" s="7" t="s">
        <v>147</v>
      </c>
      <c r="U1" s="6" t="s">
        <v>148</v>
      </c>
      <c r="V1" s="6" t="s">
        <v>149</v>
      </c>
      <c r="W1" s="1007" t="s">
        <v>874</v>
      </c>
    </row>
    <row r="2" spans="1:23">
      <c r="A2" s="8" t="s">
        <v>73</v>
      </c>
      <c r="B2" s="8" t="s">
        <v>150</v>
      </c>
      <c r="C2" s="1554"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2546</v>
      </c>
      <c r="S2" s="9" t="s">
        <v>75</v>
      </c>
      <c r="T2" s="9" t="s">
        <v>76</v>
      </c>
      <c r="U2" s="9" t="s">
        <v>75</v>
      </c>
      <c r="V2" s="9" t="s">
        <v>77</v>
      </c>
      <c r="W2" s="9" t="s">
        <v>875</v>
      </c>
    </row>
    <row r="3" spans="1:23">
      <c r="A3" s="8" t="s">
        <v>78</v>
      </c>
      <c r="B3" s="10" t="s">
        <v>151</v>
      </c>
      <c r="C3" s="1555"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2547</v>
      </c>
      <c r="S3" s="9" t="s">
        <v>84</v>
      </c>
      <c r="T3" s="9" t="s">
        <v>85</v>
      </c>
      <c r="U3" s="9" t="s">
        <v>84</v>
      </c>
      <c r="V3" s="9" t="s">
        <v>86</v>
      </c>
      <c r="W3" s="9" t="s">
        <v>876</v>
      </c>
    </row>
    <row r="4" spans="1:23">
      <c r="A4" s="8" t="s">
        <v>87</v>
      </c>
      <c r="B4" s="8" t="s">
        <v>152</v>
      </c>
      <c r="C4" s="1554" t="s">
        <v>1712</v>
      </c>
      <c r="D4" s="9" t="s">
        <v>1997</v>
      </c>
      <c r="E4" s="9" t="s">
        <v>88</v>
      </c>
      <c r="F4" s="9" t="s">
        <v>89</v>
      </c>
      <c r="G4" s="9">
        <v>70</v>
      </c>
      <c r="H4" s="9" t="s">
        <v>90</v>
      </c>
      <c r="I4" s="9" t="s">
        <v>91</v>
      </c>
      <c r="K4" s="9" t="s">
        <v>92</v>
      </c>
      <c r="L4" s="9" t="s">
        <v>92</v>
      </c>
      <c r="M4" s="9" t="s">
        <v>92</v>
      </c>
      <c r="N4" s="9" t="s">
        <v>92</v>
      </c>
      <c r="O4" s="9" t="s">
        <v>92</v>
      </c>
      <c r="P4" s="1009" t="s">
        <v>760</v>
      </c>
      <c r="Q4" s="9" t="s">
        <v>92</v>
      </c>
      <c r="R4" s="1009" t="s">
        <v>2548</v>
      </c>
      <c r="S4" s="9" t="s">
        <v>92</v>
      </c>
      <c r="T4" s="9" t="s">
        <v>93</v>
      </c>
      <c r="U4" s="9" t="s">
        <v>92</v>
      </c>
      <c r="W4" s="9" t="s">
        <v>877</v>
      </c>
    </row>
    <row r="5" spans="1:23">
      <c r="A5" s="8" t="s">
        <v>94</v>
      </c>
      <c r="B5" s="8" t="s">
        <v>153</v>
      </c>
      <c r="C5" s="1554" t="s">
        <v>1713</v>
      </c>
      <c r="F5" s="9" t="s">
        <v>95</v>
      </c>
      <c r="H5" s="9" t="s">
        <v>70</v>
      </c>
      <c r="I5" s="9" t="s">
        <v>96</v>
      </c>
      <c r="K5" s="9" t="s">
        <v>97</v>
      </c>
      <c r="L5" s="9" t="s">
        <v>97</v>
      </c>
      <c r="M5" s="9" t="s">
        <v>97</v>
      </c>
      <c r="N5" s="9" t="s">
        <v>97</v>
      </c>
      <c r="O5" s="9" t="s">
        <v>97</v>
      </c>
      <c r="P5" s="1009" t="s">
        <v>547</v>
      </c>
      <c r="Q5" s="9" t="s">
        <v>97</v>
      </c>
      <c r="R5" s="1009" t="s">
        <v>2549</v>
      </c>
      <c r="S5" s="9" t="s">
        <v>97</v>
      </c>
      <c r="T5" s="9" t="s">
        <v>98</v>
      </c>
      <c r="U5" s="9" t="s">
        <v>97</v>
      </c>
      <c r="W5" s="9" t="s">
        <v>878</v>
      </c>
    </row>
    <row r="6" spans="1:23">
      <c r="A6" s="8" t="s">
        <v>99</v>
      </c>
      <c r="B6" s="1152" t="s">
        <v>1641</v>
      </c>
      <c r="C6" s="1556" t="s">
        <v>1714</v>
      </c>
      <c r="F6" s="9" t="s">
        <v>71</v>
      </c>
      <c r="H6" s="9" t="s">
        <v>72</v>
      </c>
      <c r="I6" s="9" t="s">
        <v>100</v>
      </c>
      <c r="K6" s="9" t="s">
        <v>101</v>
      </c>
      <c r="L6" s="9" t="s">
        <v>101</v>
      </c>
      <c r="M6" s="9" t="s">
        <v>101</v>
      </c>
      <c r="N6" s="9" t="s">
        <v>101</v>
      </c>
      <c r="O6" s="9" t="s">
        <v>101</v>
      </c>
      <c r="P6" s="1009" t="s">
        <v>881</v>
      </c>
      <c r="Q6" s="9" t="s">
        <v>101</v>
      </c>
      <c r="R6" s="1009" t="s">
        <v>2550</v>
      </c>
      <c r="S6" s="9" t="s">
        <v>101</v>
      </c>
      <c r="T6" s="9"/>
      <c r="U6" s="9" t="s">
        <v>101</v>
      </c>
      <c r="W6" s="9" t="s">
        <v>879</v>
      </c>
    </row>
    <row r="7" spans="1:23">
      <c r="A7" s="8" t="s">
        <v>102</v>
      </c>
      <c r="B7" s="8" t="s">
        <v>103</v>
      </c>
      <c r="C7" s="1554" t="s">
        <v>1715</v>
      </c>
      <c r="F7" s="9" t="s">
        <v>154</v>
      </c>
      <c r="H7" s="9" t="s">
        <v>104</v>
      </c>
      <c r="I7" s="9" t="s">
        <v>105</v>
      </c>
    </row>
    <row r="8" spans="1:23">
      <c r="A8" s="8" t="s">
        <v>106</v>
      </c>
      <c r="B8" s="8" t="s">
        <v>107</v>
      </c>
      <c r="C8" s="1554" t="s">
        <v>1716</v>
      </c>
      <c r="F8" s="9" t="s">
        <v>155</v>
      </c>
      <c r="H8" s="9"/>
      <c r="I8" s="9" t="s">
        <v>108</v>
      </c>
    </row>
    <row r="9" spans="1:23">
      <c r="A9" s="8" t="s">
        <v>109</v>
      </c>
      <c r="B9" s="8" t="s">
        <v>156</v>
      </c>
      <c r="C9" s="1554" t="s">
        <v>1717</v>
      </c>
      <c r="F9" s="9" t="s">
        <v>110</v>
      </c>
      <c r="H9" s="9"/>
    </row>
    <row r="10" spans="1:23">
      <c r="A10" s="8" t="s">
        <v>111</v>
      </c>
      <c r="B10" s="8" t="s">
        <v>157</v>
      </c>
      <c r="C10" s="1554" t="s">
        <v>1718</v>
      </c>
      <c r="F10" s="9" t="s">
        <v>6</v>
      </c>
    </row>
    <row r="11" spans="1:23">
      <c r="A11" s="8" t="s">
        <v>112</v>
      </c>
      <c r="B11" s="8" t="s">
        <v>158</v>
      </c>
      <c r="C11" s="1554" t="s">
        <v>1719</v>
      </c>
    </row>
    <row r="12" spans="1:23">
      <c r="A12" s="8" t="s">
        <v>113</v>
      </c>
      <c r="B12" s="8" t="s">
        <v>159</v>
      </c>
      <c r="C12" s="1554" t="s">
        <v>1720</v>
      </c>
    </row>
    <row r="13" spans="1:23">
      <c r="A13" s="8" t="s">
        <v>114</v>
      </c>
      <c r="B13" s="8" t="s">
        <v>160</v>
      </c>
      <c r="C13" s="1554" t="s">
        <v>1721</v>
      </c>
    </row>
    <row r="14" spans="1:23">
      <c r="A14" s="8" t="s">
        <v>115</v>
      </c>
      <c r="B14" s="8" t="s">
        <v>161</v>
      </c>
      <c r="C14" s="1557" t="s">
        <v>1897</v>
      </c>
    </row>
    <row r="15" spans="1:23">
      <c r="A15" s="8" t="s">
        <v>116</v>
      </c>
      <c r="B15" s="8" t="s">
        <v>1682</v>
      </c>
      <c r="C15" s="1557"/>
    </row>
    <row r="16" spans="1:23">
      <c r="A16" s="8" t="s">
        <v>117</v>
      </c>
      <c r="B16" s="8" t="s">
        <v>1683</v>
      </c>
      <c r="C16" s="1557"/>
    </row>
    <row r="17" spans="1:3">
      <c r="A17" s="8" t="s">
        <v>118</v>
      </c>
      <c r="B17" s="8" t="s">
        <v>1684</v>
      </c>
      <c r="C17" s="1557"/>
    </row>
    <row r="18" spans="1:3">
      <c r="A18" s="8" t="s">
        <v>119</v>
      </c>
      <c r="B18" s="3143" t="s">
        <v>2961</v>
      </c>
      <c r="C18" s="1557"/>
    </row>
    <row r="19" spans="1:3">
      <c r="A19" s="8" t="s">
        <v>120</v>
      </c>
      <c r="B19" s="3143" t="s">
        <v>2969</v>
      </c>
      <c r="C19" s="1557"/>
    </row>
    <row r="20" spans="1:3">
      <c r="A20" s="8" t="s">
        <v>121</v>
      </c>
      <c r="B20" s="1152" t="s">
        <v>3060</v>
      </c>
      <c r="C20" s="1557"/>
    </row>
    <row r="21" spans="1:3">
      <c r="A21" s="8" t="s">
        <v>122</v>
      </c>
      <c r="B21" s="1152" t="s">
        <v>3062</v>
      </c>
      <c r="C21" s="1557"/>
    </row>
    <row r="22" spans="1:3">
      <c r="A22" s="8" t="s">
        <v>123</v>
      </c>
      <c r="B22" s="8" t="s">
        <v>1642</v>
      </c>
      <c r="C22" s="1557"/>
    </row>
    <row r="23" spans="1:3">
      <c r="A23" s="8" t="s">
        <v>124</v>
      </c>
      <c r="B23" s="8" t="s">
        <v>1642</v>
      </c>
      <c r="C23" s="1557"/>
    </row>
    <row r="24" spans="1:3">
      <c r="A24" s="8" t="s">
        <v>12</v>
      </c>
      <c r="B24" s="8" t="s">
        <v>1642</v>
      </c>
      <c r="C24" s="1557"/>
    </row>
    <row r="25" spans="1:3">
      <c r="A25" s="8" t="s">
        <v>125</v>
      </c>
      <c r="B25" s="8" t="s">
        <v>1642</v>
      </c>
      <c r="C25" s="1557"/>
    </row>
    <row r="26" spans="1:3">
      <c r="A26" s="8" t="s">
        <v>126</v>
      </c>
      <c r="B26" s="8" t="s">
        <v>1642</v>
      </c>
      <c r="C26" s="1557"/>
    </row>
    <row r="27" spans="1:3">
      <c r="A27" s="3143" t="s">
        <v>3028</v>
      </c>
      <c r="B27" s="8" t="s">
        <v>1642</v>
      </c>
      <c r="C27" s="1557"/>
    </row>
    <row r="28" spans="1:3">
      <c r="A28" s="8" t="s">
        <v>1642</v>
      </c>
      <c r="B28" s="8" t="s">
        <v>1642</v>
      </c>
      <c r="C28" s="1557"/>
    </row>
    <row r="29" spans="1:3">
      <c r="A29" s="8" t="s">
        <v>1642</v>
      </c>
      <c r="B29" s="8" t="s">
        <v>1642</v>
      </c>
      <c r="C29" s="1557"/>
    </row>
    <row r="30" spans="1:3">
      <c r="A30" s="8" t="s">
        <v>1642</v>
      </c>
      <c r="B30" s="8" t="s">
        <v>1642</v>
      </c>
      <c r="C30" s="1557"/>
    </row>
    <row r="31" spans="1:3">
      <c r="A31" s="8" t="s">
        <v>1642</v>
      </c>
      <c r="B31" s="8" t="s">
        <v>1642</v>
      </c>
      <c r="C31" s="1557"/>
    </row>
    <row r="32" spans="1:3">
      <c r="A32" s="8" t="s">
        <v>1642</v>
      </c>
      <c r="B32" s="8" t="s">
        <v>1642</v>
      </c>
      <c r="C32" s="1557"/>
    </row>
    <row r="33" spans="1:3">
      <c r="A33" s="8" t="s">
        <v>1642</v>
      </c>
      <c r="B33" s="8" t="s">
        <v>1642</v>
      </c>
      <c r="C33" s="1557"/>
    </row>
    <row r="34" spans="1:3">
      <c r="A34" s="8" t="s">
        <v>1642</v>
      </c>
      <c r="B34" s="8" t="s">
        <v>1642</v>
      </c>
      <c r="C34" s="1557"/>
    </row>
    <row r="35" spans="1:3">
      <c r="A35" s="8" t="s">
        <v>1642</v>
      </c>
      <c r="B35" s="8" t="s">
        <v>1642</v>
      </c>
      <c r="C35" s="1557"/>
    </row>
    <row r="36" spans="1:3">
      <c r="A36" s="8" t="s">
        <v>1642</v>
      </c>
      <c r="B36" s="8" t="s">
        <v>1642</v>
      </c>
      <c r="C36" s="1557"/>
    </row>
    <row r="37" spans="1:3">
      <c r="A37" s="8" t="s">
        <v>1642</v>
      </c>
      <c r="B37" s="8" t="s">
        <v>1642</v>
      </c>
      <c r="C37" s="1557"/>
    </row>
    <row r="38" spans="1:3">
      <c r="A38" s="8" t="s">
        <v>1642</v>
      </c>
      <c r="B38" s="8" t="s">
        <v>1642</v>
      </c>
      <c r="C38" s="1557"/>
    </row>
    <row r="39" spans="1:3">
      <c r="A39" s="8" t="s">
        <v>1642</v>
      </c>
      <c r="B39" s="8" t="s">
        <v>1642</v>
      </c>
      <c r="C39" s="1557"/>
    </row>
    <row r="40" spans="1:3">
      <c r="A40" s="8" t="s">
        <v>1642</v>
      </c>
      <c r="B40" s="8" t="s">
        <v>1642</v>
      </c>
      <c r="C40" s="1557"/>
    </row>
    <row r="41" spans="1:3">
      <c r="A41" s="8" t="s">
        <v>1642</v>
      </c>
      <c r="B41" s="8" t="s">
        <v>1642</v>
      </c>
      <c r="C41" s="1557"/>
    </row>
    <row r="42" spans="1:3">
      <c r="A42" s="8" t="s">
        <v>1642</v>
      </c>
      <c r="B42" s="8" t="s">
        <v>1642</v>
      </c>
      <c r="C42" s="1557"/>
    </row>
    <row r="43" spans="1:3">
      <c r="A43" s="8" t="s">
        <v>1642</v>
      </c>
      <c r="B43" s="8" t="s">
        <v>1642</v>
      </c>
      <c r="C43" s="1557"/>
    </row>
    <row r="44" spans="1:3">
      <c r="A44" s="8" t="s">
        <v>1642</v>
      </c>
      <c r="B44" s="8" t="s">
        <v>1642</v>
      </c>
      <c r="C44" s="1557"/>
    </row>
    <row r="45" spans="1:3">
      <c r="A45" s="8" t="s">
        <v>1642</v>
      </c>
      <c r="B45" s="8" t="s">
        <v>1642</v>
      </c>
      <c r="C45" s="1557"/>
    </row>
    <row r="46" spans="1:3">
      <c r="A46" s="8" t="s">
        <v>1642</v>
      </c>
      <c r="B46" s="8" t="s">
        <v>1642</v>
      </c>
      <c r="C46" s="1557"/>
    </row>
    <row r="47" spans="1:3">
      <c r="A47" s="8" t="s">
        <v>1642</v>
      </c>
      <c r="B47" s="8" t="s">
        <v>1642</v>
      </c>
      <c r="C47" s="1557"/>
    </row>
    <row r="48" spans="1:3">
      <c r="A48" s="8" t="s">
        <v>1642</v>
      </c>
      <c r="B48" s="8" t="s">
        <v>1642</v>
      </c>
      <c r="C48" s="1557"/>
    </row>
    <row r="49" spans="1:5">
      <c r="A49" s="8" t="s">
        <v>1642</v>
      </c>
      <c r="B49" s="8" t="s">
        <v>1642</v>
      </c>
      <c r="C49" s="1557"/>
    </row>
    <row r="50" spans="1:5">
      <c r="A50" s="8" t="s">
        <v>1642</v>
      </c>
      <c r="B50" s="8" t="s">
        <v>1642</v>
      </c>
      <c r="C50" s="1557"/>
    </row>
    <row r="51" spans="1:5">
      <c r="A51" s="1769" t="s">
        <v>1945</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和记黄埔地产（北京朝阳）有限公司拟使用北京市出让国有建设用地使用权作为抵押担保物，向中国银行股份有限公司办理贷款手续。中国银行股份有限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1989</v>
      </c>
      <c r="B52" s="1772" t="s">
        <v>1990</v>
      </c>
      <c r="C52" s="1770" t="s">
        <v>1991</v>
      </c>
      <c r="D52" s="1770" t="s">
        <v>1992</v>
      </c>
      <c r="E52" s="1771"/>
    </row>
    <row r="53" spans="1:5">
      <c r="A53" s="3226" t="s">
        <v>1993</v>
      </c>
      <c r="B53" s="1770" t="s">
        <v>1999</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c r="D53" s="1771"/>
      <c r="E53" s="1771"/>
    </row>
    <row r="54" spans="1:5">
      <c r="A54" s="3226"/>
      <c r="B54" s="1770" t="s">
        <v>2000</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6"/>
      <c r="B55" s="1770" t="s">
        <v>1994</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6"/>
      <c r="B56" s="1770" t="s">
        <v>1995</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6"/>
      <c r="B57" s="1770" t="s">
        <v>1996</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2052</v>
      </c>
      <c r="B58" s="1770" t="s">
        <v>2053</v>
      </c>
      <c r="C58" s="11" t="s">
        <v>2054</v>
      </c>
      <c r="D58" s="1322"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不动产比较法-联排</vt:lpstr>
      <vt:lpstr>不动产比较法-高层</vt:lpstr>
      <vt:lpstr>不动产比较法-车位</vt:lpstr>
      <vt:lpstr>不动产收益法-地下仓储</vt:lpstr>
      <vt:lpstr>不动产收益法-养老院</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基准地价</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'不动产比较法-联排'!住宅朝向</vt:lpstr>
      <vt:lpstr>住宅朝向</vt:lpstr>
      <vt:lpstr>'不动产比较法-联排'!住宅房型</vt:lpstr>
      <vt:lpstr>住宅房型</vt:lpstr>
      <vt:lpstr>'不动产比较法-联排'!住宅公共部分装修</vt:lpstr>
      <vt:lpstr>住宅公共部分装修</vt:lpstr>
      <vt:lpstr>'不动产比较法-联排'!住宅基础设施水平</vt:lpstr>
      <vt:lpstr>住宅基础设施水平</vt:lpstr>
      <vt:lpstr>'不动产比较法-联排'!住宅建筑结构</vt:lpstr>
      <vt:lpstr>住宅建筑结构</vt:lpstr>
      <vt:lpstr>'不动产比较法-联排'!住宅建筑类型</vt:lpstr>
      <vt:lpstr>住宅建筑类型</vt:lpstr>
      <vt:lpstr>'不动产比较法-联排'!住宅建筑品质</vt:lpstr>
      <vt:lpstr>住宅建筑品质</vt:lpstr>
      <vt:lpstr>'不动产比较法-联排'!住宅交易情况</vt:lpstr>
      <vt:lpstr>住宅交易情况</vt:lpstr>
      <vt:lpstr>'不动产比较法-联排'!住宅楼层</vt:lpstr>
      <vt:lpstr>住宅楼层</vt:lpstr>
      <vt:lpstr>'不动产比较法-联排'!住宅内部装修</vt:lpstr>
      <vt:lpstr>住宅内部装修</vt:lpstr>
      <vt:lpstr>'不动产比较法-联排'!住宅物业管理</vt:lpstr>
      <vt:lpstr>住宅物业管理</vt:lpstr>
      <vt:lpstr>'不动产比较法-联排'!住宅用途</vt:lpstr>
      <vt:lpstr>住宅用途</vt:lpstr>
      <vt:lpstr>'不动产比较法-联排'!住宅主力户型面积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2017-11-10T06:00:47Z</dcterms:modified>
</cp:coreProperties>
</file>