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西三环南路-陈宁-重估\"/>
    </mc:Choice>
  </mc:AlternateContent>
  <xr:revisionPtr revIDLastSave="0" documentId="13_ncr:1_{1795288B-6C7A-4EF1-818B-99D76C9A8BBA}" xr6:coauthVersionLast="47" xr6:coauthVersionMax="47" xr10:uidLastSave="{00000000-0000-0000-0000-000000000000}"/>
  <bookViews>
    <workbookView xWindow="-108" yWindow="-108" windowWidth="20376" windowHeight="12216"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系统读取表" sheetId="74" r:id="rId15"/>
    <sheet name="速算表" sheetId="82" r:id="rId16"/>
    <sheet name="售价案例" sheetId="80" r:id="rId17"/>
    <sheet name="租金案例" sheetId="81" r:id="rId18"/>
    <sheet name="数据-取费表" sheetId="1" r:id="rId19"/>
    <sheet name="估价对象房地状况" sheetId="20" r:id="rId20"/>
    <sheet name="结果表" sheetId="9"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9">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G24" i="82"/>
  <c r="B14" i="74" l="1"/>
  <c r="F20" i="6"/>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0" i="79" l="1"/>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3" i="79"/>
  <c r="AK33" i="79" s="1"/>
  <c r="AH33" i="79"/>
  <c r="W14" i="79"/>
  <c r="AK14" i="79" s="1"/>
  <c r="AH14" i="79"/>
  <c r="W19" i="79"/>
  <c r="AK19" i="79" s="1"/>
  <c r="AH19" i="79"/>
  <c r="W16" i="79"/>
  <c r="AK16" i="79" s="1"/>
  <c r="AH16" i="79"/>
  <c r="W51" i="79"/>
  <c r="AK51" i="79" s="1"/>
  <c r="AH51" i="79"/>
  <c r="W46" i="79"/>
  <c r="AK46" i="79" s="1"/>
  <c r="AH46" i="79"/>
  <c r="W34" i="79"/>
  <c r="AK34" i="79" s="1"/>
  <c r="AH34"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C67"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0" i="71" s="1"/>
  <c r="O38" i="71"/>
  <c r="N38" i="71"/>
  <c r="Q37" i="71"/>
  <c r="AB37" i="71" s="1"/>
  <c r="P37" i="71"/>
  <c r="AA37" i="71" s="1"/>
  <c r="O37" i="71"/>
  <c r="Y37" i="71" s="1"/>
  <c r="Z37" i="71" s="1"/>
  <c r="N37" i="71"/>
  <c r="B38"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C34" i="71" s="1"/>
  <c r="N33" i="71"/>
  <c r="X31" i="71" s="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Y29" i="71"/>
  <c r="Z29" i="71" s="1"/>
  <c r="AA35" i="71"/>
  <c r="C38" i="71"/>
  <c r="D38" i="71" s="1"/>
  <c r="X38" i="71"/>
  <c r="Y25" i="71"/>
  <c r="Z25" i="71" s="1"/>
  <c r="B28" i="71"/>
  <c r="B27" i="71" s="1"/>
  <c r="B26" i="71" s="1"/>
  <c r="X26" i="71"/>
  <c r="C31" i="71"/>
  <c r="D30" i="71"/>
  <c r="C43" i="71"/>
  <c r="C44" i="71" s="1"/>
  <c r="D44" i="71" s="1"/>
  <c r="P28" i="71"/>
  <c r="E28" i="71" s="1"/>
  <c r="U68" i="71"/>
  <c r="E67" i="71"/>
  <c r="Q28" i="71"/>
  <c r="AB25" i="71" s="1"/>
  <c r="D58" i="71"/>
  <c r="D62" i="71"/>
  <c r="B66" i="71"/>
  <c r="N65" i="71" s="1"/>
  <c r="D68" i="71"/>
  <c r="E71" i="71"/>
  <c r="E70" i="71" s="1"/>
  <c r="D72" i="71"/>
  <c r="E75" i="71"/>
  <c r="E74" i="71" s="1"/>
  <c r="E79" i="71"/>
  <c r="E78" i="71" s="1"/>
  <c r="D80" i="71"/>
  <c r="C87" i="71"/>
  <c r="C86" i="71" s="1"/>
  <c r="D86" i="71" s="1"/>
  <c r="F28" i="71"/>
  <c r="F27" i="71" s="1"/>
  <c r="F26" i="71" s="1"/>
  <c r="AB27" i="71"/>
  <c r="AA28" i="71"/>
  <c r="O67" i="71"/>
  <c r="N66" i="71"/>
  <c r="P67" i="71"/>
  <c r="E66" i="71"/>
  <c r="D43" i="71"/>
  <c r="C32" i="71"/>
  <c r="D31"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5" i="40"/>
  <c r="W29" i="39"/>
  <c r="W18" i="36"/>
  <c r="S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F11" i="35" s="1"/>
  <c r="S11" i="35" s="1"/>
  <c r="B61" i="35"/>
  <c r="B59" i="35"/>
  <c r="H12" i="35" s="1"/>
  <c r="B131" i="34"/>
  <c r="B129" i="34"/>
  <c r="J46" i="34" s="1"/>
  <c r="B127" i="34"/>
  <c r="B99" i="34"/>
  <c r="J32" i="34" s="1"/>
  <c r="W32" i="34" s="1"/>
  <c r="B97" i="34"/>
  <c r="B95" i="34"/>
  <c r="B93" i="34"/>
  <c r="B75" i="34"/>
  <c r="J14" i="34" s="1"/>
  <c r="W14" i="34" s="1"/>
  <c r="B73" i="34"/>
  <c r="B71" i="34"/>
  <c r="H12" i="34" s="1"/>
  <c r="U12" i="34" s="1"/>
  <c r="B130" i="33"/>
  <c r="B128" i="33"/>
  <c r="F45" i="33" s="1"/>
  <c r="S45" i="33" s="1"/>
  <c r="B126" i="33"/>
  <c r="B98" i="33"/>
  <c r="F31" i="33" s="1"/>
  <c r="B96" i="33"/>
  <c r="B94" i="33"/>
  <c r="F29" i="33" s="1"/>
  <c r="S29" i="33" s="1"/>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B74" i="21"/>
  <c r="J14" i="21" s="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s="1"/>
  <c r="U9" i="39"/>
  <c r="W25" i="37"/>
  <c r="E103" i="37"/>
  <c r="F103" i="37" s="1"/>
  <c r="G103" i="37" s="1"/>
  <c r="H103" i="37" s="1"/>
  <c r="I103" i="37" s="1"/>
  <c r="J103" i="37" s="1"/>
  <c r="K103" i="37" s="1"/>
  <c r="L103" i="37" s="1"/>
  <c r="M103" i="37" s="1"/>
  <c r="F29" i="36"/>
  <c r="AA29" i="36" s="1"/>
  <c r="F16" i="36"/>
  <c r="AA16" i="36" s="1"/>
  <c r="W28" i="36"/>
  <c r="H22" i="35"/>
  <c r="AB22" i="35" s="1"/>
  <c r="W28" i="35"/>
  <c r="U31" i="35"/>
  <c r="W22" i="35"/>
  <c r="F36" i="34"/>
  <c r="J35" i="34"/>
  <c r="U34" i="34"/>
  <c r="H39" i="33"/>
  <c r="AB39" i="33"/>
  <c r="AA26" i="33"/>
  <c r="U33" i="33"/>
  <c r="U35" i="33"/>
  <c r="W33" i="33"/>
  <c r="W39" i="33"/>
  <c r="H39" i="37"/>
  <c r="AB39" i="37" s="1"/>
  <c r="S27" i="35"/>
  <c r="F11" i="40"/>
  <c r="AA11" i="40" s="1"/>
  <c r="H11" i="40"/>
  <c r="AB11" i="40"/>
  <c r="W8" i="40"/>
  <c r="AB39" i="40"/>
  <c r="U9" i="40"/>
  <c r="S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J42" i="21"/>
  <c r="AC42" i="21"/>
  <c r="H42" i="21"/>
  <c r="U42" i="21" s="1"/>
  <c r="J44" i="34"/>
  <c r="F44" i="34"/>
  <c r="AA44" i="34"/>
  <c r="J10" i="35"/>
  <c r="AC10" i="35" s="1"/>
  <c r="W14" i="2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J29" i="33"/>
  <c r="H29" i="33"/>
  <c r="U29" i="33" s="1"/>
  <c r="J31" i="33"/>
  <c r="W31" i="33" s="1"/>
  <c r="H31" i="33"/>
  <c r="J45" i="33"/>
  <c r="W45" i="33" s="1"/>
  <c r="AA45" i="33"/>
  <c r="F14" i="34"/>
  <c r="S14" i="34" s="1"/>
  <c r="H14" i="34"/>
  <c r="H30" i="34"/>
  <c r="F30" i="34"/>
  <c r="S30" i="34" s="1"/>
  <c r="J30" i="34"/>
  <c r="H32" i="34"/>
  <c r="F32" i="34"/>
  <c r="H46" i="34"/>
  <c r="U46" i="34"/>
  <c r="F46" i="34"/>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s="1"/>
  <c r="F38" i="37"/>
  <c r="S38" i="37" s="1"/>
  <c r="F43" i="39"/>
  <c r="AA43" i="39" s="1"/>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s="1"/>
  <c r="J14" i="40"/>
  <c r="W14" i="40" s="1"/>
  <c r="F14" i="40"/>
  <c r="AA14" i="40"/>
  <c r="J14" i="37"/>
  <c r="J27" i="37"/>
  <c r="AC27" i="37" s="1"/>
  <c r="AA44" i="33"/>
  <c r="U46" i="33"/>
  <c r="AA14" i="33"/>
  <c r="J36" i="37"/>
  <c r="AC36" i="37"/>
  <c r="J10" i="36"/>
  <c r="AC10" i="36" s="1"/>
  <c r="W31" i="34"/>
  <c r="S11" i="36"/>
  <c r="AB46" i="34"/>
  <c r="AC28" i="21"/>
  <c r="S44" i="34"/>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26" i="37"/>
  <c r="W47" i="34"/>
  <c r="AC36" i="34"/>
  <c r="AC31" i="33"/>
  <c r="AC45" i="33"/>
  <c r="W44" i="33"/>
  <c r="U11" i="33"/>
  <c r="U19"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G4" i="4"/>
  <c r="I4" i="4"/>
  <c r="F61" i="43"/>
  <c r="H64" i="43" s="1"/>
  <c r="AZ497" i="3"/>
  <c r="AZ49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52"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AZ16" i="3"/>
  <c r="BL303" i="3"/>
  <c r="G304" i="3"/>
  <c r="BA306" i="3"/>
  <c r="BL307" i="3"/>
  <c r="G308" i="3"/>
  <c r="BA310" i="3"/>
  <c r="AZ310" i="3" s="1"/>
  <c r="BL311" i="3"/>
  <c r="AZ311" i="3" s="1"/>
  <c r="G312" i="3"/>
  <c r="BA314" i="3"/>
  <c r="BL315" i="3"/>
  <c r="AZ315" i="3" s="1"/>
  <c r="G316" i="3"/>
  <c r="BA318" i="3"/>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BA379" i="3"/>
  <c r="AZ379" i="3" s="1"/>
  <c r="BL380" i="3"/>
  <c r="G381" i="3"/>
  <c r="BA383" i="3"/>
  <c r="AZ383" i="3" s="1"/>
  <c r="BL384" i="3"/>
  <c r="AZ384" i="3" s="1"/>
  <c r="G385" i="3"/>
  <c r="BA387" i="3"/>
  <c r="AZ387" i="3" s="1"/>
  <c r="BL388" i="3"/>
  <c r="G389" i="3"/>
  <c r="BA391" i="3"/>
  <c r="BL392" i="3"/>
  <c r="AZ392" i="3" s="1"/>
  <c r="G393" i="3"/>
  <c r="AZ291" i="3"/>
  <c r="BO5" i="3"/>
  <c r="BM5" i="3"/>
  <c r="BJ5" i="3"/>
  <c r="BH5" i="3"/>
  <c r="BF5" i="3"/>
  <c r="BD5" i="3"/>
  <c r="AZ325" i="3"/>
  <c r="AC5" i="3"/>
  <c r="AZ496" i="3"/>
  <c r="G548" i="3"/>
  <c r="G538" i="3"/>
  <c r="G520" i="3"/>
  <c r="G502" i="3"/>
  <c r="BS5" i="3"/>
  <c r="BP5" i="3"/>
  <c r="BN5" i="3"/>
  <c r="BK5" i="3"/>
  <c r="BI5" i="3"/>
  <c r="BG5" i="3"/>
  <c r="BE5" i="3"/>
  <c r="BC5" i="3"/>
  <c r="G17" i="3"/>
  <c r="BA17" i="3"/>
  <c r="BT5" i="3"/>
  <c r="BA15" i="3"/>
  <c r="BB5" i="3"/>
  <c r="BR5" i="3"/>
  <c r="AZ499" i="3"/>
  <c r="G509" i="3"/>
  <c r="BL493" i="3"/>
  <c r="U36" i="40"/>
  <c r="F83" i="43"/>
  <c r="H85" i="43" s="1"/>
  <c r="F50" i="43"/>
  <c r="H54" i="43" s="1"/>
  <c r="F72" i="43"/>
  <c r="H75" i="43" s="1"/>
  <c r="U17" i="39"/>
  <c r="S14" i="35"/>
  <c r="U43" i="21"/>
  <c r="U35" i="21"/>
  <c r="AC35" i="21"/>
  <c r="AZ563"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C40" i="11"/>
  <c r="AZ256" i="3"/>
  <c r="AZ13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12" i="3"/>
  <c r="W12" i="33"/>
  <c r="AC12" i="33"/>
  <c r="BL14" i="3"/>
  <c r="U30" i="33"/>
  <c r="AC13" i="34"/>
  <c r="AA47" i="34"/>
  <c r="S19" i="39"/>
  <c r="F12" i="33"/>
  <c r="H12" i="39"/>
  <c r="AB12" i="39" s="1"/>
  <c r="F39" i="40"/>
  <c r="S39" i="40" s="1"/>
  <c r="BA14" i="3"/>
  <c r="AZ14" i="3" s="1"/>
  <c r="AZ254" i="3"/>
  <c r="AZ297" i="3"/>
  <c r="AZ149" i="3"/>
  <c r="AZ173" i="3"/>
  <c r="AZ181" i="3"/>
  <c r="B12" i="1"/>
  <c r="E12" i="1" s="1"/>
  <c r="B10" i="1"/>
  <c r="E10" i="1" s="1"/>
  <c r="K12" i="1"/>
  <c r="M12" i="1" s="1"/>
  <c r="S13" i="1"/>
  <c r="AR13" i="1" s="1"/>
  <c r="R13" i="1"/>
  <c r="J51" i="67"/>
  <c r="AA34" i="33"/>
  <c r="B41" i="1"/>
  <c r="F30" i="11" s="1"/>
  <c r="C48" i="11" s="1"/>
  <c r="AB37" i="40"/>
  <c r="S35" i="40"/>
  <c r="U35" i="40"/>
  <c r="AC36" i="40"/>
  <c r="W38" i="40"/>
  <c r="AA32" i="40"/>
  <c r="S17"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G87" i="33" s="1"/>
  <c r="H25" i="33"/>
  <c r="U25" i="33" s="1"/>
  <c r="F25" i="33"/>
  <c r="J23" i="33"/>
  <c r="AC23" i="33" s="1"/>
  <c r="F85" i="33"/>
  <c r="H23" i="33"/>
  <c r="AB23" i="33" s="1"/>
  <c r="F81" i="33"/>
  <c r="F19" i="33"/>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S23" i="2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M18" i="67"/>
  <c r="F30" i="69"/>
  <c r="F48" i="69" s="1"/>
  <c r="M18" i="15"/>
  <c r="F28" i="15"/>
  <c r="S12" i="33"/>
  <c r="AA12" i="33"/>
  <c r="D68" i="9"/>
  <c r="J32" i="39"/>
  <c r="H32" i="39"/>
  <c r="AB32" i="39" s="1"/>
  <c r="AA32" i="39"/>
  <c r="S32" i="39"/>
  <c r="AB21" i="39"/>
  <c r="U21" i="39"/>
  <c r="AA21" i="39"/>
  <c r="AC17" i="37"/>
  <c r="S17" i="37"/>
  <c r="J19" i="37"/>
  <c r="W19" i="37" s="1"/>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AB27" i="33"/>
  <c r="G91" i="33"/>
  <c r="H91" i="33" s="1"/>
  <c r="I91" i="33"/>
  <c r="J91" i="33" s="1"/>
  <c r="K91" i="33" s="1"/>
  <c r="L91" i="33" s="1"/>
  <c r="M91" i="33" s="1"/>
  <c r="J27" i="33"/>
  <c r="W27" i="33" s="1"/>
  <c r="S25" i="33"/>
  <c r="AA25" i="33"/>
  <c r="H87" i="33"/>
  <c r="I87" i="33" s="1"/>
  <c r="J87" i="33" s="1"/>
  <c r="K87" i="33" s="1"/>
  <c r="L87" i="33" s="1"/>
  <c r="M87" i="33" s="1"/>
  <c r="J25" i="33"/>
  <c r="W25" i="33" s="1"/>
  <c r="F23" i="33"/>
  <c r="G85" i="33"/>
  <c r="H19" i="33"/>
  <c r="AB19" i="33" s="1"/>
  <c r="G81" i="33"/>
  <c r="H17" i="33"/>
  <c r="U17" i="33" s="1"/>
  <c r="F17" i="33"/>
  <c r="S17" i="33" s="1"/>
  <c r="S37" i="21"/>
  <c r="J23" i="21"/>
  <c r="AC23" i="21" s="1"/>
  <c r="F85" i="21"/>
  <c r="G85" i="21" s="1"/>
  <c r="H23" i="21"/>
  <c r="AB23" i="21" s="1"/>
  <c r="S13" i="21"/>
  <c r="AP7" i="1"/>
  <c r="AB45" i="21"/>
  <c r="AB9" i="21"/>
  <c r="U9" i="21"/>
  <c r="S32" i="21"/>
  <c r="W9" i="21"/>
  <c r="AC9" i="21"/>
  <c r="U32" i="21"/>
  <c r="AC32" i="39"/>
  <c r="W32" i="39"/>
  <c r="W23" i="37"/>
  <c r="AC23" i="37"/>
  <c r="J11" i="37"/>
  <c r="AC11" i="37" s="1"/>
  <c r="J11" i="34"/>
  <c r="W11" i="34" s="1"/>
  <c r="AB36" i="33"/>
  <c r="AC25" i="33"/>
  <c r="U19" i="33"/>
  <c r="AA17" i="33"/>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E9" i="76"/>
  <c r="AO13" i="1"/>
  <c r="E11" i="76"/>
  <c r="B7" i="76"/>
  <c r="E2" i="68"/>
  <c r="C19" i="9"/>
  <c r="E10" i="76"/>
  <c r="F9" i="15"/>
  <c r="M6" i="15"/>
  <c r="E12" i="76"/>
  <c r="D35" i="9"/>
  <c r="F26" i="15"/>
  <c r="F42" i="15"/>
  <c r="B8" i="76"/>
  <c r="D19" i="9"/>
  <c r="F8" i="15"/>
  <c r="B13" i="76"/>
  <c r="B11" i="76"/>
  <c r="B12" i="76"/>
  <c r="F6" i="15"/>
  <c r="M22" i="15"/>
  <c r="E2" i="69"/>
  <c r="M22" i="67"/>
  <c r="M9" i="15"/>
  <c r="C76" i="15"/>
  <c r="F7" i="67"/>
  <c r="L47" i="15"/>
  <c r="F13" i="15"/>
  <c r="E13" i="76"/>
  <c r="F38" i="15"/>
  <c r="F6" i="73"/>
  <c r="B10" i="76"/>
  <c r="C20" i="9"/>
  <c r="F5" i="73"/>
  <c r="D34" i="9"/>
  <c r="F4" i="73"/>
  <c r="B9" i="76"/>
  <c r="F7" i="73"/>
  <c r="E7" i="76"/>
  <c r="D20" i="9"/>
  <c r="F3" i="73"/>
  <c r="F40" i="67"/>
  <c r="D6" i="73"/>
  <c r="M26" i="15"/>
  <c r="M29" i="15"/>
  <c r="F43" i="15"/>
  <c r="M23" i="15"/>
  <c r="F36" i="67"/>
  <c r="F20" i="31"/>
  <c r="F9" i="67"/>
  <c r="M24" i="15"/>
  <c r="M47" i="9" l="1"/>
  <c r="C7" i="35"/>
  <c r="C48" i="35" s="1"/>
  <c r="D48" i="35" s="1"/>
  <c r="C42" i="1"/>
  <c r="C24" i="12" s="1"/>
  <c r="C7" i="36"/>
  <c r="C46" i="36" s="1"/>
  <c r="D46" i="36" s="1"/>
  <c r="E46" i="36" s="1"/>
  <c r="F46" i="36" s="1"/>
  <c r="G46" i="36" s="1"/>
  <c r="H46" i="36" s="1"/>
  <c r="I46" i="36" s="1"/>
  <c r="J46" i="36" s="1"/>
  <c r="C7" i="40"/>
  <c r="C63" i="40" s="1"/>
  <c r="C7" i="39"/>
  <c r="C67" i="39" s="1"/>
  <c r="C7" i="34"/>
  <c r="C7" i="21"/>
  <c r="A2" i="9"/>
  <c r="A4" i="52"/>
  <c r="B41" i="72" s="1"/>
  <c r="A118" i="9"/>
  <c r="S39" i="39"/>
  <c r="AA39" i="39"/>
  <c r="S11" i="39"/>
  <c r="AA11" i="39"/>
  <c r="AB34" i="35"/>
  <c r="U34" i="35"/>
  <c r="D22" i="71"/>
  <c r="W23" i="21"/>
  <c r="AC17" i="33"/>
  <c r="U23" i="33"/>
  <c r="AA39" i="40"/>
  <c r="F32" i="67"/>
  <c r="F60" i="67" s="1"/>
  <c r="U15" i="21"/>
  <c r="AB34" i="33"/>
  <c r="W15" i="21"/>
  <c r="U12" i="39"/>
  <c r="S19" i="33"/>
  <c r="AA19" i="33"/>
  <c r="U12" i="35"/>
  <c r="AB12" i="35"/>
  <c r="U23" i="21"/>
  <c r="AC27" i="33"/>
  <c r="U32" i="39"/>
  <c r="D6" i="52"/>
  <c r="AB41" i="33"/>
  <c r="AB25" i="33"/>
  <c r="AA19" i="37"/>
  <c r="W17" i="21"/>
  <c r="AA40" i="34"/>
  <c r="U21" i="40"/>
  <c r="F48" i="9"/>
  <c r="O52" i="9" s="1"/>
  <c r="F30" i="68"/>
  <c r="F48" i="68" s="1"/>
  <c r="F52" i="9"/>
  <c r="F32" i="15"/>
  <c r="F60" i="15" s="1"/>
  <c r="F54" i="9"/>
  <c r="AC20" i="36"/>
  <c r="S20" i="36"/>
  <c r="AC13" i="39"/>
  <c r="AC34" i="33"/>
  <c r="W28" i="37"/>
  <c r="AC17" i="34"/>
  <c r="AC11" i="39"/>
  <c r="F29" i="6"/>
  <c r="AZ391" i="3"/>
  <c r="AZ318" i="3"/>
  <c r="AZ364" i="3"/>
  <c r="AZ329" i="3"/>
  <c r="AZ304" i="3"/>
  <c r="AZ306" i="3"/>
  <c r="AA13" i="33"/>
  <c r="U39" i="37"/>
  <c r="U32" i="33"/>
  <c r="AZ535" i="3"/>
  <c r="AZ577" i="3"/>
  <c r="AZ557" i="3"/>
  <c r="AZ513" i="3"/>
  <c r="AZ575" i="3"/>
  <c r="AZ528" i="3"/>
  <c r="AZ566" i="3"/>
  <c r="AZ574" i="3"/>
  <c r="AZ582" i="3"/>
  <c r="AZ540" i="3"/>
  <c r="AZ502" i="3"/>
  <c r="S35" i="39"/>
  <c r="F14" i="37"/>
  <c r="H45" i="33"/>
  <c r="F14" i="21"/>
  <c r="AC38" i="34"/>
  <c r="F33" i="36"/>
  <c r="U34" i="40"/>
  <c r="J33" i="36"/>
  <c r="AC33" i="36" s="1"/>
  <c r="W40" i="39"/>
  <c r="B101" i="43"/>
  <c r="B79" i="43"/>
  <c r="W27" i="35"/>
  <c r="AC27" i="35"/>
  <c r="F32" i="36"/>
  <c r="H32" i="36"/>
  <c r="S9" i="40"/>
  <c r="AA9" i="40"/>
  <c r="H38" i="40"/>
  <c r="G570" i="3"/>
  <c r="AZ322" i="3"/>
  <c r="AZ519" i="3"/>
  <c r="AZ573" i="3"/>
  <c r="AA14" i="34"/>
  <c r="S41" i="33"/>
  <c r="BL585" i="3"/>
  <c r="J27" i="21"/>
  <c r="F27" i="21"/>
  <c r="F9" i="34"/>
  <c r="AA9" i="34" s="1"/>
  <c r="H9" i="34"/>
  <c r="J12" i="34"/>
  <c r="F12" i="34"/>
  <c r="S12" i="34" s="1"/>
  <c r="AB31" i="36"/>
  <c r="U31" i="36"/>
  <c r="AB30" i="37"/>
  <c r="U30" i="37"/>
  <c r="AC31" i="40"/>
  <c r="W31" i="40"/>
  <c r="AZ345" i="3"/>
  <c r="AZ372" i="3"/>
  <c r="AZ347" i="3"/>
  <c r="AZ337" i="3"/>
  <c r="AZ376" i="3"/>
  <c r="AZ309" i="3"/>
  <c r="AC12" i="37"/>
  <c r="W44" i="21"/>
  <c r="AZ515" i="3"/>
  <c r="AZ569" i="3"/>
  <c r="AZ571" i="3"/>
  <c r="AZ579" i="3"/>
  <c r="AZ516" i="3"/>
  <c r="AZ524" i="3"/>
  <c r="AB30" i="21"/>
  <c r="S38" i="39"/>
  <c r="W31" i="37"/>
  <c r="J9" i="33"/>
  <c r="F9" i="33"/>
  <c r="AA9" i="33" s="1"/>
  <c r="J9" i="34"/>
  <c r="J23" i="35"/>
  <c r="H23" i="35"/>
  <c r="H25" i="37"/>
  <c r="F25" i="37"/>
  <c r="U8" i="39"/>
  <c r="AB8" i="39"/>
  <c r="J43" i="39"/>
  <c r="H43" i="39"/>
  <c r="U30" i="36"/>
  <c r="AB30" i="36"/>
  <c r="AZ529" i="3"/>
  <c r="AZ585" i="3"/>
  <c r="BL587" i="3"/>
  <c r="AZ587" i="3" s="1"/>
  <c r="B72" i="43"/>
  <c r="C15" i="39"/>
  <c r="F12" i="35"/>
  <c r="J12" i="35"/>
  <c r="AA34" i="39"/>
  <c r="S34" i="39"/>
  <c r="AZ402" i="3"/>
  <c r="AZ443" i="3"/>
  <c r="H26" i="33"/>
  <c r="S31" i="35"/>
  <c r="F39" i="37"/>
  <c r="S39" i="37" s="1"/>
  <c r="J44" i="39"/>
  <c r="G587" i="3"/>
  <c r="BA551" i="3"/>
  <c r="AZ551" i="3" s="1"/>
  <c r="BA550" i="3"/>
  <c r="BL548" i="3"/>
  <c r="AZ548" i="3" s="1"/>
  <c r="BA400" i="3"/>
  <c r="AZ400" i="3" s="1"/>
  <c r="BL401" i="3"/>
  <c r="BA406" i="3"/>
  <c r="AZ406" i="3" s="1"/>
  <c r="BA407" i="3"/>
  <c r="AZ407" i="3" s="1"/>
  <c r="BL408" i="3"/>
  <c r="BA424" i="3"/>
  <c r="BA425" i="3"/>
  <c r="BA426" i="3"/>
  <c r="BA437" i="3"/>
  <c r="AZ437" i="3" s="1"/>
  <c r="BL398" i="3"/>
  <c r="BL404" i="3"/>
  <c r="BL405" i="3"/>
  <c r="BL409" i="3"/>
  <c r="BA418" i="3"/>
  <c r="AZ418" i="3" s="1"/>
  <c r="BL428" i="3"/>
  <c r="BL429" i="3"/>
  <c r="BA433" i="3"/>
  <c r="AZ433" i="3" s="1"/>
  <c r="G551" i="3"/>
  <c r="BL550" i="3"/>
  <c r="G542" i="3"/>
  <c r="BL15" i="3"/>
  <c r="AZ15" i="3" s="1"/>
  <c r="BA398" i="3"/>
  <c r="AZ398" i="3" s="1"/>
  <c r="BL411" i="3"/>
  <c r="BA413" i="3"/>
  <c r="AZ413" i="3" s="1"/>
  <c r="BA414" i="3"/>
  <c r="BA415" i="3"/>
  <c r="AZ415" i="3" s="1"/>
  <c r="BA416" i="3"/>
  <c r="AZ416" i="3" s="1"/>
  <c r="BA419" i="3"/>
  <c r="AZ419" i="3" s="1"/>
  <c r="BA420" i="3"/>
  <c r="BA421" i="3"/>
  <c r="BL430" i="3"/>
  <c r="G402" i="3"/>
  <c r="BL403" i="3"/>
  <c r="G405" i="3"/>
  <c r="G406" i="3"/>
  <c r="BA408" i="3"/>
  <c r="AZ408" i="3" s="1"/>
  <c r="BA409" i="3"/>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AZ455" i="3" s="1"/>
  <c r="BL457" i="3"/>
  <c r="AZ457" i="3" s="1"/>
  <c r="BL460" i="3"/>
  <c r="BL461" i="3"/>
  <c r="BL463" i="3"/>
  <c r="G465" i="3"/>
  <c r="BA471" i="3"/>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230" i="3"/>
  <c r="AZ230" i="3" s="1"/>
  <c r="BL232" i="3"/>
  <c r="BL448" i="3"/>
  <c r="AZ448" i="3" s="1"/>
  <c r="AZ460" i="3"/>
  <c r="AZ461" i="3"/>
  <c r="BL466" i="3"/>
  <c r="AZ466" i="3" s="1"/>
  <c r="AZ483" i="3"/>
  <c r="BA395" i="3"/>
  <c r="AZ395" i="3" s="1"/>
  <c r="BA208" i="3"/>
  <c r="AZ208" i="3" s="1"/>
  <c r="BA211" i="3"/>
  <c r="AZ211" i="3" s="1"/>
  <c r="BL213" i="3"/>
  <c r="BL215" i="3"/>
  <c r="BA222" i="3"/>
  <c r="AZ222" i="3" s="1"/>
  <c r="BA224" i="3"/>
  <c r="AZ224" i="3" s="1"/>
  <c r="BA226" i="3"/>
  <c r="BA243" i="3"/>
  <c r="BL250" i="3"/>
  <c r="AZ250" i="3" s="1"/>
  <c r="BA257" i="3"/>
  <c r="BA259" i="3"/>
  <c r="AZ259" i="3" s="1"/>
  <c r="BA263" i="3"/>
  <c r="BA156" i="3"/>
  <c r="AZ156" i="3" s="1"/>
  <c r="BA401" i="3"/>
  <c r="AZ401" i="3" s="1"/>
  <c r="BA403" i="3"/>
  <c r="AZ403" i="3" s="1"/>
  <c r="BA404" i="3"/>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BL223" i="3"/>
  <c r="AZ223" i="3" s="1"/>
  <c r="BA227" i="3"/>
  <c r="AZ227" i="3" s="1"/>
  <c r="BA229" i="3"/>
  <c r="AZ229" i="3" s="1"/>
  <c r="BL229" i="3"/>
  <c r="BL231" i="3"/>
  <c r="BL233" i="3"/>
  <c r="AZ233" i="3" s="1"/>
  <c r="BL235" i="3"/>
  <c r="AZ235" i="3" s="1"/>
  <c r="BA238" i="3"/>
  <c r="BL248" i="3"/>
  <c r="AZ248" i="3" s="1"/>
  <c r="BL435" i="3"/>
  <c r="AZ435" i="3" s="1"/>
  <c r="BL436" i="3"/>
  <c r="BA439" i="3"/>
  <c r="BA440" i="3"/>
  <c r="AZ440" i="3" s="1"/>
  <c r="BA442" i="3"/>
  <c r="BA445" i="3"/>
  <c r="BL454" i="3"/>
  <c r="AZ454" i="3" s="1"/>
  <c r="BL459" i="3"/>
  <c r="AZ459" i="3" s="1"/>
  <c r="BA465" i="3"/>
  <c r="AZ465" i="3" s="1"/>
  <c r="BA467"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6" i="3"/>
  <c r="BA241" i="3"/>
  <c r="AZ241" i="3" s="1"/>
  <c r="BL241" i="3"/>
  <c r="BA245" i="3"/>
  <c r="BA255" i="3"/>
  <c r="BL261" i="3"/>
  <c r="BA265" i="3"/>
  <c r="AZ103" i="3"/>
  <c r="AB21" i="37"/>
  <c r="U21" i="37"/>
  <c r="T28" i="71"/>
  <c r="D28" i="71"/>
  <c r="U28" i="71" s="1"/>
  <c r="C27" i="7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BA71" i="3"/>
  <c r="BA80" i="3"/>
  <c r="BL84" i="3"/>
  <c r="U21" i="33"/>
  <c r="AB21" i="33"/>
  <c r="P65" i="71"/>
  <c r="P66" i="71"/>
  <c r="D34" i="71"/>
  <c r="C35" i="71"/>
  <c r="D50" i="71"/>
  <c r="C51" i="71"/>
  <c r="C64" i="71"/>
  <c r="D63" i="71"/>
  <c r="BL240" i="3"/>
  <c r="AZ240" i="3" s="1"/>
  <c r="BA242" i="3"/>
  <c r="AZ242" i="3" s="1"/>
  <c r="BL245" i="3"/>
  <c r="BL255" i="3"/>
  <c r="BL257" i="3"/>
  <c r="BL258" i="3"/>
  <c r="BA262" i="3"/>
  <c r="AZ262" i="3" s="1"/>
  <c r="BL265"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C55" i="71"/>
  <c r="D54" i="7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L79" i="3"/>
  <c r="BL81" i="3"/>
  <c r="BA82" i="3"/>
  <c r="AZ82" i="3" s="1"/>
  <c r="BL83" i="3"/>
  <c r="G86" i="3"/>
  <c r="BA87" i="3"/>
  <c r="BA89" i="3"/>
  <c r="BL93" i="3"/>
  <c r="BL94" i="3"/>
  <c r="AZ94" i="3" s="1"/>
  <c r="BL101" i="3"/>
  <c r="BL102" i="3"/>
  <c r="G104" i="3"/>
  <c r="C40" i="69"/>
  <c r="S21" i="33"/>
  <c r="T60" i="71"/>
  <c r="T32" i="71"/>
  <c r="D32" i="71"/>
  <c r="D59" i="71"/>
  <c r="D67" i="71"/>
  <c r="C66" i="71"/>
  <c r="V24" i="71"/>
  <c r="E23" i="71"/>
  <c r="E22" i="71" s="1"/>
  <c r="E21" i="71" s="1"/>
  <c r="E20" i="71" s="1"/>
  <c r="BA106" i="3"/>
  <c r="BL108" i="3"/>
  <c r="AZ108" i="3" s="1"/>
  <c r="BL111" i="3"/>
  <c r="AZ111" i="3" s="1"/>
  <c r="U29" i="39"/>
  <c r="AA27" i="71"/>
  <c r="AB26" i="71"/>
  <c r="S28" i="71"/>
  <c r="C83" i="71"/>
  <c r="C79" i="71"/>
  <c r="C75" i="71"/>
  <c r="C71" i="71"/>
  <c r="O68" i="71"/>
  <c r="D46" i="71"/>
  <c r="C39" i="71"/>
  <c r="Y28" i="71"/>
  <c r="Z28" i="71" s="1"/>
  <c r="X35" i="71"/>
  <c r="X28" i="71"/>
  <c r="X32" i="71"/>
  <c r="F38" i="71"/>
  <c r="F39" i="71" s="1"/>
  <c r="F40" i="71" s="1"/>
  <c r="V40" i="71" s="1"/>
  <c r="AB38" i="71"/>
  <c r="F67" i="71"/>
  <c r="F75" i="71"/>
  <c r="F74" i="71" s="1"/>
  <c r="B79" i="71"/>
  <c r="B78" i="71"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76" i="71"/>
  <c r="Q68" i="71"/>
  <c r="T68" i="71"/>
  <c r="X34" i="71"/>
  <c r="F35" i="71"/>
  <c r="F36" i="71" s="1"/>
  <c r="V36" i="71" s="1"/>
  <c r="AA34" i="71"/>
  <c r="E51" i="71"/>
  <c r="E52" i="71" s="1"/>
  <c r="U52" i="71" s="1"/>
  <c r="D87" i="71"/>
  <c r="AB28" i="71"/>
  <c r="AA38" i="71"/>
  <c r="AB33" i="71"/>
  <c r="F31" i="71"/>
  <c r="F32" i="71" s="1"/>
  <c r="V32" i="71" s="1"/>
  <c r="AB31" i="71"/>
  <c r="AB36" i="71"/>
  <c r="AA36" i="71"/>
  <c r="Y38" i="71"/>
  <c r="Z38" i="71" s="1"/>
  <c r="E47" i="71"/>
  <c r="E48" i="71" s="1"/>
  <c r="U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F51" i="15"/>
  <c r="F71" i="15"/>
  <c r="L59" i="15"/>
  <c r="N59" i="15"/>
  <c r="M59" i="15"/>
  <c r="F66" i="15"/>
  <c r="D103" i="9"/>
  <c r="C27" i="15"/>
  <c r="G20" i="9"/>
  <c r="C103" i="9"/>
  <c r="B13" i="70"/>
  <c r="M7" i="67"/>
  <c r="F50" i="67"/>
  <c r="F68" i="67"/>
  <c r="F64" i="67"/>
  <c r="C36" i="68"/>
  <c r="D9" i="69"/>
  <c r="F27" i="69"/>
  <c r="C36" i="69"/>
  <c r="D9" i="68"/>
  <c r="L48" i="15"/>
  <c r="M26" i="67"/>
  <c r="F37" i="15"/>
  <c r="M8" i="67"/>
  <c r="F42" i="67"/>
  <c r="M6" i="67"/>
  <c r="M8" i="15"/>
  <c r="J15" i="15"/>
  <c r="F13" i="67"/>
  <c r="C76" i="67"/>
  <c r="F16" i="67"/>
  <c r="L47" i="67"/>
  <c r="F40" i="15"/>
  <c r="F36" i="15"/>
  <c r="F37" i="67"/>
  <c r="D4" i="73"/>
  <c r="D7" i="73"/>
  <c r="D5" i="73"/>
  <c r="F6" i="67"/>
  <c r="F16" i="15"/>
  <c r="F43" i="67"/>
  <c r="F38" i="67"/>
  <c r="M9" i="67"/>
  <c r="M29" i="67"/>
  <c r="J15" i="67"/>
  <c r="D3" i="73"/>
  <c r="M28" i="15"/>
  <c r="F7" i="15"/>
  <c r="M23" i="67"/>
  <c r="F8" i="67"/>
  <c r="M24" i="67"/>
  <c r="F26" i="67"/>
  <c r="M28" i="67"/>
  <c r="L48" i="67"/>
  <c r="K46" i="36" l="1"/>
  <c r="L46" i="36" s="1"/>
  <c r="M46" i="36" s="1"/>
  <c r="N46" i="36" s="1"/>
  <c r="O46" i="36" s="1"/>
  <c r="J7" i="36"/>
  <c r="I54" i="15"/>
  <c r="J53" i="15"/>
  <c r="L56" i="15" s="1"/>
  <c r="J57" i="15"/>
  <c r="J55" i="15" s="1"/>
  <c r="J58" i="15" s="1"/>
  <c r="Q50" i="15" s="1"/>
  <c r="L58" i="15"/>
  <c r="Q60" i="15" s="1"/>
  <c r="G8" i="1"/>
  <c r="K16" i="1"/>
  <c r="E26" i="43"/>
  <c r="G26" i="43"/>
  <c r="P6" i="1"/>
  <c r="C13" i="12" s="1"/>
  <c r="J57" i="67"/>
  <c r="J55" i="67" s="1"/>
  <c r="J58" i="67" s="1"/>
  <c r="Q50" i="67" s="1"/>
  <c r="L56" i="67"/>
  <c r="I54" i="67"/>
  <c r="J53" i="67"/>
  <c r="F1" i="67" s="1"/>
  <c r="C27" i="67"/>
  <c r="F51" i="67"/>
  <c r="C49" i="67" s="1"/>
  <c r="M7" i="15"/>
  <c r="J6" i="15" s="1"/>
  <c r="J18" i="15" s="1"/>
  <c r="C6" i="15"/>
  <c r="C32" i="15" s="1"/>
  <c r="F50" i="15"/>
  <c r="F59" i="15" s="1"/>
  <c r="F31" i="15"/>
  <c r="F66" i="67"/>
  <c r="F71" i="67"/>
  <c r="F31" i="67"/>
  <c r="C6" i="67"/>
  <c r="F65" i="67"/>
  <c r="F64" i="15"/>
  <c r="F68" i="15"/>
  <c r="L58" i="67"/>
  <c r="Q73" i="67" s="1"/>
  <c r="M59" i="67"/>
  <c r="N59" i="67"/>
  <c r="L59" i="67"/>
  <c r="Q61" i="67" s="1"/>
  <c r="Q71" i="67"/>
  <c r="F65" i="15"/>
  <c r="F66" i="71"/>
  <c r="Q67" i="71"/>
  <c r="D79" i="71"/>
  <c r="C78" i="71"/>
  <c r="D78" i="71" s="1"/>
  <c r="C56" i="71"/>
  <c r="D55" i="71"/>
  <c r="AZ66" i="3"/>
  <c r="AZ271" i="3"/>
  <c r="AZ245" i="3"/>
  <c r="AZ210" i="3"/>
  <c r="AZ238" i="3"/>
  <c r="AZ404" i="3"/>
  <c r="AZ263" i="3"/>
  <c r="AZ243" i="3"/>
  <c r="AZ409" i="3"/>
  <c r="AZ414" i="3"/>
  <c r="AZ425" i="3"/>
  <c r="AZ550" i="3"/>
  <c r="W12" i="35"/>
  <c r="AC12" i="35"/>
  <c r="AC23" i="35"/>
  <c r="W23" i="35"/>
  <c r="U9" i="34"/>
  <c r="AB9" i="34"/>
  <c r="D83" i="71"/>
  <c r="C82" i="71"/>
  <c r="D82" i="71" s="1"/>
  <c r="AZ102" i="3"/>
  <c r="AZ25" i="3"/>
  <c r="C52" i="71"/>
  <c r="D51" i="71"/>
  <c r="AZ63" i="3"/>
  <c r="AZ57" i="3"/>
  <c r="AZ265" i="3"/>
  <c r="AZ332" i="3"/>
  <c r="AZ471" i="3"/>
  <c r="AZ430" i="3"/>
  <c r="U43" i="39"/>
  <c r="AB43" i="39"/>
  <c r="AA25" i="37"/>
  <c r="S25" i="37"/>
  <c r="AC9" i="34"/>
  <c r="W9" i="34"/>
  <c r="S14" i="21"/>
  <c r="AA14" i="21"/>
  <c r="J6" i="67"/>
  <c r="J18" i="67" s="1"/>
  <c r="G5" i="3"/>
  <c r="B3" i="3" s="1"/>
  <c r="E377" i="3" s="1"/>
  <c r="C70" i="71"/>
  <c r="D70" i="71" s="1"/>
  <c r="D71" i="71"/>
  <c r="AZ249" i="3"/>
  <c r="AZ197" i="3"/>
  <c r="AZ126" i="3"/>
  <c r="AZ274" i="3"/>
  <c r="AZ257" i="3"/>
  <c r="AB26" i="33"/>
  <c r="U26" i="33"/>
  <c r="AC43" i="39"/>
  <c r="W43" i="39"/>
  <c r="AB25" i="37"/>
  <c r="U25" i="37"/>
  <c r="AA27" i="21"/>
  <c r="S27" i="21"/>
  <c r="AB32" i="36"/>
  <c r="U32" i="36"/>
  <c r="U45" i="33"/>
  <c r="AB45" i="33"/>
  <c r="G16" i="1"/>
  <c r="F10" i="39" s="1"/>
  <c r="S10" i="39" s="1"/>
  <c r="C40" i="71"/>
  <c r="D39" i="71"/>
  <c r="D75" i="71"/>
  <c r="C74" i="71"/>
  <c r="D74" i="71" s="1"/>
  <c r="O65" i="71"/>
  <c r="D66" i="71"/>
  <c r="O66" i="71"/>
  <c r="AZ38" i="3"/>
  <c r="C36" i="71"/>
  <c r="D35" i="71"/>
  <c r="AZ71" i="3"/>
  <c r="AZ190" i="3"/>
  <c r="C26" i="71"/>
  <c r="D26" i="71" s="1"/>
  <c r="D27" i="71"/>
  <c r="AZ421" i="3"/>
  <c r="AC44" i="39"/>
  <c r="W44" i="39"/>
  <c r="U23" i="35"/>
  <c r="AB23" i="35"/>
  <c r="AC9" i="33"/>
  <c r="W9" i="33"/>
  <c r="W12" i="34"/>
  <c r="AC12" i="34"/>
  <c r="W27" i="21"/>
  <c r="AC27" i="21"/>
  <c r="AB38" i="40"/>
  <c r="U38" i="40"/>
  <c r="S32" i="36"/>
  <c r="AA32" i="36"/>
  <c r="AA33" i="36"/>
  <c r="S33" i="36"/>
  <c r="S14" i="37"/>
  <c r="AA14" i="37"/>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P29" i="43"/>
  <c r="P27" i="43"/>
  <c r="B70" i="39" s="1"/>
  <c r="C32" i="67"/>
  <c r="C32" i="9"/>
  <c r="Q60" i="67"/>
  <c r="M11" i="67"/>
  <c r="J10" i="67" s="1"/>
  <c r="F11" i="15"/>
  <c r="M11" i="15"/>
  <c r="J10" i="15" s="1"/>
  <c r="F11" i="67"/>
  <c r="Q74" i="15"/>
  <c r="Q61" i="15"/>
  <c r="AE11" i="1"/>
  <c r="AE6" i="1"/>
  <c r="AE9" i="1"/>
  <c r="F27" i="68"/>
  <c r="AE7" i="1"/>
  <c r="AE8" i="1"/>
  <c r="AE12" i="1"/>
  <c r="AE10" i="1"/>
  <c r="C16" i="67"/>
  <c r="C16" i="15"/>
  <c r="F41" i="67"/>
  <c r="G1" i="73"/>
  <c r="Q73" i="15" l="1"/>
  <c r="Q52" i="15"/>
  <c r="F1" i="15"/>
  <c r="E248" i="3"/>
  <c r="E242" i="3"/>
  <c r="E161" i="3"/>
  <c r="E201" i="3"/>
  <c r="E70" i="3"/>
  <c r="E378" i="3"/>
  <c r="E131" i="3"/>
  <c r="E119" i="3"/>
  <c r="E563" i="3"/>
  <c r="E509" i="3"/>
  <c r="AY6" i="3"/>
  <c r="AA10" i="39"/>
  <c r="X6" i="3"/>
  <c r="E215" i="3"/>
  <c r="E526" i="3"/>
  <c r="C49" i="15"/>
  <c r="F10" i="40"/>
  <c r="S10" i="40" s="1"/>
  <c r="E423" i="3"/>
  <c r="M6" i="3"/>
  <c r="E212" i="3"/>
  <c r="E442" i="3"/>
  <c r="E425" i="3"/>
  <c r="E63" i="3"/>
  <c r="E18" i="3"/>
  <c r="E113" i="3"/>
  <c r="E405" i="3"/>
  <c r="E497" i="3"/>
  <c r="E115" i="3"/>
  <c r="E220" i="3"/>
  <c r="E158" i="3"/>
  <c r="E105" i="3"/>
  <c r="E422" i="3"/>
  <c r="E401" i="3"/>
  <c r="E276" i="3"/>
  <c r="E473"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I3" i="6"/>
  <c r="E64" i="3"/>
  <c r="E264" i="3"/>
  <c r="E129" i="3"/>
  <c r="E287" i="3"/>
  <c r="E456" i="3"/>
  <c r="E13" i="3"/>
  <c r="E225" i="3"/>
  <c r="E324" i="3"/>
  <c r="E326" i="3"/>
  <c r="E393" i="3"/>
  <c r="E440" i="3"/>
  <c r="E463" i="3"/>
  <c r="E346" i="3"/>
  <c r="E15"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95" i="3"/>
  <c r="E310" i="3"/>
  <c r="E281" i="3"/>
  <c r="E34" i="3"/>
  <c r="E140" i="3"/>
  <c r="E408" i="3"/>
  <c r="E420" i="3"/>
  <c r="E428" i="3"/>
  <c r="E49" i="3"/>
  <c r="E16" i="3"/>
  <c r="E543" i="3"/>
  <c r="AH6" i="3"/>
  <c r="E108" i="3"/>
  <c r="L6" i="3"/>
  <c r="E38"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567" i="3"/>
  <c r="E433" i="3"/>
  <c r="E519" i="3"/>
  <c r="E253" i="3"/>
  <c r="E61" i="3"/>
  <c r="E130" i="3"/>
  <c r="E358" i="3"/>
  <c r="E282" i="3"/>
  <c r="E295" i="3"/>
  <c r="E443" i="3"/>
  <c r="E274" i="3"/>
  <c r="E262" i="3"/>
  <c r="E213" i="3"/>
  <c r="E574" i="3"/>
  <c r="E546" i="3"/>
  <c r="E257" i="3"/>
  <c r="E306" i="3"/>
  <c r="E488" i="3"/>
  <c r="E47" i="3"/>
  <c r="E57" i="3"/>
  <c r="E155" i="3"/>
  <c r="E50" i="3"/>
  <c r="E170" i="3"/>
  <c r="E427" i="3"/>
  <c r="E26" i="3"/>
  <c r="E332" i="3"/>
  <c r="E557" i="3"/>
  <c r="AO6" i="3"/>
  <c r="E362" i="3"/>
  <c r="E577" i="3"/>
  <c r="E277" i="3"/>
  <c r="E399" i="3"/>
  <c r="E180" i="3"/>
  <c r="E231" i="3"/>
  <c r="E143" i="3"/>
  <c r="E530" i="3"/>
  <c r="E384" i="3"/>
  <c r="AS6" i="3"/>
  <c r="E271" i="3"/>
  <c r="E527" i="3"/>
  <c r="E578" i="3"/>
  <c r="E516" i="3"/>
  <c r="E444" i="3"/>
  <c r="Q6" i="3"/>
  <c r="E397" i="3"/>
  <c r="H10" i="39"/>
  <c r="U10" i="39" s="1"/>
  <c r="Q74" i="67"/>
  <c r="H10" i="40"/>
  <c r="AB10" i="40" s="1"/>
  <c r="J10" i="40"/>
  <c r="AC10" i="40"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31" i="3"/>
  <c r="E450" i="3"/>
  <c r="E193" i="3"/>
  <c r="E583" i="3"/>
  <c r="E290" i="3"/>
  <c r="E230" i="3"/>
  <c r="E151" i="3"/>
  <c r="E553" i="3"/>
  <c r="E166" i="3"/>
  <c r="P6" i="3"/>
  <c r="E55" i="3"/>
  <c r="E156" i="3"/>
  <c r="E169" i="3"/>
  <c r="E153" i="3"/>
  <c r="E432" i="3"/>
  <c r="E475" i="3"/>
  <c r="E122" i="3"/>
  <c r="Y6" i="3"/>
  <c r="E582" i="3"/>
  <c r="E421" i="3"/>
  <c r="E398" i="3"/>
  <c r="E147" i="3"/>
  <c r="E60" i="3"/>
  <c r="E188" i="3"/>
  <c r="E451" i="3"/>
  <c r="E67" i="3"/>
  <c r="E89" i="3"/>
  <c r="E146" i="3"/>
  <c r="E472" i="3"/>
  <c r="E181" i="3"/>
  <c r="E350" i="3"/>
  <c r="E528" i="3"/>
  <c r="E561" i="3"/>
  <c r="E388" i="3"/>
  <c r="E162" i="3"/>
  <c r="E478" i="3"/>
  <c r="E150" i="3"/>
  <c r="E314" i="3"/>
  <c r="E395" i="3"/>
  <c r="V6" i="3"/>
  <c r="E30" i="3"/>
  <c r="I6" i="3"/>
  <c r="H6" i="3" s="1"/>
  <c r="E254" i="3"/>
  <c r="E390" i="3"/>
  <c r="E272" i="3"/>
  <c r="E532" i="3"/>
  <c r="E167" i="3"/>
  <c r="E373" i="3"/>
  <c r="E209" i="3"/>
  <c r="E65" i="3"/>
  <c r="E218" i="3"/>
  <c r="E339" i="3"/>
  <c r="J6" i="3"/>
  <c r="E412" i="3"/>
  <c r="E206" i="3"/>
  <c r="E510" i="3"/>
  <c r="J10" i="39"/>
  <c r="W10" i="3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279" i="3"/>
  <c r="E457" i="3"/>
  <c r="E511" i="3"/>
  <c r="E518" i="3"/>
  <c r="E260" i="3"/>
  <c r="E407" i="3"/>
  <c r="E569" i="3"/>
  <c r="E480" i="3"/>
  <c r="E404" i="3"/>
  <c r="E576" i="3"/>
  <c r="E344" i="3"/>
  <c r="AN6" i="3"/>
  <c r="E418" i="3"/>
  <c r="E29" i="3"/>
  <c r="E379" i="3"/>
  <c r="E288" i="3"/>
  <c r="E98" i="3"/>
  <c r="E259" i="3"/>
  <c r="E19" i="3"/>
  <c r="E51" i="3"/>
  <c r="E101" i="3"/>
  <c r="E52" i="3"/>
  <c r="E178" i="3"/>
  <c r="E232" i="3"/>
  <c r="E173" i="3"/>
  <c r="E363" i="3"/>
  <c r="E79" i="3"/>
  <c r="E540" i="3"/>
  <c r="E372" i="3"/>
  <c r="E226" i="3"/>
  <c r="E25" i="3"/>
  <c r="E419" i="3"/>
  <c r="E376" i="3"/>
  <c r="E507" i="3"/>
  <c r="E564" i="3"/>
  <c r="E116" i="3"/>
  <c r="E329" i="3"/>
  <c r="E80" i="3"/>
  <c r="E35" i="3"/>
  <c r="E190" i="3"/>
  <c r="E356" i="3"/>
  <c r="E41" i="3"/>
  <c r="E470" i="3"/>
  <c r="E556" i="3"/>
  <c r="E512" i="3"/>
  <c r="E534" i="3"/>
  <c r="E205" i="3"/>
  <c r="E102" i="3"/>
  <c r="E383" i="3"/>
  <c r="E75" i="3"/>
  <c r="E198" i="3"/>
  <c r="E233" i="3"/>
  <c r="E300" i="3"/>
  <c r="E409" i="3"/>
  <c r="E56" i="3"/>
  <c r="R6" i="3"/>
  <c r="E3" i="6"/>
  <c r="D14" i="12" s="1"/>
  <c r="E137" i="3"/>
  <c r="E455" i="3"/>
  <c r="E43" i="3"/>
  <c r="E333" i="3"/>
  <c r="E202" i="3"/>
  <c r="E40" i="3"/>
  <c r="E498" i="3"/>
  <c r="E490" i="3"/>
  <c r="E486" i="3"/>
  <c r="E493" i="3"/>
  <c r="E223" i="3"/>
  <c r="E83" i="3"/>
  <c r="E370" i="3"/>
  <c r="E342" i="3"/>
  <c r="E78" i="3"/>
  <c r="E243" i="3"/>
  <c r="E104" i="3"/>
  <c r="E452" i="3"/>
  <c r="E360" i="3"/>
  <c r="E469" i="3"/>
  <c r="E525" i="3"/>
  <c r="E22" i="3"/>
  <c r="E251" i="3"/>
  <c r="E235" i="3"/>
  <c r="E42" i="3"/>
  <c r="E309" i="3"/>
  <c r="E144" i="3"/>
  <c r="E267" i="3"/>
  <c r="E389" i="3"/>
  <c r="E554" i="3"/>
  <c r="E536" i="3"/>
  <c r="E241" i="3"/>
  <c r="E417" i="3"/>
  <c r="E449" i="3"/>
  <c r="E575" i="3"/>
  <c r="T6" i="3"/>
  <c r="E197" i="3"/>
  <c r="E308" i="3"/>
  <c r="AF6" i="3"/>
  <c r="E522" i="3"/>
  <c r="E96" i="3"/>
  <c r="AL6" i="3"/>
  <c r="E21" i="3"/>
  <c r="E381" i="3"/>
  <c r="E23" i="3"/>
  <c r="E103" i="3"/>
  <c r="E76" i="3"/>
  <c r="E192" i="3"/>
  <c r="E435" i="3"/>
  <c r="E541" i="3"/>
  <c r="E199" i="3"/>
  <c r="Q52" i="67"/>
  <c r="J5" i="67"/>
  <c r="J24" i="67" s="1"/>
  <c r="M17" i="15"/>
  <c r="J5" i="15"/>
  <c r="J24" i="15" s="1"/>
  <c r="E86" i="3"/>
  <c r="E174" i="3"/>
  <c r="E482" i="3"/>
  <c r="E391" i="3"/>
  <c r="E494" i="3"/>
  <c r="E283" i="3"/>
  <c r="E68" i="3"/>
  <c r="E184" i="3"/>
  <c r="E84" i="3"/>
  <c r="E371" i="3"/>
  <c r="E160" i="3"/>
  <c r="E467" i="3"/>
  <c r="E59" i="3"/>
  <c r="E349" i="3"/>
  <c r="E258" i="3"/>
  <c r="E37" i="3"/>
  <c r="E491" i="3"/>
  <c r="AP6" i="3"/>
  <c r="E430" i="3"/>
  <c r="E502" i="3"/>
  <c r="E286" i="3"/>
  <c r="E539" i="3"/>
  <c r="D36" i="71"/>
  <c r="T36" i="71"/>
  <c r="T40" i="71"/>
  <c r="D40" i="71"/>
  <c r="E513" i="3"/>
  <c r="E81" i="3"/>
  <c r="E355" i="3"/>
  <c r="E33" i="3"/>
  <c r="E492" i="3"/>
  <c r="E249" i="3"/>
  <c r="E46" i="3"/>
  <c r="E484" i="3"/>
  <c r="E544" i="3"/>
  <c r="E292" i="3"/>
  <c r="E152" i="3"/>
  <c r="E479" i="3"/>
  <c r="E517" i="3"/>
  <c r="E255" i="3"/>
  <c r="E466" i="3"/>
  <c r="E499" i="3"/>
  <c r="T52" i="71"/>
  <c r="D52" i="71"/>
  <c r="D56" i="71"/>
  <c r="T56" i="71"/>
  <c r="Q66" i="71"/>
  <c r="Q6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C35" i="9"/>
  <c r="F41" i="15"/>
  <c r="M27" i="67"/>
  <c r="M27" i="15"/>
  <c r="W10" i="40" l="1"/>
  <c r="AB10" i="39"/>
  <c r="C48" i="15"/>
  <c r="C66" i="15" s="1"/>
  <c r="F25" i="12"/>
  <c r="C26" i="12" s="1"/>
  <c r="D25" i="12" s="1"/>
  <c r="D3" i="33"/>
  <c r="D3" i="34"/>
  <c r="E6" i="6"/>
  <c r="D3" i="21"/>
  <c r="C17" i="4"/>
  <c r="B4" i="52" s="1"/>
  <c r="B43" i="72" s="1"/>
  <c r="M18" i="9"/>
  <c r="B118" i="9" s="1"/>
  <c r="B1" i="74" s="1"/>
  <c r="L18" i="9"/>
  <c r="AC6" i="3"/>
  <c r="E6" i="3"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C44" i="11" l="1"/>
  <c r="D41" i="11" s="1"/>
  <c r="C26" i="11"/>
  <c r="D22" i="11" s="1"/>
  <c r="C26" i="68"/>
  <c r="D22" i="68" s="1"/>
  <c r="C23" i="68"/>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11" i="1"/>
  <c r="AO9" i="1"/>
  <c r="AO10"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c r="D4" i="52"/>
  <c r="B22" i="72"/>
  <c r="D6" i="53"/>
  <c r="E97" i="9"/>
  <c r="E96" i="9"/>
  <c r="C96" i="9"/>
  <c r="B31" i="72"/>
  <c r="D15" i="53"/>
  <c r="B21" i="72"/>
  <c r="D7" i="53"/>
  <c r="M68" i="9"/>
  <c r="L68" i="9"/>
  <c r="D8" i="52"/>
  <c r="B30" i="72"/>
  <c r="C86" i="9"/>
  <c r="C93" i="9"/>
  <c r="C80" i="9"/>
  <c r="E80" i="9"/>
  <c r="E81" i="9"/>
  <c r="H5" i="52"/>
  <c r="H119" i="9"/>
  <c r="N69" i="9"/>
  <c r="L63" i="9"/>
  <c r="M63" i="9"/>
  <c r="M69" i="9"/>
  <c r="B52" i="72"/>
  <c r="G4" i="52"/>
  <c r="D122" i="9"/>
  <c r="D123" i="9"/>
  <c r="D9" i="52"/>
  <c r="H102" i="9"/>
  <c r="C5" i="74"/>
  <c r="D59" i="9"/>
  <c r="M55" i="9"/>
  <c r="M54" i="9"/>
  <c r="C85" i="9"/>
  <c r="C95" i="9"/>
  <c r="C97" i="9"/>
  <c r="D58" i="9"/>
  <c r="D56" i="9"/>
  <c r="C72" i="9"/>
  <c r="C79" i="9"/>
  <c r="C81" i="9"/>
  <c r="E4" i="52"/>
  <c r="B48" i="72"/>
  <c r="M65" i="9"/>
  <c r="L65" i="9"/>
  <c r="M48" i="9"/>
  <c r="E118" i="9"/>
  <c r="D118" i="9"/>
  <c r="D119" i="9"/>
  <c r="D5" i="52"/>
  <c r="B49" i="72"/>
  <c r="D13" i="53"/>
  <c r="D14" i="53"/>
  <c r="B32" i="72"/>
  <c r="C105" i="9"/>
  <c r="I4" i="52"/>
  <c r="P57" i="9"/>
  <c r="D55" i="9"/>
  <c r="M53" i="9"/>
  <c r="N57" i="9"/>
  <c r="N58" i="9"/>
  <c r="N60" i="9"/>
  <c r="N59" i="9"/>
  <c r="N61" i="9"/>
  <c r="D52" i="9"/>
  <c r="D53" i="9"/>
  <c r="C104" i="9"/>
  <c r="H4" i="52"/>
  <c r="F119" i="9"/>
  <c r="F5" i="52"/>
  <c r="B53" i="72"/>
  <c r="M67" i="9"/>
  <c r="L67" i="9"/>
  <c r="H108" i="9"/>
  <c r="C6" i="74"/>
  <c r="C78" i="9"/>
  <c r="C73" i="9"/>
  <c r="D5" i="53"/>
  <c r="B20" i="72"/>
  <c r="G118" i="9"/>
  <c r="F118" i="9"/>
  <c r="F4" i="52"/>
  <c r="B51" i="72"/>
  <c r="L64" i="9"/>
  <c r="M64" i="9"/>
  <c r="H107" i="9"/>
  <c r="M49" i="9"/>
  <c r="L66" i="9"/>
  <c r="M66"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<sst xmlns="http://schemas.openxmlformats.org/spreadsheetml/2006/main" count="7837" uniqueCount="3428">
  <si>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</si>
  <si>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</si>
  <si>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</si>
  <si>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</si>
  <si>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</si>
  <si>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</si>
  <si>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</si>
  <si>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</si>
  <si>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</si>
  <si>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</si>
  <si>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</si>
  <si>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</si>
  <si>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</si>
  <si>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</si>
  <si>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</si>
  <si>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</si>
  <si>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</si>
  <si>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</si>
  <si>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</si>
  <si>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</si>
  <si>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</si>
  <si>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</si>
  <si>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</si>
  <si>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</si>
  <si>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</si>
  <si>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</si>
  <si>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</si>
  <si>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</si>
  <si>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</si>
  <si>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</si>
  <si>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</si>
  <si>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</si>
  <si>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</si>
  <si>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</si>
  <si>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</si>
  <si>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</si>
  <si>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</si>
  <si>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</si>
  <si>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</si>
  <si>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</si>
  <si>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</si>
  <si>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</si>
  <si>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</si>
  <si>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</si>
  <si>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</si>
  <si>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</si>
  <si>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</si>
  <si>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</si>
  <si>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</si>
  <si>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</si>
  <si>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</si>
  <si>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</si>
  <si>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</si>
  <si>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</si>
  <si>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</si>
  <si>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</si>
  <si>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</si>
  <si>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</si>
  <si>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</si>
  <si>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</si>
  <si>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</si>
  <si>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</si>
  <si>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</si>
  <si>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</si>
  <si>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</si>
  <si>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</si>
  <si>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</si>
  <si>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</si>
  <si>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</si>
  <si>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</si>
  <si>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</si>
  <si>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</si>
  <si>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</si>
  <si>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</si>
  <si>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</si>
  <si>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</si>
  <si>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</si>
  <si>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</si>
  <si>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</si>
  <si>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</si>
  <si>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</si>
  <si>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</si>
  <si>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</si>
  <si>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</si>
  <si>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</si>
  <si>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</si>
  <si>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</si>
  <si>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</si>
  <si>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</si>
  <si>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</si>
  <si>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</si>
  <si>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</si>
  <si>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</si>
  <si>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</si>
  <si>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</si>
  <si>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</si>
  <si>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</si>
  <si>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</si>
  <si>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</si>
  <si>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</si>
  <si>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</si>
  <si>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</si>
  <si>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</si>
  <si>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</si>
  <si>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</si>
  <si>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</si>
  <si>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</si>
  <si>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</si>
  <si>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</si>
  <si>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</si>
  <si>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</si>
  <si>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</si>
  <si>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</si>
  <si>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</si>
  <si>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</si>
  <si>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</si>
  <si>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</si>
  <si>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</si>
  <si>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</si>
  <si>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</si>
  <si>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</si>
  <si>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</si>
  <si>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</si>
  <si>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</si>
  <si>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</si>
  <si>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</si>
  <si>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</si>
  <si>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</si>
  <si>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</si>
  <si>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</si>
  <si>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</si>
  <si>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</si>
  <si>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</si>
  <si>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</si>
  <si>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</si>
  <si>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</si>
  <si>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</si>
  <si>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</si>
  <si>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</si>
  <si>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</si>
  <si>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</si>
  <si>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</si>
  <si>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</si>
  <si>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</si>
  <si>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</si>
  <si>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</si>
  <si>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</si>
  <si>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</si>
  <si>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</si>
  <si>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</si>
  <si>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</si>
  <si>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</si>
  <si>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</si>
  <si>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</si>
  <si>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</si>
  <si>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</si>
  <si>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</si>
  <si>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</si>
  <si>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</si>
  <si>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</si>
  <si>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</si>
  <si>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</si>
  <si>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</si>
  <si>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</si>
  <si>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</si>
  <si>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</si>
  <si>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</si>
  <si>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</si>
  <si>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</si>
  <si>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</si>
  <si>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</si>
  <si>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</si>
  <si>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</si>
  <si>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</si>
  <si>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</si>
  <si>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</si>
  <si>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</si>
  <si>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</si>
  <si>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</si>
  <si>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</si>
  <si>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</si>
  <si>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</si>
  <si>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</si>
  <si>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</si>
  <si>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</si>
  <si>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</si>
  <si>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</si>
  <si>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</si>
  <si>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</si>
  <si>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</si>
  <si>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</si>
  <si>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</si>
  <si>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</si>
  <si>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</si>
  <si>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</si>
  <si>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</si>
  <si>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</si>
  <si>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</si>
  <si>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</si>
  <si>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</si>
  <si>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</si>
  <si>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</si>
  <si>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</si>
  <si>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</si>
  <si>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</si>
  <si>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</si>
  <si>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</si>
  <si>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</si>
  <si>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</si>
  <si>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</si>
  <si>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</si>
  <si>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</si>
  <si>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</si>
  <si>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</si>
  <si>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</si>
  <si>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</si>
  <si>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</si>
  <si>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</si>
  <si>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</si>
  <si>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</si>
  <si>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</si>
  <si>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</si>
  <si>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</si>
  <si>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</si>
  <si>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</si>
  <si>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</si>
  <si>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</si>
  <si>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</si>
  <si>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</si>
  <si>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</si>
  <si>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</si>
  <si>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</si>
  <si>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</si>
  <si>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</si>
  <si>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</si>
  <si>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</si>
  <si>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</si>
  <si>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</si>
  <si>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</si>
  <si>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</si>
  <si>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</si>
  <si>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</si>
  <si>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</si>
  <si>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</si>
  <si>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</si>
  <si>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</si>
  <si>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</si>
  <si>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</si>
  <si>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</si>
  <si>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</si>
  <si>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</si>
  <si>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</si>
  <si>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</si>
  <si>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</si>
  <si>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</si>
  <si>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</si>
  <si>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</si>
  <si>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</si>
  <si>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</si>
  <si>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</si>
  <si>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</si>
  <si>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</si>
  <si>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</si>
  <si>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</si>
  <si>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</si>
  <si>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</si>
  <si>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</si>
  <si>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</si>
  <si>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</si>
  <si>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</si>
  <si>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</si>
  <si>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</si>
  <si>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</si>
  <si>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</si>
  <si>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</si>
  <si>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</si>
  <si>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</si>
  <si>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</si>
  <si>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</si>
  <si>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</si>
  <si>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</si>
  <si>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</si>
  <si>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</si>
  <si>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</si>
  <si>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</si>
  <si>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</si>
  <si>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</si>
  <si>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</si>
  <si>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</si>
  <si>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</si>
  <si>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</si>
  <si>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</si>
  <si>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</si>
  <si>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</si>
  <si>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</si>
  <si>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</si>
  <si>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</si>
  <si>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</si>
  <si>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</si>
  <si>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</si>
  <si>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</si>
  <si>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</si>
  <si>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</si>
  <si>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</si>
  <si>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</si>
  <si>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</si>
  <si>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</si>
  <si>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</si>
  <si>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</si>
  <si>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</si>
  <si>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</si>
  <si>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</si>
  <si>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</si>
  <si>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</si>
  <si>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</si>
  <si>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</si>
  <si>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</si>
  <si>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</si>
  <si>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</si>
  <si>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</si>
  <si>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</si>
  <si>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</si>
  <si>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</si>
  <si>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</si>
  <si>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</si>
  <si>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</si>
  <si>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</si>
  <si>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</si>
  <si>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</si>
  <si>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</si>
  <si>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</si>
  <si>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</si>
  <si>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</si>
  <si>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</si>
  <si>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</si>
  <si>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</si>
  <si>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</si>
  <si>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</si>
  <si>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</si>
  <si>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</si>
  <si>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</si>
  <si>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</si>
  <si>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</si>
  <si>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</si>
  <si>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</si>
  <si>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</si>
  <si>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</si>
  <si>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</si>
  <si>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</si>
  <si>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</si>
  <si>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</si>
  <si>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</si>
  <si>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</si>
  <si>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</si>
  <si>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</si>
  <si>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</si>
  <si>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</si>
  <si>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</si>
  <si>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</si>
  <si>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</si>
  <si>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</si>
  <si>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</si>
  <si>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</si>
  <si>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</si>
  <si>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</si>
  <si>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</si>
  <si>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</si>
  <si>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</si>
  <si>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</si>
  <si>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</si>
  <si>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</si>
  <si>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</si>
  <si>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</si>
  <si>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</si>
  <si>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</si>
  <si>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</si>
  <si>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</si>
  <si>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</si>
  <si>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</si>
  <si>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</si>
  <si>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</si>
  <si>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</si>
  <si>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</si>
  <si>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</si>
  <si>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</si>
  <si>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</si>
  <si>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</si>
  <si>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</si>
  <si>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</si>
  <si>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</si>
  <si>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</si>
  <si>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</si>
  <si>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</si>
  <si>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</si>
  <si>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</si>
  <si>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</si>
  <si>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</si>
  <si>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</si>
  <si>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</si>
  <si>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</si>
  <si>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</si>
  <si>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</si>
  <si>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</si>
  <si>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</si>
  <si>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</si>
  <si>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</si>
  <si>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</si>
  <si>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</si>
  <si>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</si>
  <si>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</si>
  <si>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</si>
  <si>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</si>
  <si>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</si>
  <si>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</si>
  <si>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</si>
  <si>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</si>
  <si>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</si>
  <si>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</si>
  <si>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</si>
  <si>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</si>
  <si>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</si>
  <si>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</si>
  <si>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</si>
  <si>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</si>
  <si>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</si>
  <si>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</si>
  <si>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</si>
  <si>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</si>
  <si>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</si>
  <si>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</si>
  <si>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</si>
  <si>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</si>
  <si>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</si>
  <si>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</si>
  <si>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</si>
  <si>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</si>
  <si>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</si>
  <si>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</si>
  <si>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</si>
  <si>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</si>
  <si>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</si>
  <si>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</si>
  <si>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</si>
  <si>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</si>
  <si>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</si>
  <si>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</si>
  <si>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</si>
  <si>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</si>
  <si>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</si>
  <si>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</si>
  <si>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</si>
  <si>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</si>
  <si>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</si>
  <si>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</si>
  <si>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</si>
  <si>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</si>
  <si>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</si>
  <si>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</si>
  <si>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</si>
  <si>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</si>
  <si>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</si>
  <si>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</si>
  <si>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</si>
  <si>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</si>
  <si>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</si>
  <si>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</si>
  <si>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</si>
  <si>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</si>
  <si>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</si>
  <si>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</si>
  <si>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</si>
  <si>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</si>
  <si>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</si>
  <si>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</si>
  <si>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</si>
  <si>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</si>
  <si>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</si>
  <si>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</si>
  <si>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</si>
  <si>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</si>
  <si>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</si>
  <si>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</si>
  <si>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</si>
  <si>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</si>
  <si>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</si>
  <si>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</si>
  <si>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</si>
  <si>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</si>
  <si>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</si>
  <si>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</si>
  <si>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</si>
  <si>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</si>
  <si>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</si>
  <si>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</si>
  <si>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</si>
  <si>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</si>
  <si>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</si>
  <si>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</si>
  <si>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</si>
  <si>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</si>
  <si>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</si>
  <si>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</si>
  <si>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</si>
  <si>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</si>
  <si>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</si>
  <si>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</si>
  <si>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</si>
  <si>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</si>
  <si>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</si>
  <si>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</si>
  <si>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</si>
  <si>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</si>
  <si>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</si>
  <si>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</si>
  <si>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</si>
  <si>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</si>
  <si>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</si>
  <si>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</si>
  <si>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</si>
  <si>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</si>
  <si>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</si>
  <si>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</si>
  <si>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</si>
  <si>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</si>
  <si>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</si>
  <si>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</si>
  <si>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</si>
  <si>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</si>
  <si>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</si>
  <si>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</si>
  <si>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</si>
  <si>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</si>
  <si>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</si>
  <si>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</si>
  <si>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</si>
  <si>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</si>
  <si>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</si>
  <si>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</si>
  <si>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</si>
  <si>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</si>
  <si>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</si>
  <si>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</si>
  <si>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</si>
  <si>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</si>
  <si>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</si>
  <si>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</si>
  <si>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</si>
  <si>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</si>
  <si>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</si>
  <si>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</si>
  <si>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</si>
  <si>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</si>
  <si>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</si>
  <si>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</si>
  <si>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</si>
  <si>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</si>
  <si>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</si>
  <si>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</si>
  <si>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</si>
  <si>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</si>
  <si>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</si>
  <si>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</si>
  <si>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</si>
  <si>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</si>
  <si>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</si>
  <si>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</si>
  <si>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</si>
  <si>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</si>
  <si>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</si>
  <si>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</si>
  <si>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</si>
  <si>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</si>
  <si>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</si>
  <si>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</si>
  <si>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</si>
  <si>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</si>
  <si>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</si>
  <si>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</si>
  <si>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</si>
  <si>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</si>
  <si>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</si>
  <si>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</si>
  <si>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</si>
  <si>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</si>
  <si>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</si>
  <si>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</si>
  <si>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</si>
  <si>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</si>
  <si>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</si>
  <si>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</si>
  <si>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</si>
  <si>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</si>
  <si>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</si>
  <si>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</si>
  <si>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</si>
  <si>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</si>
  <si>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</si>
  <si>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</si>
  <si>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</si>
  <si>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</si>
  <si>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</si>
  <si>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</si>
  <si>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</si>
  <si>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</si>
  <si>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</si>
  <si>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</si>
  <si>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</si>
  <si>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</si>
  <si>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</si>
  <si>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</si>
  <si>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</si>
  <si>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</si>
  <si>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</si>
  <si>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</si>
  <si>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</si>
  <si>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</si>
  <si>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</si>
  <si>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</si>
  <si>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</si>
  <si>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</si>
  <si>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</si>
  <si>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</si>
  <si>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</si>
  <si>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</si>
  <si>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</si>
  <si>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</si>
  <si>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</si>
  <si>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</si>
  <si>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</si>
  <si>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</si>
  <si>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</si>
  <si>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</si>
  <si>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</si>
  <si>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</si>
  <si>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</si>
  <si>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</si>
  <si>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</si>
  <si>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</si>
  <si>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</si>
  <si>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</si>
  <si>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</si>
  <si>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</si>
  <si>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</si>
  <si>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</si>
  <si>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</si>
  <si>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</si>
  <si>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</si>
  <si>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</si>
  <si>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</si>
  <si>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</si>
  <si>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</si>
  <si>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</si>
  <si>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</si>
  <si>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</si>
  <si>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</si>
  <si>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</si>
  <si>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</si>
  <si>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</si>
  <si>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</si>
  <si>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</si>
  <si>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</si>
  <si>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</si>
  <si>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</si>
  <si>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</si>
  <si>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</si>
  <si>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</si>
  <si>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</si>
  <si>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</si>
  <si>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</si>
  <si>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</si>
  <si>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</si>
  <si>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</si>
  <si>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</si>
  <si>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</si>
  <si>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</si>
  <si>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</si>
  <si>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</si>
  <si>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</si>
  <si>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</si>
  <si>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</si>
  <si>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</si>
  <si>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</si>
  <si>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</si>
  <si>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</si>
  <si>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</si>
  <si>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</si>
  <si>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</si>
  <si>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</si>
  <si>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</si>
  <si>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</si>
  <si>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</si>
  <si>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</si>
  <si>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</si>
  <si>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</si>
  <si>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</si>
  <si>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</si>
  <si>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</si>
  <si>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</si>
  <si>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</si>
  <si>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</si>
  <si>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</si>
  <si>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</si>
  <si>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</si>
  <si>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</si>
  <si>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</si>
  <si>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</si>
  <si>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</si>
  <si>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</si>
  <si>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</si>
  <si>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</si>
  <si>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</si>
  <si>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</si>
  <si>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</si>
  <si>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</si>
  <si>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</si>
  <si>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</si>
  <si>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</si>
  <si>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</si>
  <si>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</si>
  <si>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</si>
  <si>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</si>
  <si>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</si>
  <si>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</si>
  <si>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</si>
  <si>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</si>
  <si>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</si>
  <si>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</si>
  <si>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</si>
  <si>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</si>
  <si>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</si>
  <si>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</si>
  <si>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</si>
  <si>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</si>
  <si>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</si>
  <si>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</si>
  <si>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</si>
  <si>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</si>
  <si>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</si>
  <si>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</si>
  <si>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</si>
  <si>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</si>
  <si>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</si>
  <si>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</si>
  <si>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</si>
  <si>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</si>
  <si>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</si>
  <si>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</si>
  <si>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</si>
  <si>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</si>
  <si>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</si>
  <si>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</si>
  <si>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</si>
  <si>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</si>
  <si>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</si>
  <si>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</si>
  <si>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</si>
  <si>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</si>
  <si>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</si>
  <si>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</si>
  <si>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</si>
  <si>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</si>
  <si>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</si>
  <si>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</si>
  <si>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</si>
  <si>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</si>
  <si>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</si>
  <si>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</si>
  <si>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</si>
  <si>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</si>
  <si>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</si>
  <si>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</si>
  <si>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</si>
  <si>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</si>
  <si>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</si>
  <si>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</si>
  <si>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</si>
  <si>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</si>
  <si>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</si>
  <si>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</si>
  <si>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</si>
  <si>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</si>
  <si>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</si>
  <si>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</si>
  <si>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</si>
  <si>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</si>
  <si>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</si>
  <si>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</si>
  <si>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</si>
  <si>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</si>
  <si>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</si>
  <si>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</si>
  <si>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</si>
  <si>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</si>
  <si>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</si>
  <si>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</si>
  <si>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</si>
  <si>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</si>
  <si>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</si>
  <si>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</si>
  <si>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</si>
  <si>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</si>
  <si>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</si>
  <si>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</si>
  <si>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</si>
  <si>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</si>
  <si>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</si>
  <si>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</si>
  <si>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</si>
  <si>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</si>
  <si>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</si>
  <si>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</si>
  <si>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</si>
  <si>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</si>
  <si>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</si>
  <si>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</si>
  <si>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</si>
  <si>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</si>
  <si>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</si>
  <si>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</si>
  <si>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</si>
  <si>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</si>
  <si>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</si>
  <si>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</si>
  <si>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</si>
  <si>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</si>
  <si>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</si>
  <si>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</si>
  <si>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</si>
  <si>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</si>
  <si>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</si>
  <si>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</si>
  <si>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</si>
  <si>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</si>
  <si>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</si>
  <si>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</si>
  <si>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</si>
  <si>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</si>
  <si>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</si>
  <si>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</si>
  <si>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</si>
  <si>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</si>
  <si>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</si>
  <si>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</si>
  <si>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</si>
  <si>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</si>
  <si>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</si>
  <si>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</si>
  <si>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</si>
  <si>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</si>
  <si>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</si>
  <si>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</si>
  <si>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</si>
  <si>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</si>
  <si>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</si>
  <si>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</si>
  <si>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</si>
  <si>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</si>
  <si>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</si>
  <si>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</si>
  <si>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</si>
  <si>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</si>
  <si>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</si>
  <si>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</si>
  <si>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</si>
  <si>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</si>
  <si>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</si>
  <si>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</si>
  <si>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</si>
  <si>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</si>
  <si>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</si>
  <si>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</si>
  <si>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</si>
  <si>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</si>
  <si>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</si>
  <si>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</si>
  <si>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</si>
  <si>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</si>
  <si>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</si>
  <si>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</si>
  <si>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</si>
  <si>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</si>
  <si>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</si>
  <si>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</si>
  <si>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</si>
  <si>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</si>
  <si>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</si>
  <si>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</si>
  <si>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</si>
  <si>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</si>
  <si>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</si>
  <si>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</si>
  <si>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</si>
  <si>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</si>
  <si>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</si>
  <si>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</si>
  <si>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</si>
  <si>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</si>
  <si>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</si>
  <si>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</si>
  <si>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</si>
  <si>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</si>
  <si>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</si>
  <si>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</si>
  <si>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</si>
  <si>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</si>
  <si>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</si>
  <si>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</si>
  <si>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</si>
  <si>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</si>
  <si>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</si>
  <si>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</si>
  <si>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</si>
  <si>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</si>
  <si>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</si>
  <si>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</si>
  <si>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</si>
  <si>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</si>
  <si>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</si>
  <si>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</si>
  <si>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</si>
  <si>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</si>
  <si>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</si>
  <si>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</si>
  <si>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</si>
  <si>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</si>
  <si>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</si>
  <si>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</si>
  <si>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</si>
  <si>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</si>
  <si>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</si>
  <si>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</si>
  <si>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</si>
  <si>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</si>
  <si>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</si>
  <si>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</si>
  <si>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</si>
  <si>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</si>
  <si>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</si>
  <si>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</si>
  <si>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</si>
  <si>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</si>
  <si>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</si>
  <si>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</si>
  <si>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</si>
  <si>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</si>
  <si>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</si>
  <si>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</si>
  <si>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</si>
  <si>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</si>
  <si>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</si>
  <si>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</si>
  <si>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</si>
  <si>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</si>
  <si>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</si>
  <si>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</si>
  <si>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</si>
  <si>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</si>
  <si>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</si>
  <si>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</si>
  <si>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</si>
  <si>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</si>
  <si>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</si>
  <si>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</si>
  <si>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</si>
  <si>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</si>
  <si>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</si>
  <si>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</si>
  <si>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</si>
  <si>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</si>
  <si>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</si>
  <si>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</si>
  <si>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</si>
  <si>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</si>
  <si>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</si>
  <si>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</si>
  <si>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</si>
  <si>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</si>
  <si>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</si>
  <si>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</si>
  <si>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</si>
  <si>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</si>
  <si>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</si>
  <si>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</si>
  <si>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</si>
  <si>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</si>
  <si>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</si>
  <si>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</si>
  <si>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</si>
  <si>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</si>
  <si>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</si>
  <si>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</si>
  <si>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</si>
  <si>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</si>
  <si>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</si>
  <si>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</si>
  <si>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</si>
  <si>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</si>
  <si>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</si>
  <si>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</si>
  <si>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</si>
  <si>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</si>
  <si>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</si>
  <si>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</si>
  <si>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</si>
  <si>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</si>
  <si>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</si>
  <si>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</si>
  <si>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</si>
  <si>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</si>
  <si>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</si>
  <si>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</si>
  <si>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</si>
  <si>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</si>
  <si>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</si>
  <si>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</si>
  <si>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</si>
  <si>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</si>
  <si>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</si>
  <si>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</si>
  <si>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</si>
  <si>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</si>
  <si>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</si>
  <si>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</si>
  <si>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</si>
  <si>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</si>
  <si>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</si>
  <si>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</si>
  <si>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</si>
  <si>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</si>
  <si>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</si>
  <si>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</si>
  <si>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</si>
  <si>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</si>
  <si>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</si>
  <si>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</si>
  <si>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</si>
  <si>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</si>
  <si>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</si>
  <si>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</si>
  <si>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</si>
  <si>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</si>
  <si>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</si>
  <si>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</si>
  <si>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</si>
  <si>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</si>
  <si>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</si>
  <si>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</si>
  <si>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</si>
  <si>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</si>
  <si>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</si>
  <si>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</si>
  <si>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</si>
  <si>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</si>
  <si>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</si>
  <si>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</si>
  <si>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</si>
  <si>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</si>
  <si>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</si>
  <si>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</si>
  <si>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</si>
  <si>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</si>
  <si>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</si>
  <si>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</si>
  <si>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</si>
  <si>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</si>
  <si>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</si>
  <si>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</si>
  <si>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</si>
  <si>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</si>
  <si>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</si>
  <si>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</si>
  <si>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</si>
  <si>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</si>
  <si>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</si>
  <si>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</si>
  <si>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</si>
  <si>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</si>
  <si>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</si>
  <si>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</si>
  <si>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</si>
  <si>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</si>
  <si>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</si>
  <si>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</si>
  <si>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</si>
  <si>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</si>
  <si>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</si>
  <si>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</si>
  <si>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</si>
  <si>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</si>
  <si>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</si>
  <si>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</si>
  <si>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</si>
  <si>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</si>
  <si>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</si>
  <si>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</si>
  <si>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</si>
  <si>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</si>
  <si>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</si>
  <si>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</si>
  <si>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</si>
  <si>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</si>
  <si>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</si>
  <si>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</si>
  <si>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</si>
  <si>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</si>
  <si>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</si>
  <si>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</si>
  <si>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</si>
  <si>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</si>
  <si>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</si>
  <si>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</si>
  <si>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</si>
  <si>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</si>
  <si>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</si>
  <si>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</si>
  <si>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</si>
  <si>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</si>
  <si>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</si>
  <si>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</si>
  <si>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</si>
  <si>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</si>
  <si>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</si>
  <si>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</si>
  <si>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</si>
  <si>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</si>
  <si>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</si>
  <si>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</si>
  <si>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</si>
  <si>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</si>
  <si>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</si>
  <si>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</si>
  <si>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</si>
  <si>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</si>
  <si>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</si>
  <si>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</si>
  <si>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</si>
  <si>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</si>
  <si>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</si>
  <si>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</si>
  <si>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</si>
  <si>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</si>
  <si>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</si>
  <si>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</si>
  <si>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</si>
  <si>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</si>
  <si>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</si>
  <si>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</si>
  <si>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</si>
  <si>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</si>
  <si>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</si>
  <si>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</si>
  <si>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</si>
  <si>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</si>
  <si>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</si>
  <si>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</si>
  <si>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</si>
  <si>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</si>
  <si>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</si>
  <si>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</si>
  <si>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</si>
  <si>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</si>
  <si>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</si>
  <si>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</si>
  <si>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</si>
  <si>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</si>
  <si>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</si>
  <si>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</si>
  <si>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</si>
  <si>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</si>
  <si>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</si>
  <si>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</si>
  <si>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</si>
  <si>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</si>
  <si>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</si>
  <si>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</si>
  <si>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</si>
  <si>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</si>
  <si>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</si>
  <si>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</si>
  <si>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</si>
  <si>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</si>
  <si>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</si>
  <si>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</si>
  <si>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</si>
  <si>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</si>
  <si>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</si>
  <si>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</si>
  <si>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</si>
  <si>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</si>
  <si>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</si>
  <si>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</si>
  <si>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</si>
  <si>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</si>
  <si>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</si>
  <si>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</si>
  <si>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</si>
  <si>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</si>
  <si>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</si>
  <si>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</si>
  <si>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</si>
  <si>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</si>
  <si>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</si>
  <si>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</si>
  <si>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</si>
  <si>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</si>
  <si>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</si>
  <si>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</si>
  <si>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</si>
  <si>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</si>
  <si>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</si>
  <si>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</si>
  <si>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</si>
  <si>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</si>
  <si>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</si>
  <si>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</si>
  <si>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</si>
  <si>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</si>
  <si>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</si>
  <si>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</si>
  <si>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</si>
  <si>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</si>
  <si>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</si>
  <si>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</si>
  <si>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</si>
  <si>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</si>
  <si>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</si>
  <si>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</si>
  <si>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</si>
  <si>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</si>
  <si>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</si>
  <si>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</si>
  <si>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</si>
  <si>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</si>
  <si>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</si>
  <si>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</si>
  <si>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</si>
  <si>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</si>
  <si>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</si>
  <si>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</si>
  <si>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</si>
  <si>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</si>
  <si>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</si>
  <si>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</si>
  <si>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</si>
  <si>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</si>
  <si>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</si>
  <si>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</si>
  <si>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</si>
  <si>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</si>
  <si>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</si>
  <si>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</si>
  <si>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</si>
  <si>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</si>
  <si>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</si>
  <si>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</si>
  <si>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</si>
  <si>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</si>
  <si>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</si>
  <si>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</si>
  <si>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</si>
  <si>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</si>
  <si>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</si>
  <si>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</si>
  <si>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</si>
  <si>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</si>
  <si>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</si>
  <si>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</si>
  <si>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</si>
  <si>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</si>
  <si>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</si>
  <si>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</si>
  <si>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</si>
  <si>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</si>
  <si>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</si>
  <si>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</si>
  <si>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</si>
  <si>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</si>
  <si>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</si>
  <si>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</si>
  <si>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</si>
  <si>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</si>
  <si>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</si>
  <si>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</si>
  <si>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</si>
  <si>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</si>
  <si>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</si>
  <si>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</si>
  <si>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</si>
  <si>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</si>
  <si>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</si>
  <si>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</si>
  <si>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</si>
  <si>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</si>
  <si>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</si>
  <si>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</si>
  <si>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</si>
  <si>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</si>
  <si>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</si>
  <si>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</si>
  <si>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</si>
  <si>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</si>
  <si>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</si>
  <si>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</si>
  <si>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</si>
  <si>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</si>
  <si>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</si>
  <si>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</si>
  <si>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</si>
  <si>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</si>
  <si>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</si>
  <si>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</si>
  <si>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</si>
  <si>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</si>
  <si>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</si>
  <si>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</si>
  <si>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</si>
  <si>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</si>
  <si>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</si>
  <si>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</si>
  <si>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</si>
  <si>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</si>
  <si>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</si>
  <si>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</si>
  <si>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</si>
  <si>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</si>
  <si>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</si>
  <si>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</si>
  <si>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</si>
  <si>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</si>
  <si>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</si>
  <si>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</si>
  <si>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</si>
  <si>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</si>
  <si>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</si>
  <si>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</si>
  <si>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</si>
  <si>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</si>
  <si>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</si>
  <si>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</si>
  <si>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</si>
  <si>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</si>
  <si>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</si>
  <si>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</si>
  <si>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</si>
  <si>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</si>
  <si>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</si>
  <si>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</si>
  <si>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</si>
  <si>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</si>
  <si>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</si>
  <si>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</si>
  <si>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</si>
  <si>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</si>
  <si>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</si>
  <si>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</si>
  <si>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</si>
  <si>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</si>
  <si>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</si>
  <si>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</si>
  <si>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</si>
  <si>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</si>
  <si>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</si>
  <si>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</si>
  <si>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</si>
  <si>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</si>
  <si>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</si>
  <si>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</si>
  <si>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</si>
  <si>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</si>
  <si>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</si>
  <si>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</si>
  <si>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</si>
  <si>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</si>
  <si>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</si>
  <si>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</si>
  <si>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</si>
  <si>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</si>
  <si>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</si>
  <si>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</si>
  <si>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</si>
  <si>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</si>
  <si>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</si>
  <si>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</si>
  <si>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</si>
  <si>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</si>
  <si>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</si>
  <si>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</si>
  <si>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</si>
  <si>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</si>
  <si>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</si>
  <si>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</si>
  <si>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</si>
  <si>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</si>
  <si>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</si>
  <si>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</si>
  <si>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</si>
  <si>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</si>
  <si>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</si>
  <si>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</si>
  <si>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</si>
  <si>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</si>
  <si>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</si>
  <si>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</si>
  <si>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</si>
  <si>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</si>
  <si>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</si>
  <si>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</si>
  <si>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</si>
  <si>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</si>
  <si>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</si>
  <si>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</si>
  <si>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</si>
  <si>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</si>
  <si>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</si>
  <si>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</si>
  <si>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</si>
  <si>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</si>
  <si>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</si>
  <si>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</si>
  <si>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</si>
  <si>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</si>
  <si>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</si>
  <si>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</si>
  <si>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</si>
  <si>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</si>
  <si>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</si>
  <si>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</si>
  <si>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</si>
  <si>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</si>
  <si>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</si>
  <si>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</si>
  <si>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</si>
  <si>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</si>
  <si>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</si>
  <si>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</si>
  <si>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</si>
  <si>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</si>
  <si>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</si>
  <si>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</si>
  <si>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</si>
  <si>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</si>
  <si>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</si>
  <si>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</si>
  <si>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</si>
  <si>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</si>
  <si>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</si>
  <si>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</si>
  <si>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</si>
  <si>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</si>
  <si>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</si>
  <si>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</si>
  <si>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</si>
  <si>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</si>
  <si>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</si>
  <si>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</si>
  <si>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</si>
  <si>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</si>
  <si>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</si>
  <si>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</si>
  <si>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</si>
  <si>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</si>
  <si>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</si>
  <si>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</si>
  <si>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</si>
  <si>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</si>
  <si>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</si>
  <si>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</si>
  <si>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</si>
  <si>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</si>
  <si>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</si>
  <si>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</si>
  <si>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</si>
  <si>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</si>
  <si>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</si>
  <si>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</si>
  <si>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</si>
  <si>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</si>
  <si>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</si>
  <si>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</si>
  <si>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</si>
  <si>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</si>
  <si>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</si>
  <si>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</si>
  <si>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</si>
  <si>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</si>
  <si>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</si>
  <si>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</si>
  <si>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</si>
  <si>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</si>
  <si>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</si>
  <si>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</si>
  <si>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</si>
  <si>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</si>
  <si>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</si>
  <si>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</si>
  <si>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</si>
  <si>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</si>
  <si>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</si>
  <si>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</si>
  <si>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</si>
  <si>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</si>
  <si>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</si>
  <si>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</si>
  <si>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</si>
  <si>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</si>
  <si>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</si>
  <si>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</si>
  <si>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</si>
  <si>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</si>
  <si>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</si>
  <si>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</si>
  <si>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</si>
  <si>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</si>
  <si>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</si>
  <si>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</si>
  <si>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</si>
  <si>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</si>
  <si>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</si>
  <si>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</si>
  <si>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</si>
  <si>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</si>
  <si>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</si>
  <si>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</si>
  <si>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</si>
  <si>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</si>
  <si>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</si>
  <si>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</si>
  <si>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</si>
  <si>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</si>
  <si>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</si>
  <si>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</si>
  <si>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</si>
  <si>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</si>
  <si>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</si>
  <si>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</si>
  <si>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</si>
  <si>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</si>
  <si>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</si>
  <si>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</si>
  <si>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</si>
  <si>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</si>
  <si>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</si>
  <si>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</si>
  <si>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</si>
  <si>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</si>
  <si>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</si>
  <si>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</si>
  <si>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</si>
  <si>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</si>
  <si>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</si>
  <si>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</si>
  <si>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</si>
  <si>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</si>
  <si>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</si>
  <si>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</si>
  <si>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</si>
  <si>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</si>
  <si>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</si>
  <si>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</si>
  <si>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</si>
  <si>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</si>
  <si>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</si>
  <si>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</si>
  <si>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</si>
  <si>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</si>
  <si>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</si>
  <si>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</si>
  <si>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</si>
  <si>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</si>
  <si>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</si>
  <si>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</si>
  <si>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</si>
  <si>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</si>
  <si>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</si>
  <si>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</si>
  <si>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</si>
  <si>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</si>
  <si>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</si>
  <si>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</si>
  <si>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</si>
  <si>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</si>
  <si>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</si>
  <si>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</si>
  <si>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</si>
  <si>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</si>
  <si>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</si>
  <si>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</si>
  <si>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</si>
  <si>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</si>
  <si>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</si>
  <si>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</si>
  <si>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</si>
  <si>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</si>
  <si>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</si>
  <si>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</si>
  <si>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</si>
  <si>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</si>
  <si>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</si>
  <si>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</si>
  <si>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</si>
  <si>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</si>
  <si>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</si>
  <si>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</si>
  <si>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</si>
  <si>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</si>
  <si>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</si>
  <si>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</si>
  <si>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</si>
  <si>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</si>
  <si>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</si>
  <si>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</si>
  <si>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</si>
  <si>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</si>
  <si>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</si>
  <si>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</si>
  <si>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</si>
  <si>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</si>
  <si>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</si>
  <si>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</si>
  <si>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</si>
  <si>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</si>
  <si>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</si>
  <si>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</si>
  <si>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</si>
  <si>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</si>
  <si>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</si>
  <si>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</si>
  <si>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</si>
  <si>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</si>
  <si>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</si>
  <si>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</si>
  <si>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</si>
  <si>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</si>
  <si>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</si>
  <si>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</si>
  <si>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</si>
  <si>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</si>
  <si>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</si>
  <si>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</si>
  <si>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</si>
  <si>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</si>
  <si>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</si>
  <si>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</si>
  <si>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</si>
  <si>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</si>
  <si>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</si>
  <si>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</si>
  <si>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</si>
  <si>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</si>
  <si>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</si>
  <si>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</si>
  <si>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</si>
  <si>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</si>
  <si>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</si>
  <si>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</si>
  <si>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</si>
  <si>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</si>
  <si>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</si>
  <si>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</si>
  <si>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</si>
  <si>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</si>
  <si>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</si>
  <si>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</si>
  <si>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</si>
  <si>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</si>
  <si>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</si>
  <si>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</si>
  <si>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</si>
  <si>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</si>
  <si>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</si>
  <si>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</si>
  <si>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</si>
  <si>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</si>
  <si>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</si>
  <si>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</si>
  <si>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</si>
  <si>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</si>
  <si>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</si>
  <si>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</si>
  <si>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</si>
  <si>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</si>
  <si>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</si>
  <si>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</si>
  <si>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</si>
  <si>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</si>
  <si>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</si>
  <si>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</si>
  <si>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</si>
  <si>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</si>
  <si>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</si>
  <si>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</si>
  <si>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</si>
  <si>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</si>
  <si>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</si>
  <si>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</si>
  <si>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</si>
  <si>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</si>
  <si>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</si>
  <si>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</si>
  <si>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</si>
  <si>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</si>
  <si>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</si>
  <si>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</si>
  <si>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</si>
  <si>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</si>
  <si>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</si>
  <si>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</si>
  <si>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</si>
  <si>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</si>
  <si>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</si>
  <si>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</si>
  <si>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</si>
  <si>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</si>
  <si>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</si>
  <si>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</si>
  <si>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</si>
  <si>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</si>
  <si>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</si>
  <si>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</si>
  <si>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</si>
  <si>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</si>
  <si>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</si>
  <si>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</si>
  <si>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</si>
  <si>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</si>
  <si>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</si>
  <si>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</si>
  <si>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</si>
  <si>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</si>
  <si>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</si>
  <si>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</si>
  <si>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</si>
  <si>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</si>
  <si>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</si>
  <si>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</si>
  <si>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</si>
  <si>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</si>
  <si>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</si>
  <si>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</si>
  <si>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</si>
  <si>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</si>
  <si>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</si>
  <si>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</si>
  <si>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</si>
  <si>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</si>
  <si>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</si>
  <si>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</si>
  <si>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</si>
  <si>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</si>
  <si>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</si>
  <si>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</si>
  <si>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</si>
  <si>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</si>
  <si>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</si>
  <si>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</si>
  <si>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</si>
  <si>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</si>
  <si>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</si>
  <si>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</si>
  <si>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</si>
  <si>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</si>
  <si>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</si>
  <si>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</si>
  <si>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</si>
  <si>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</si>
  <si>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</si>
  <si>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</si>
  <si>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</si>
  <si>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</si>
  <si>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</si>
  <si>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</si>
  <si>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</si>
  <si>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</si>
  <si>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</si>
  <si>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</si>
  <si>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</si>
  <si>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</si>
  <si>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</si>
  <si>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</si>
  <si>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</si>
  <si>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</si>
  <si>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</si>
  <si>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</si>
  <si>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</si>
  <si>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</si>
  <si>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</si>
  <si>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</si>
  <si>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</si>
  <si>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</si>
  <si>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</si>
  <si>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</si>
  <si>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</si>
  <si>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</si>
  <si>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</si>
  <si>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</si>
  <si>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</si>
  <si>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</si>
  <si>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</si>
  <si>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</si>
  <si>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</si>
  <si>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</si>
  <si>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</si>
  <si>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</si>
  <si>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</si>
  <si>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</si>
  <si>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</si>
  <si>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</si>
  <si>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</si>
  <si>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</si>
  <si>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</si>
  <si>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</si>
  <si>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</si>
  <si>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</si>
  <si>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</si>
  <si>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</si>
  <si>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</si>
  <si>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</si>
  <si>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</si>
  <si>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</si>
  <si>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</si>
  <si>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</si>
  <si>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</si>
  <si>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</si>
  <si>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</si>
  <si>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</si>
  <si>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</si>
  <si>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</si>
  <si>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</si>
  <si>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</si>
  <si>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</si>
  <si>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</si>
  <si>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</si>
  <si>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</si>
  <si>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</si>
  <si>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</si>
  <si>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</si>
  <si>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</si>
  <si>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</si>
  <si>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</si>
  <si>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</si>
  <si>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</si>
  <si>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</si>
  <si>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</si>
  <si>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</si>
  <si>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</si>
  <si>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</si>
  <si>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</si>
  <si>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</si>
  <si>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</si>
  <si>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</si>
  <si>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</si>
  <si>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</si>
  <si>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</si>
  <si>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</si>
  <si>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</si>
  <si>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</si>
  <si>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</si>
  <si>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</si>
  <si>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</si>
  <si>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</si>
  <si>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</si>
  <si>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</si>
  <si>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</si>
  <si>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</si>
  <si>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</si>
  <si>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</si>
  <si>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</si>
  <si>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</si>
  <si>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</si>
  <si>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</si>
  <si>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</si>
  <si>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</si>
  <si>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</si>
  <si>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</si>
  <si>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</si>
  <si>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</si>
  <si>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</si>
  <si>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</si>
  <si>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</si>
  <si>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</si>
  <si>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</si>
  <si>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</si>
  <si>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</si>
  <si>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</si>
  <si>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</si>
  <si>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</si>
  <si>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</si>
  <si>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</si>
  <si>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</si>
  <si>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</si>
  <si>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</si>
  <si>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</si>
  <si>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</si>
  <si>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</si>
  <si>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</si>
  <si>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</si>
  <si>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</si>
  <si>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</si>
  <si>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</si>
  <si>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</si>
  <si>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</si>
  <si>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</si>
  <si>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</si>
  <si>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</si>
  <si>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</si>
  <si>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</si>
  <si>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</si>
  <si>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</si>
  <si>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</si>
  <si>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</si>
  <si>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</si>
  <si>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</si>
  <si>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</si>
  <si>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</si>
  <si>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</si>
  <si>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</si>
  <si>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</si>
  <si>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</si>
  <si>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</si>
  <si>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</si>
  <si>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</si>
  <si>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</si>
  <si>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</si>
  <si>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</si>
  <si>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</si>
  <si>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</si>
  <si>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</si>
  <si>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</si>
  <si>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</si>
  <si>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</si>
  <si>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</si>
  <si>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</si>
  <si>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</si>
  <si>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</si>
  <si>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</si>
  <si>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</si>
  <si>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</si>
  <si>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</si>
  <si>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</si>
  <si>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</si>
  <si>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</si>
  <si>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</si>
  <si>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</si>
  <si>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</si>
  <si>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</si>
  <si>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</si>
  <si>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</si>
  <si>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</si>
  <si>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</si>
  <si>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</si>
  <si>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</si>
  <si>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</si>
  <si>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</si>
  <si>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</si>
  <si>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</si>
  <si>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</si>
  <si>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</si>
  <si>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</si>
  <si>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</si>
  <si>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</si>
  <si>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</si>
  <si>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</si>
  <si>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</si>
  <si>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</si>
  <si>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</si>
  <si>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</si>
  <si>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</si>
  <si>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</si>
  <si>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</si>
  <si>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</si>
  <si>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</si>
  <si>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</si>
  <si>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</si>
  <si>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</si>
  <si>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</si>
  <si>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</si>
  <si>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</si>
  <si>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</si>
  <si>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</si>
  <si>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</si>
  <si>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</si>
  <si>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</si>
  <si>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</si>
  <si>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</si>
  <si>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</si>
  <si>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</si>
  <si>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</si>
  <si>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</si>
  <si>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</si>
  <si>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</si>
  <si>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</si>
  <si>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</si>
  <si>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</si>
  <si>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</si>
  <si>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</si>
  <si>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</si>
  <si>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</si>
  <si>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</si>
  <si>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</si>
  <si>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</si>
  <si>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</si>
  <si>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</si>
  <si>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</si>
  <si>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</si>
  <si>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</si>
  <si>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</si>
  <si>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</si>
  <si>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</si>
  <si>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</si>
  <si>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</si>
  <si>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</si>
  <si>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</si>
  <si>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</si>
  <si>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</si>
  <si>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</si>
  <si>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</si>
  <si>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</si>
  <si>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</si>
  <si>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</si>
  <si>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</si>
  <si>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</si>
  <si>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</si>
  <si>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</si>
  <si>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</si>
  <si>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</si>
  <si>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</si>
  <si>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</si>
  <si>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</si>
  <si>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</si>
  <si>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</si>
  <si>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</si>
  <si>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</si>
  <si>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</si>
  <si>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</si>
  <si>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</si>
  <si>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</si>
  <si>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</si>
  <si>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</si>
  <si>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</si>
  <si>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</si>
  <si>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</si>
  <si>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</si>
  <si>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</si>
  <si>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</si>
  <si>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</si>
  <si>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</si>
  <si>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</si>
  <si>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</si>
  <si>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</si>
  <si>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</si>
  <si>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</si>
  <si>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</si>
  <si>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</si>
  <si>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</si>
  <si>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</si>
  <si>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</si>
  <si>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</si>
  <si>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</si>
  <si>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</si>
  <si>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</si>
  <si>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</si>
  <si>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</si>
  <si>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</si>
  <si>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</si>
  <si>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</si>
  <si>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</si>
  <si>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</si>
  <si>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</si>
  <si>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</si>
  <si>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</si>
  <si>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</si>
  <si>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</si>
  <si>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</si>
  <si>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</si>
  <si>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</si>
  <si>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</si>
  <si>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</si>
  <si>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</si>
  <si>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</si>
  <si>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</si>
  <si>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</si>
  <si>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</si>
  <si>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</si>
  <si>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</si>
  <si>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</si>
  <si>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</si>
  <si>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</si>
  <si>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</si>
  <si>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</si>
  <si>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</si>
  <si>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</si>
  <si>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</si>
  <si>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</si>
  <si>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</si>
  <si>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</si>
  <si>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</si>
  <si>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</si>
  <si>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</si>
  <si>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</si>
  <si>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</si>
  <si>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</si>
  <si>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</si>
  <si>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</si>
  <si>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</si>
  <si>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</si>
  <si>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</si>
  <si>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</si>
  <si>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</si>
  <si>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</si>
  <si>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</si>
  <si>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</si>
  <si>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</si>
  <si>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</si>
  <si>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</si>
  <si>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</si>
  <si>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</si>
  <si>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</si>
  <si>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</si>
  <si>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</si>
  <si>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</si>
  <si>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</si>
  <si>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</si>
  <si>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</si>
  <si>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</si>
  <si>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</si>
  <si>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</si>
  <si>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</si>
  <si>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</si>
  <si>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</si>
  <si>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</si>
  <si>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</si>
  <si>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</si>
  <si>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</si>
  <si>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</si>
  <si>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</si>
  <si>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</si>
  <si>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</si>
  <si>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</si>
  <si>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</si>
  <si>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</si>
  <si>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</si>
  <si>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</si>
  <si>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</si>
  <si>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</si>
  <si>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</si>
  <si>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</si>
  <si>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</si>
  <si>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</si>
  <si>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</si>
  <si>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</si>
  <si>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</si>
  <si>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</si>
  <si>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</si>
  <si>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</si>
  <si>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</si>
  <si>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</si>
  <si>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</si>
  <si>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</si>
  <si>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</si>
  <si>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</si>
  <si>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</si>
  <si>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</si>
  <si>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</si>
  <si>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</si>
  <si>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</si>
  <si>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</si>
  <si>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</si>
  <si>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</si>
  <si>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</si>
  <si>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</si>
  <si>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</si>
  <si>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</si>
  <si>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</si>
  <si>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</si>
  <si>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</si>
  <si>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</si>
  <si>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</si>
  <si>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</si>
  <si>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</si>
  <si>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</si>
  <si>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</si>
  <si>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</si>
  <si>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</si>
  <si>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</si>
  <si>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</si>
  <si>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</si>
  <si>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</si>
  <si>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</si>
  <si>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</si>
  <si>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</si>
  <si>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</si>
  <si>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</si>
  <si>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</si>
  <si>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</si>
  <si>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</si>
  <si>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</si>
  <si>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</si>
  <si>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</si>
  <si>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</si>
  <si>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</si>
  <si>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</si>
  <si>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</si>
  <si>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</si>
  <si>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</si>
  <si>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</si>
  <si>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</si>
  <si>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</si>
  <si>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</si>
  <si>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</si>
  <si>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</si>
  <si>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</si>
  <si>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</si>
  <si>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</si>
  <si>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</si>
  <si>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</si>
  <si>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</si>
  <si>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</si>
  <si>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</si>
  <si>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</si>
  <si>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</si>
  <si>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</si>
  <si>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</si>
  <si>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</si>
  <si>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</si>
  <si>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</si>
  <si>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</si>
  <si>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</si>
  <si>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</si>
  <si>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</si>
  <si>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</si>
  <si>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</si>
  <si>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</si>
  <si>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</si>
  <si>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</si>
  <si>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</si>
  <si>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</si>
  <si>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</si>
  <si>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</si>
  <si>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</si>
  <si>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</si>
  <si>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</si>
  <si>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</si>
  <si>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</si>
  <si>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</si>
  <si>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</si>
  <si>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</si>
  <si>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</si>
  <si>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</si>
  <si>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</si>
  <si>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</si>
  <si>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</si>
  <si>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</si>
  <si>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</si>
  <si>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</si>
  <si>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</si>
  <si>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</si>
  <si>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</si>
  <si>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</si>
  <si>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</si>
  <si>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</si>
  <si>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</si>
  <si>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</si>
  <si>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</si>
  <si>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</si>
  <si>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</si>
  <si>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</si>
  <si>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</si>
  <si>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</si>
  <si>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</si>
  <si>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</si>
  <si>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</si>
  <si>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</si>
  <si>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</si>
  <si>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</si>
  <si>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</si>
  <si>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</si>
  <si>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</si>
  <si>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</si>
  <si>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</si>
  <si>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</si>
  <si>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</si>
  <si>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</si>
  <si>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</si>
  <si>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</si>
  <si>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</si>
  <si>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</si>
  <si>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</si>
  <si>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</si>
  <si>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</si>
  <si>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</si>
  <si>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</si>
  <si>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</si>
  <si>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</si>
  <si>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</si>
  <si>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</si>
  <si>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</si>
  <si>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</si>
  <si>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</si>
  <si>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</si>
  <si>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</si>
  <si>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</si>
  <si>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</si>
  <si>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</si>
  <si>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</si>
  <si>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</si>
  <si>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</si>
  <si>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</si>
  <si>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</si>
  <si>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</si>
  <si>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</si>
  <si>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</si>
  <si>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</si>
  <si>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</si>
  <si>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</si>
  <si>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</si>
  <si>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</si>
  <si>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</si>
  <si>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</si>
  <si>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</si>
  <si>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</si>
  <si>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</si>
  <si>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</si>
  <si>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</si>
  <si>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</si>
  <si>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</si>
  <si>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</si>
  <si>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</si>
  <si>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</si>
  <si>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</si>
  <si>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</si>
  <si>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</si>
  <si>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</si>
  <si>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</si>
  <si>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</si>
  <si>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</si>
  <si>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</si>
  <si>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</si>
  <si>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</si>
  <si>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</si>
  <si>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</si>
  <si>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</si>
  <si>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</si>
  <si>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</si>
  <si>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</si>
  <si>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</si>
  <si>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</si>
  <si>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</si>
  <si>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</si>
  <si>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</si>
  <si>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</si>
  <si>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</si>
  <si>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</si>
  <si>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</si>
  <si>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</si>
  <si>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</si>
  <si>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</si>
  <si>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</si>
  <si>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</si>
  <si>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</si>
  <si>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</si>
  <si>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</si>
  <si>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</si>
  <si>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</si>
  <si>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</si>
  <si>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</si>
  <si>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</si>
  <si>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</si>
  <si>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</si>
  <si>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</si>
  <si>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</si>
  <si>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</si>
  <si>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</si>
  <si>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</si>
  <si>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</si>
  <si>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</si>
  <si>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</si>
  <si>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</si>
  <si>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</si>
  <si>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</si>
  <si>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</si>
  <si>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</si>
  <si>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</si>
  <si>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</si>
  <si>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</si>
  <si>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</si>
  <si>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</si>
  <si>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</si>
  <si>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</si>
  <si>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</si>
  <si>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</si>
  <si>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</si>
  <si>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</si>
  <si>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</si>
  <si>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</si>
  <si>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</si>
  <si>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</si>
  <si>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</si>
  <si>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</si>
  <si>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</si>
  <si>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</si>
  <si>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</si>
  <si>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</si>
  <si>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</si>
  <si>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</si>
  <si>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</si>
  <si>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</si>
  <si>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</si>
  <si>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</si>
  <si>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</si>
  <si>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</si>
  <si>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</si>
  <si>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</si>
  <si>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</si>
  <si>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</si>
  <si>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</si>
  <si>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</si>
  <si>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</si>
  <si>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</si>
  <si>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</si>
  <si>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</si>
  <si>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</si>
  <si>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</si>
  <si>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</si>
  <si>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</si>
  <si>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</si>
  <si>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</si>
  <si>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</si>
  <si>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</si>
  <si>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</si>
  <si>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</si>
  <si>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</si>
  <si>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</si>
  <si>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</si>
  <si>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</si>
  <si>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</si>
  <si>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</si>
  <si>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</si>
  <si>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</si>
  <si>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</si>
  <si>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</si>
  <si>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</si>
  <si>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</si>
  <si>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</si>
  <si>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</si>
  <si>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</si>
  <si>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</si>
  <si>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</si>
  <si>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</si>
  <si>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</si>
  <si>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</si>
  <si>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</si>
  <si>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</si>
  <si>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</si>
  <si>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</si>
  <si>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</si>
  <si>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</si>
  <si>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</si>
  <si>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</si>
  <si>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</si>
  <si>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</si>
  <si>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</si>
  <si>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</si>
  <si>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</si>
  <si>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</si>
  <si>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</si>
  <si>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</si>
  <si>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</si>
  <si>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</si>
  <si>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</si>
  <si>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</si>
  <si>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</si>
  <si>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</si>
  <si>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</si>
  <si>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</si>
  <si>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</si>
  <si>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</si>
  <si>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</si>
  <si>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</si>
  <si>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</si>
  <si>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</si>
  <si>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</si>
  <si>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</si>
  <si>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</si>
  <si>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</si>
  <si>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</si>
  <si>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</si>
  <si>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</si>
  <si>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</si>
  <si>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</si>
  <si>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</si>
  <si>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</si>
  <si>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</si>
  <si>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</si>
  <si>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</si>
  <si>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</si>
  <si>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</si>
  <si>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</si>
  <si>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</si>
  <si>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</si>
  <si>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</si>
  <si>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</si>
  <si>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</si>
  <si>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</si>
  <si>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</si>
  <si>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</si>
  <si>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</si>
  <si>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</si>
  <si>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</si>
  <si>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</si>
  <si>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</si>
  <si>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</si>
  <si>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</si>
  <si>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</si>
  <si>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</si>
  <si>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</si>
  <si>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</si>
  <si>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</si>
  <si>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</si>
  <si>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</si>
  <si>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</si>
  <si>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</si>
  <si>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</si>
  <si>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</si>
  <si>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</si>
  <si>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</si>
  <si>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</si>
  <si>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</si>
  <si>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</si>
  <si>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</si>
  <si>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</si>
  <si>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</si>
  <si>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</si>
  <si>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</si>
  <si>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</si>
  <si>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</si>
  <si>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</si>
  <si>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</si>
  <si>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</si>
  <si>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</si>
  <si>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</si>
  <si>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</si>
  <si>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</si>
  <si>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</si>
  <si>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</si>
  <si>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</si>
  <si>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</si>
  <si>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</si>
  <si>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</si>
  <si>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</si>
  <si>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</si>
  <si>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</si>
  <si>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</si>
  <si>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</si>
  <si>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</si>
  <si>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</si>
  <si>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</si>
  <si>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</si>
  <si>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</si>
  <si>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</si>
  <si>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</si>
  <si>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</si>
  <si>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</si>
  <si>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</si>
  <si>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</si>
  <si>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</si>
  <si>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</si>
  <si>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</si>
  <si>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</si>
  <si>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</si>
  <si>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</si>
  <si>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</si>
  <si>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</si>
  <si>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</si>
  <si>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</si>
  <si>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</si>
  <si>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</si>
  <si>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</si>
  <si>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</si>
  <si>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</si>
  <si>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</si>
  <si>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</si>
  <si>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</si>
  <si>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</si>
  <si>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</si>
  <si>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</si>
  <si>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</si>
  <si>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</si>
  <si>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</si>
  <si>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</si>
  <si>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</si>
  <si>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</si>
  <si>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</si>
  <si>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</si>
  <si>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</si>
  <si>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</si>
  <si>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</si>
  <si>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</si>
  <si>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</si>
  <si>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</si>
  <si>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</si>
  <si>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</si>
  <si>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</si>
  <si>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</si>
  <si>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</si>
  <si>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</si>
  <si>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</si>
  <si>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</si>
  <si>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</si>
  <si>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</si>
  <si>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</si>
  <si>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</si>
  <si>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</si>
  <si>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</si>
  <si>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</si>
  <si>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</si>
  <si>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</si>
  <si>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</si>
  <si>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</si>
  <si>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</si>
  <si>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</si>
  <si>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</si>
  <si>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</si>
  <si>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</si>
  <si>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</si>
  <si>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</si>
  <si>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</si>
  <si>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</si>
  <si>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</si>
  <si>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</si>
  <si>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</si>
  <si>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</si>
  <si>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</si>
  <si>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</si>
  <si>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</si>
  <si>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</si>
  <si>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</si>
  <si>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</si>
  <si>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</si>
  <si>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</si>
  <si>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</si>
  <si>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</si>
  <si>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</si>
  <si>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</si>
  <si>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</si>
  <si>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</si>
  <si>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</si>
  <si>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</si>
  <si>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</si>
  <si>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</si>
  <si>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</si>
  <si>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</si>
  <si>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</si>
  <si>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</si>
  <si>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</si>
  <si>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</si>
  <si>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</si>
  <si>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</si>
  <si>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</si>
  <si>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</si>
  <si>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</si>
  <si>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</si>
  <si>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</si>
  <si>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</si>
  <si>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</si>
  <si>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</si>
  <si>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</si>
  <si>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</si>
  <si>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</si>
  <si>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</si>
  <si>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</si>
  <si>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</si>
  <si>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</si>
  <si>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</si>
  <si>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</si>
  <si>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</si>
  <si>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</si>
  <si>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</si>
  <si>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</si>
  <si>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</si>
  <si>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</si>
  <si>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</si>
  <si>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</si>
  <si>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</si>
  <si>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</si>
  <si>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</si>
  <si>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</si>
  <si>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</si>
  <si>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</si>
  <si>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</si>
  <si>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</si>
  <si>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</si>
  <si>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</si>
  <si>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</si>
  <si>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</si>
  <si>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</si>
  <si>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</si>
  <si>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</si>
  <si>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</si>
  <si>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</si>
  <si>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</si>
  <si>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</si>
  <si>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</si>
  <si>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</si>
  <si>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</si>
  <si>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</si>
  <si>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</si>
  <si>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</si>
  <si>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</si>
  <si>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</si>
  <si>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</si>
  <si>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</si>
  <si>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</si>
  <si>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</si>
  <si>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</si>
  <si>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</si>
  <si>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</si>
  <si>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</si>
  <si>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</si>
  <si>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</si>
  <si>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</si>
  <si>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</si>
  <si>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</si>
  <si>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</si>
  <si>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</si>
  <si>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</si>
  <si>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</si>
  <si>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</si>
  <si>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</si>
  <si>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</si>
  <si>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</si>
  <si>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</si>
  <si>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</si>
  <si>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</si>
  <si>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</si>
  <si>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</si>
  <si>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</si>
  <si>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</si>
  <si>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</si>
  <si>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</si>
  <si>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</si>
  <si>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</si>
  <si>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</si>
  <si>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</si>
  <si>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</si>
  <si>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</si>
  <si>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</si>
  <si>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</si>
  <si>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</si>
  <si>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</si>
  <si>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</si>
  <si>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</si>
  <si>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</si>
  <si>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</si>
  <si>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</si>
  <si>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</si>
  <si>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</si>
  <si>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</si>
  <si>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</si>
  <si>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</si>
  <si>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</si>
  <si>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</si>
  <si>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</si>
  <si>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</si>
  <si>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</si>
  <si>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</si>
  <si>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</si>
  <si>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</si>
  <si>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</si>
  <si>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</si>
  <si>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</si>
  <si>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</si>
  <si>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</si>
  <si>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</si>
  <si>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</si>
  <si>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</si>
  <si>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</si>
  <si>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</si>
  <si>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</si>
  <si>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</si>
  <si>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</si>
  <si>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</si>
  <si>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</si>
  <si>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</si>
  <si>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</si>
  <si>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</si>
  <si>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</si>
  <si>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</si>
  <si>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</si>
  <si>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</si>
  <si>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</si>
  <si>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</si>
  <si>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</si>
  <si>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</si>
  <si>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</si>
  <si>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</si>
  <si>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</si>
  <si>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</si>
  <si>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</si>
  <si>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</si>
  <si>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</si>
  <si>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</si>
  <si>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</si>
  <si>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</si>
  <si>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</si>
  <si>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</si>
  <si>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</si>
  <si>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</si>
  <si>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</si>
  <si>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</si>
  <si>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</si>
  <si>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</si>
  <si>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</si>
  <si>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</si>
  <si>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</si>
  <si>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</si>
  <si>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</si>
  <si>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</si>
  <si>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</si>
  <si>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</si>
  <si>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</si>
  <si>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</si>
  <si>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</si>
  <si>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</si>
  <si>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</si>
  <si>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</si>
  <si>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</si>
  <si>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</si>
  <si>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</si>
  <si>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</si>
  <si>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</si>
  <si>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</si>
  <si>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</si>
  <si>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</si>
  <si>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</si>
  <si>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</si>
  <si>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</si>
  <si>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</si>
  <si>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</si>
  <si>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</si>
  <si>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</si>
  <si>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</si>
  <si>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</si>
  <si>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</si>
  <si>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</si>
  <si>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</si>
  <si>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</si>
  <si>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</si>
  <si>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</si>
  <si>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</si>
  <si>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</si>
  <si>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</si>
  <si>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</si>
  <si>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</si>
  <si>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</si>
  <si>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</si>
  <si>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</si>
  <si>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</si>
  <si>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</si>
  <si>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</si>
  <si>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</si>
  <si>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</si>
  <si>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</si>
  <si>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</si>
  <si>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</si>
  <si>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</si>
  <si>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</si>
  <si>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</si>
  <si>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</si>
  <si>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</si>
  <si>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</si>
  <si>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</si>
  <si>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</si>
  <si>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</si>
  <si>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</si>
  <si>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</si>
  <si>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</si>
  <si>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</si>
  <si>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</si>
  <si>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</si>
  <si>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</si>
  <si>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</si>
  <si>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</si>
  <si>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</si>
  <si>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</si>
  <si>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</si>
  <si>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</si>
  <si>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</si>
  <si>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</si>
  <si>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</si>
  <si>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</si>
  <si>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</si>
  <si>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</si>
  <si>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</si>
  <si>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</si>
  <si>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</si>
  <si>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</si>
  <si>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</si>
  <si>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</si>
  <si>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</si>
  <si>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</si>
  <si>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</si>
  <si>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</si>
  <si>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</si>
  <si>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</si>
  <si>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</si>
  <si>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</si>
  <si>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</si>
  <si>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</si>
  <si>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</si>
  <si>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</si>
  <si>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</si>
  <si>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</si>
  <si>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</si>
  <si>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</si>
  <si>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</si>
  <si>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</si>
  <si>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</si>
  <si>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</si>
  <si>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</si>
  <si>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</si>
  <si>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</si>
  <si>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</si>
  <si>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</si>
  <si>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</si>
  <si>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</si>
  <si>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</si>
  <si>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</si>
  <si>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</si>
  <si>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</si>
  <si>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</si>
  <si>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</si>
  <si>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</si>
  <si>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</si>
  <si>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</si>
  <si>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</si>
  <si>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</si>
  <si>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</si>
  <si>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</si>
  <si>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</si>
  <si>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</si>
  <si>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</si>
  <si>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</si>
  <si>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</si>
  <si>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</si>
  <si>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</si>
  <si>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</si>
  <si>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</si>
  <si>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</si>
  <si>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</si>
  <si>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</si>
  <si>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</si>
  <si>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</si>
  <si>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</si>
  <si>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</si>
  <si>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</si>
  <si>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</si>
  <si>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</si>
  <si>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</si>
  <si>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</si>
  <si>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</si>
  <si>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</si>
  <si>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</si>
  <si>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</si>
  <si>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</si>
  <si>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</si>
  <si>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</si>
  <si>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</si>
  <si>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</si>
  <si>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</si>
  <si>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</si>
  <si>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</si>
  <si>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</si>
  <si>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</si>
  <si>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</si>
  <si>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</si>
  <si>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</si>
  <si>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</si>
  <si>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</si>
  <si>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</si>
  <si>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</si>
  <si>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</si>
  <si>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</si>
  <si>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</si>
  <si>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</si>
  <si>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</si>
  <si>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</si>
  <si>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</si>
  <si>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</si>
  <si>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</si>
  <si>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</si>
  <si>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</si>
  <si>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</si>
  <si>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</si>
  <si>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</si>
  <si>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</si>
  <si>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</si>
  <si>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</si>
  <si>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</si>
  <si>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</si>
  <si>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</si>
  <si>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</si>
  <si>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</si>
  <si>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</si>
  <si>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</si>
  <si>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</si>
  <si>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</si>
  <si>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</si>
  <si>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</si>
  <si>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</si>
  <si>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</si>
  <si>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</si>
  <si>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</si>
  <si>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</si>
  <si>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</si>
  <si>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</si>
  <si>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</si>
  <si>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</si>
  <si>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</si>
  <si>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</si>
  <si>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</si>
  <si>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</si>
  <si>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</si>
  <si>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</si>
  <si>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</si>
  <si>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</si>
  <si>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</si>
  <si>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</si>
  <si>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</si>
  <si>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</si>
  <si>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</si>
  <si>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</si>
  <si>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</si>
  <si>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</si>
  <si>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</si>
  <si>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</si>
  <si>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</si>
  <si>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</si>
  <si>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</si>
  <si>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</si>
  <si>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</si>
  <si>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</si>
  <si>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</si>
  <si>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</si>
  <si>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</si>
  <si>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</si>
  <si>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</si>
  <si>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</si>
  <si>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</si>
  <si>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</si>
  <si>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</si>
  <si>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</si>
  <si>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</si>
  <si>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</si>
  <si>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</si>
  <si>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</si>
  <si>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</si>
  <si>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</si>
  <si>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</si>
  <si>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</si>
  <si>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</si>
  <si>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</si>
  <si>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</si>
  <si>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</si>
  <si>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</si>
  <si>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</si>
  <si>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</si>
  <si>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</si>
  <si>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</si>
  <si>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</si>
  <si>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</si>
  <si>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</si>
  <si>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</si>
  <si>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</si>
  <si>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</si>
  <si>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</si>
  <si>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</si>
  <si>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</si>
  <si>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</si>
  <si>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</si>
  <si>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</si>
  <si>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</si>
  <si>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</si>
  <si>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</si>
  <si>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</si>
  <si>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</si>
  <si>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</si>
  <si>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</si>
  <si>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</si>
  <si>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</si>
  <si>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</si>
  <si>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</si>
  <si>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</si>
  <si>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</si>
  <si>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</si>
  <si>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</si>
  <si>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</si>
  <si>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</si>
  <si>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</si>
  <si>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</si>
  <si>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</si>
  <si>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</si>
  <si>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</si>
  <si>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</si>
  <si>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</si>
  <si>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</si>
  <si>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</si>
  <si>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</si>
  <si>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</si>
  <si>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</si>
  <si>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</si>
  <si>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</si>
  <si>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</si>
  <si>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</si>
  <si>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</si>
  <si>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</si>
  <si>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</si>
  <si>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</si>
  <si>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</si>
  <si>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</si>
  <si>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</si>
  <si>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</si>
  <si>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</si>
  <si>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</si>
  <si>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</si>
  <si>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</si>
  <si>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</si>
  <si>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</si>
  <si>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</si>
  <si>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</si>
  <si>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</si>
  <si>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</si>
  <si>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</si>
  <si>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</si>
  <si>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</si>
  <si>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</si>
  <si>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</si>
  <si>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</si>
  <si>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</si>
  <si>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</si>
  <si>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</si>
  <si>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</si>
  <si>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</si>
  <si>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</si>
  <si>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</si>
  <si>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</si>
  <si>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</si>
  <si>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</si>
  <si>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</si>
  <si>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</si>
  <si>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</si>
  <si>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</si>
  <si>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</si>
  <si>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</si>
  <si>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</si>
  <si>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</si>
  <si>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</si>
  <si>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</si>
  <si>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</si>
  <si>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</si>
  <si>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</si>
  <si>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</si>
  <si>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</si>
  <si>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</si>
  <si>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</si>
  <si>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</si>
  <si>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</si>
  <si>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</si>
  <si>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</si>
  <si>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</si>
  <si>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</si>
  <si>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</si>
  <si>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</si>
  <si>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</si>
  <si>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</si>
  <si>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</si>
  <si>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</si>
  <si>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</si>
  <si>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</si>
  <si>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</si>
  <si>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</si>
  <si>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</si>
  <si>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</si>
  <si>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</si>
  <si>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</si>
  <si>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</si>
  <si>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</si>
  <si>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</si>
  <si>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</si>
  <si>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</si>
  <si>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</si>
  <si>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</si>
  <si>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</si>
  <si>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</si>
  <si>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</si>
  <si>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</si>
  <si>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</si>
  <si>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</si>
  <si>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</si>
  <si>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</si>
  <si>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</si>
  <si>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</si>
  <si>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</si>
  <si>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</si>
  <si>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</si>
  <si>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</si>
  <si>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</si>
  <si>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</si>
  <si>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</si>
  <si>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</si>
  <si>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</si>
  <si>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</si>
  <si>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</si>
  <si>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</si>
  <si>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</si>
  <si>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</si>
  <si>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</si>
  <si>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</si>
  <si>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</si>
  <si>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</si>
  <si>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</si>
  <si>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</si>
  <si>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</si>
  <si>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</si>
  <si>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</si>
  <si>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</si>
  <si>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</si>
  <si>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</si>
  <si>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</si>
  <si>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</si>
  <si>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</si>
  <si>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</si>
  <si>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</si>
  <si>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</si>
  <si>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</si>
  <si>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</si>
  <si>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</si>
  <si>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</si>
  <si>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</si>
  <si>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</si>
  <si>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</si>
  <si>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</si>
  <si>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</si>
  <si>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</si>
  <si>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</si>
  <si>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</si>
  <si>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</si>
  <si>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</si>
  <si>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</si>
  <si>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</si>
  <si>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</si>
  <si>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</si>
  <si>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</si>
  <si>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</si>
  <si>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</si>
  <si>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</si>
  <si>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</si>
  <si>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</si>
  <si>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</si>
  <si>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</si>
  <si>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</si>
  <si>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</si>
  <si>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</si>
  <si>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</si>
  <si>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</si>
  <si>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</si>
  <si>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</si>
  <si>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</si>
  <si>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</si>
  <si>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</si>
  <si>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</si>
  <si>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</si>
  <si>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</si>
  <si>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</si>
  <si>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</si>
  <si>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</si>
  <si>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</si>
  <si>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</si>
  <si>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</si>
  <si>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</si>
  <si>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</si>
  <si>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</si>
  <si>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</si>
  <si>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</si>
  <si>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</si>
  <si>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</si>
  <si>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</si>
  <si>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</si>
  <si>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</si>
  <si>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</si>
  <si>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</si>
  <si>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</si>
  <si>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</si>
  <si>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</si>
  <si>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</si>
  <si>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</si>
  <si>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</si>
  <si>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</si>
  <si>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</si>
  <si>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</si>
  <si>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</si>
  <si>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</si>
  <si>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</si>
  <si>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</si>
  <si>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</si>
  <si>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</si>
  <si>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</si>
  <si>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</si>
  <si>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</si>
  <si>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</si>
  <si>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</si>
  <si>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</si>
  <si>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</si>
  <si>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</si>
  <si>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</si>
  <si>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</si>
  <si>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</si>
  <si>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</si>
  <si>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</si>
  <si>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</si>
  <si>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</si>
  <si>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</si>
  <si>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</si>
  <si>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</si>
  <si>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</si>
  <si>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</si>
  <si>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</si>
  <si>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</si>
  <si>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</si>
  <si>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</si>
  <si>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</si>
  <si>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</si>
  <si>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</si>
  <si>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</si>
  <si>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</si>
  <si>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</si>
  <si>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</si>
  <si>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</si>
  <si>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</si>
  <si>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</si>
  <si>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</si>
  <si>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</si>
  <si>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</si>
  <si>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</si>
  <si>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</si>
  <si>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</si>
  <si>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</si>
  <si>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</si>
  <si>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</si>
  <si>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</si>
  <si>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</si>
  <si>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</si>
  <si>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</si>
  <si>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</si>
  <si>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</si>
  <si>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</si>
  <si>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</si>
  <si>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</si>
  <si>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</si>
  <si>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</si>
  <si>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</si>
  <si>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</si>
  <si>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</si>
  <si>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</si>
  <si>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</si>
  <si>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</si>
  <si>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</si>
  <si>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</si>
  <si>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</si>
  <si>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</si>
  <si>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</si>
  <si>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</si>
  <si>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</si>
  <si>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</si>
  <si>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</si>
  <si>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</si>
  <si>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</si>
  <si>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</si>
  <si>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</si>
  <si>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</si>
  <si>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</si>
  <si>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</si>
  <si>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</si>
  <si>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</si>
  <si>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</si>
  <si>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</si>
  <si>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</si>
  <si>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</si>
  <si>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</si>
  <si>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</si>
  <si>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</si>
  <si>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</si>
  <si>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</si>
  <si>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</si>
  <si>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</si>
  <si>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</si>
  <si>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</si>
  <si>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</si>
  <si>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</si>
  <si>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</si>
  <si>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</si>
  <si>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</si>
  <si>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</si>
  <si>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</si>
  <si>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</si>
  <si>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</si>
  <si>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</si>
  <si>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</si>
  <si>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</si>
  <si>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</si>
  <si>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</si>
  <si>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</si>
  <si>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</si>
  <si>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</si>
  <si>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</si>
  <si>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</si>
  <si>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</si>
  <si>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r>
      <rPr>
        <sz val="10"/>
        <color theme="9" tint="-0.249977111117893"/>
        <rFont val="宋体"/>
        <family val="3"/>
        <charset val="134"/>
      </rPr>
      <t>丰台区西三环南路</t>
    </r>
    <r>
      <rPr>
        <sz val="10"/>
        <color theme="9" tint="-0.249977111117893"/>
        <rFont val="Arial"/>
        <family val="2"/>
      </rPr>
      <t>14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1024</t>
    </r>
    <r>
      <rPr>
        <sz val="10"/>
        <color theme="9" tint="-0.249977111117893"/>
        <rFont val="宋体"/>
        <family val="3"/>
        <charset val="134"/>
      </rPr>
      <t>、</t>
    </r>
    <r>
      <rPr>
        <sz val="10"/>
        <color theme="9" tint="-0.249977111117893"/>
        <rFont val="Arial"/>
        <family val="2"/>
      </rPr>
      <t>1025</t>
    </r>
    <phoneticPr fontId="6" type="noConversion"/>
  </si>
  <si>
    <t>是</t>
  </si>
  <si>
    <t>办公项目</t>
  </si>
  <si>
    <t>现房</t>
  </si>
  <si>
    <t>地上</t>
  </si>
  <si>
    <t>建成年代</t>
    <phoneticPr fontId="6" type="noConversion"/>
  </si>
  <si>
    <t>根据2024-1-0848</t>
    <phoneticPr fontId="6" type="noConversion"/>
  </si>
  <si>
    <r>
      <rPr>
        <sz val="10"/>
        <color indexed="8"/>
        <rFont val="宋体"/>
        <family val="3"/>
        <charset val="134"/>
      </rPr>
      <t>根据</t>
    </r>
    <r>
      <rPr>
        <sz val="10"/>
        <color indexed="8"/>
        <rFont val="Arial"/>
        <family val="2"/>
      </rPr>
      <t>2024-1-0848</t>
    </r>
    <phoneticPr fontId="6" type="noConversion"/>
  </si>
  <si>
    <t>总价</t>
    <phoneticPr fontId="134" type="noConversion"/>
  </si>
  <si>
    <t>元/平方米</t>
    <phoneticPr fontId="134" type="noConversion"/>
  </si>
  <si>
    <t>万元</t>
    <phoneticPr fontId="134" type="noConversion"/>
  </si>
  <si>
    <r>
      <t>2</t>
    </r>
    <r>
      <rPr>
        <sz val="11"/>
        <color theme="1"/>
        <rFont val="宋体"/>
        <family val="3"/>
        <charset val="134"/>
        <scheme val="minor"/>
      </rPr>
      <t>023年正评</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</si>
</sst>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183" fontId="273" fillId="0" borderId="1" xfId="0" applyNumberFormat="1" applyFont="1" applyBorder="1" applyAlignment="1" applyProtection="1">
      <alignment horizontal="center" vertical="center" shrinkToFi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227276</xdr:colOff>
      <xdr:row>21</xdr:row>
      <xdr:rowOff>121425</xdr:rowOff>
    </xdr:to>
    <xdr:pic>
      <xdr:nvPicPr>
        <xdr:cNvPr id="2" name="图片 1">
          <a:extLst>
            <a:ext uri="{FF2B5EF4-FFF2-40B4-BE49-F238E27FC236}">
              <a16:creationId xmlns:a16="http://schemas.microsoft.com/office/drawing/2014/main" id="{27489CB8-3281-B55A-E6B0-231780F95BAB}"/>
            </a:ext>
          </a:extLst>
        </xdr:cNvPr>
        <xdr:cNvPicPr>
          <a:picLocks noChangeAspect="1"/>
        </xdr:cNvPicPr>
      </xdr:nvPicPr>
      <xdr:blipFill>
        <a:blip xmlns:r="http://schemas.openxmlformats.org/officeDocument/2006/relationships" r:embed="rId1"/>
        <a:stretch>
          <a:fillRect/>
        </a:stretch>
      </xdr:blipFill>
      <xdr:spPr>
        <a:xfrm>
          <a:off x="0" y="0"/>
          <a:ext cx="10590476" cy="3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60610</xdr:colOff>
      <xdr:row>26</xdr:row>
      <xdr:rowOff>164950</xdr:rowOff>
    </xdr:to>
    <xdr:pic>
      <xdr:nvPicPr>
        <xdr:cNvPr id="2" name="图片 1">
          <a:extLst>
            <a:ext uri="{FF2B5EF4-FFF2-40B4-BE49-F238E27FC236}">
              <a16:creationId xmlns:a16="http://schemas.microsoft.com/office/drawing/2014/main" id="{8B9E732C-3ADD-82A4-480D-B5B8B5D2B0E1}"/>
            </a:ext>
          </a:extLst>
        </xdr:cNvPr>
        <xdr:cNvPicPr>
          <a:picLocks noChangeAspect="1"/>
        </xdr:cNvPicPr>
      </xdr:nvPicPr>
      <xdr:blipFill>
        <a:blip xmlns:r="http://schemas.openxmlformats.org/officeDocument/2006/relationships" r:embed="rId1"/>
        <a:stretch>
          <a:fillRect/>
        </a:stretch>
      </xdr:blipFill>
      <xdr:spPr>
        <a:xfrm>
          <a:off x="0" y="0"/>
          <a:ext cx="9204610" cy="4919830"/>
        </a:xfrm>
        <a:prstGeom prst="rect">
          <a:avLst/>
        </a:prstGeom>
      </xdr:spPr>
    </xdr:pic>
    <xdr:clientData/>
  </xdr:twoCellAnchor>
  <xdr:twoCellAnchor editAs="oneCell">
    <xdr:from>
      <xdr:col>0</xdr:col>
      <xdr:colOff>0</xdr:colOff>
      <xdr:row>26</xdr:row>
      <xdr:rowOff>152400</xdr:rowOff>
    </xdr:from>
    <xdr:to>
      <xdr:col>13</xdr:col>
      <xdr:colOff>191925</xdr:colOff>
      <xdr:row>54</xdr:row>
      <xdr:rowOff>84890</xdr:rowOff>
    </xdr:to>
    <xdr:pic>
      <xdr:nvPicPr>
        <xdr:cNvPr id="3" name="图片 2">
          <a:extLst>
            <a:ext uri="{FF2B5EF4-FFF2-40B4-BE49-F238E27FC236}">
              <a16:creationId xmlns:a16="http://schemas.microsoft.com/office/drawing/2014/main" id="{02AA876E-A28E-F41F-AA65-96EAEA4D8E94}"/>
            </a:ext>
          </a:extLst>
        </xdr:cNvPr>
        <xdr:cNvPicPr>
          <a:picLocks noChangeAspect="1"/>
        </xdr:cNvPicPr>
      </xdr:nvPicPr>
      <xdr:blipFill>
        <a:blip xmlns:r="http://schemas.openxmlformats.org/officeDocument/2006/relationships" r:embed="rId2"/>
        <a:stretch>
          <a:fillRect/>
        </a:stretch>
      </xdr:blipFill>
      <xdr:spPr>
        <a:xfrm>
          <a:off x="0" y="4907280"/>
          <a:ext cx="8116725" cy="5053130"/>
        </a:xfrm>
        <a:prstGeom prst="rect">
          <a:avLst/>
        </a:prstGeom>
      </xdr:spPr>
    </xdr:pic>
    <xdr:clientData/>
  </xdr:twoCellAnchor>
  <xdr:twoCellAnchor editAs="oneCell">
    <xdr:from>
      <xdr:col>0</xdr:col>
      <xdr:colOff>0</xdr:colOff>
      <xdr:row>54</xdr:row>
      <xdr:rowOff>106680</xdr:rowOff>
    </xdr:from>
    <xdr:to>
      <xdr:col>14</xdr:col>
      <xdr:colOff>468010</xdr:colOff>
      <xdr:row>86</xdr:row>
      <xdr:rowOff>105723</xdr:rowOff>
    </xdr:to>
    <xdr:pic>
      <xdr:nvPicPr>
        <xdr:cNvPr id="4" name="图片 3">
          <a:extLst>
            <a:ext uri="{FF2B5EF4-FFF2-40B4-BE49-F238E27FC236}">
              <a16:creationId xmlns:a16="http://schemas.microsoft.com/office/drawing/2014/main" id="{0D84FD03-AE71-773A-966E-87CC3FF4EE2B}"/>
            </a:ext>
          </a:extLst>
        </xdr:cNvPr>
        <xdr:cNvPicPr>
          <a:picLocks noChangeAspect="1"/>
        </xdr:cNvPicPr>
      </xdr:nvPicPr>
      <xdr:blipFill>
        <a:blip xmlns:r="http://schemas.openxmlformats.org/officeDocument/2006/relationships" r:embed="rId3"/>
        <a:stretch>
          <a:fillRect/>
        </a:stretch>
      </xdr:blipFill>
      <xdr:spPr>
        <a:xfrm>
          <a:off x="0" y="9982200"/>
          <a:ext cx="9002410" cy="5851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20</xdr:col>
      <xdr:colOff>55985</xdr:colOff>
      <xdr:row>33</xdr:row>
      <xdr:rowOff>148727</xdr:rowOff>
    </xdr:to>
    <xdr:pic>
      <xdr:nvPicPr>
        <xdr:cNvPr id="2" name="图片 1">
          <a:extLst>
            <a:ext uri="{FF2B5EF4-FFF2-40B4-BE49-F238E27FC236}">
              <a16:creationId xmlns:a16="http://schemas.microsoft.com/office/drawing/2014/main" id="{0A97910B-CBC8-16B0-923F-B63539DB79CE}"/>
            </a:ext>
          </a:extLst>
        </xdr:cNvPr>
        <xdr:cNvPicPr>
          <a:picLocks noChangeAspect="1"/>
        </xdr:cNvPicPr>
      </xdr:nvPicPr>
      <xdr:blipFill>
        <a:blip xmlns:r="http://schemas.openxmlformats.org/officeDocument/2006/relationships" r:embed="rId1"/>
        <a:stretch>
          <a:fillRect/>
        </a:stretch>
      </xdr:blipFill>
      <xdr:spPr>
        <a:xfrm>
          <a:off x="0" y="419100"/>
          <a:ext cx="12247985" cy="5764667"/>
        </a:xfrm>
        <a:prstGeom prst="rect">
          <a:avLst/>
        </a:prstGeom>
      </xdr:spPr>
    </xdr:pic>
    <xdr:clientData/>
  </xdr:twoCellAnchor>
  <xdr:twoCellAnchor editAs="oneCell">
    <xdr:from>
      <xdr:col>0</xdr:col>
      <xdr:colOff>22860</xdr:colOff>
      <xdr:row>33</xdr:row>
      <xdr:rowOff>121920</xdr:rowOff>
    </xdr:from>
    <xdr:to>
      <xdr:col>5</xdr:col>
      <xdr:colOff>117717</xdr:colOff>
      <xdr:row>71</xdr:row>
      <xdr:rowOff>115337</xdr:rowOff>
    </xdr:to>
    <xdr:pic>
      <xdr:nvPicPr>
        <xdr:cNvPr id="3" name="图片 2">
          <a:extLst>
            <a:ext uri="{FF2B5EF4-FFF2-40B4-BE49-F238E27FC236}">
              <a16:creationId xmlns:a16="http://schemas.microsoft.com/office/drawing/2014/main" id="{69DA27C1-CE58-0D7A-197B-AE554C5B0F4C}"/>
            </a:ext>
          </a:extLst>
        </xdr:cNvPr>
        <xdr:cNvPicPr>
          <a:picLocks noChangeAspect="1"/>
        </xdr:cNvPicPr>
      </xdr:nvPicPr>
      <xdr:blipFill>
        <a:blip xmlns:r="http://schemas.openxmlformats.org/officeDocument/2006/relationships" r:embed="rId2"/>
        <a:stretch>
          <a:fillRect/>
        </a:stretch>
      </xdr:blipFill>
      <xdr:spPr>
        <a:xfrm>
          <a:off x="22860" y="6156960"/>
          <a:ext cx="3142857" cy="6942857"/>
        </a:xfrm>
        <a:prstGeom prst="rect">
          <a:avLst/>
        </a:prstGeom>
      </xdr:spPr>
    </xdr:pic>
    <xdr:clientData/>
  </xdr:twoCellAnchor>
  <xdr:twoCellAnchor editAs="oneCell">
    <xdr:from>
      <xdr:col>5</xdr:col>
      <xdr:colOff>289560</xdr:colOff>
      <xdr:row>32</xdr:row>
      <xdr:rowOff>152400</xdr:rowOff>
    </xdr:from>
    <xdr:to>
      <xdr:col>10</xdr:col>
      <xdr:colOff>498703</xdr:colOff>
      <xdr:row>71</xdr:row>
      <xdr:rowOff>181985</xdr:rowOff>
    </xdr:to>
    <xdr:pic>
      <xdr:nvPicPr>
        <xdr:cNvPr id="4" name="图片 3">
          <a:extLst>
            <a:ext uri="{FF2B5EF4-FFF2-40B4-BE49-F238E27FC236}">
              <a16:creationId xmlns:a16="http://schemas.microsoft.com/office/drawing/2014/main" id="{B86B46CC-2BEA-4328-D846-85C6108076EB}"/>
            </a:ext>
          </a:extLst>
        </xdr:cNvPr>
        <xdr:cNvPicPr>
          <a:picLocks noChangeAspect="1"/>
        </xdr:cNvPicPr>
      </xdr:nvPicPr>
      <xdr:blipFill>
        <a:blip xmlns:r="http://schemas.openxmlformats.org/officeDocument/2006/relationships" r:embed="rId3"/>
        <a:stretch>
          <a:fillRect/>
        </a:stretch>
      </xdr:blipFill>
      <xdr:spPr>
        <a:xfrm>
          <a:off x="3337560" y="6004560"/>
          <a:ext cx="3257143"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北京市丰台区西三环南路14号院1号楼10层1024、1025房地产抵押价值预评估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受贵公司委托，我公司对北京市丰台区西三环南路14号院1号楼10层1024、1025房地产抵押价值进行了预评估。</v>
      </c>
    </row>
    <row r="7" spans="1:2">
      <c r="A7" s="1119" t="s">
        <v>566</v>
      </c>
      <c r="B7" s="1120" t="str">
        <f>'预评函-1'!A7</f>
        <v>估价对象为北京市丰台区西三环南路14号院1号楼10层1024、1025房地产，为所有。根据《国有土地使用证》[]，估价对象（分摊）出让国有建设用地使用权面积为0平方米，建筑面积为196.11平方米。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西三环南路14号院1号楼10层1024、1025房地产,属开发建设的办公项目，该项目尚在开发建设中。根据《国有土地使用证》[]，估价对象（分摊）出让国有建设用地使用权面积为0平方米，规划建筑面积为196.11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西三环南路14号院1号楼10层1024、1025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2025年5月15日</v>
      </c>
    </row>
    <row r="13" spans="1:2">
      <c r="A13" s="1119" t="s">
        <v>529</v>
      </c>
      <c r="B13" s="1120"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北京市丰台区西三环南路14号院1号楼10层1024、1025房地产</v>
      </c>
    </row>
    <row r="42" spans="1:2" ht="31.2">
      <c r="A42" s="1119" t="s">
        <v>590</v>
      </c>
      <c r="B42" s="1120" t="str">
        <f>'预评函-3'!B2</f>
        <v>建筑面积</v>
      </c>
    </row>
    <row r="43" spans="1:2">
      <c r="A43" s="1119" t="s">
        <v>591</v>
      </c>
      <c r="B43" s="1120">
        <f>'预评函-3'!B4</f>
        <v>196.11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西三环南路14号院1号楼10层1024、1025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3" t="s">
        <v>2580</v>
      </c>
      <c r="J2" s="3203"/>
      <c r="K2" s="3203"/>
      <c r="L2" s="3203"/>
      <c r="M2" s="3203"/>
      <c r="N2" s="3203"/>
      <c r="O2" s="3203"/>
      <c r="P2" s="3203"/>
      <c r="Q2" s="3203"/>
      <c r="R2" s="3203"/>
    </row>
    <row r="3" spans="1:18">
      <c r="A3" s="2762" t="s">
        <v>2501</v>
      </c>
      <c r="B3" s="2763">
        <f>项目基本情况!D3</f>
        <v>45792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1" t="str">
        <f>IF(B10="北京市","北京市",C10)&amp;F10&amp;IF(结果表!G1="在建","出让国有建设用地使用权及在建建筑物",IF(结果表!G1="土地","出让国有建设用地使用权",))&amp;B9&amp;"预评估"</f>
        <v>北京市丰台区西三环南路14号院1号楼10层1024、1025房地产抵押价值预评估</v>
      </c>
      <c r="C1" s="3212"/>
      <c r="D1" s="3212"/>
      <c r="E1" s="3212"/>
      <c r="F1" s="3212"/>
      <c r="G1" s="3212"/>
      <c r="H1" s="3212"/>
      <c r="I1" s="321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北京市丰台区西三环南路14号院1号楼10层1024、1025房地产抵押价值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北京市丰台区西三环南路14号院1号楼10层1024、1025房地产</v>
      </c>
      <c r="T2" s="1618"/>
      <c r="U2" s="1618"/>
      <c r="V2" s="1618"/>
      <c r="W2" s="1618"/>
      <c r="X2" s="1618"/>
      <c r="Y2" s="1618"/>
      <c r="Z2" s="1618"/>
      <c r="AA2" s="1618"/>
      <c r="AB2" s="1618"/>
    </row>
    <row r="3" spans="1:30">
      <c r="A3" s="294" t="s">
        <v>2170</v>
      </c>
      <c r="B3" s="2185"/>
      <c r="C3" s="2186" t="s">
        <v>2171</v>
      </c>
      <c r="D3" s="2185">
        <v>45792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24">
      <c r="A7" s="2194" t="s">
        <v>2175</v>
      </c>
      <c r="B7" s="2198"/>
      <c r="C7" s="2196"/>
      <c r="D7" s="2197"/>
      <c r="E7" s="2441"/>
      <c r="F7" s="2442"/>
      <c r="G7" s="3498" t="s">
        <v>3421</v>
      </c>
      <c r="H7" s="2442">
        <v>2012</v>
      </c>
      <c r="I7" s="3498" t="s">
        <v>3422</v>
      </c>
      <c r="J7" s="2245"/>
      <c r="K7" s="2402"/>
      <c r="L7" s="2399"/>
      <c r="M7" s="2399"/>
      <c r="N7" s="2245"/>
      <c r="O7" s="1670"/>
      <c r="P7" s="2245"/>
      <c r="Q7" s="2245"/>
      <c r="R7" s="2245"/>
    </row>
    <row r="8" spans="1:30">
      <c r="A8" s="2199" t="s">
        <v>2176</v>
      </c>
      <c r="B8" s="2200" t="s">
        <v>3412</v>
      </c>
      <c r="C8" s="2201"/>
      <c r="D8" s="3214"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5"/>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497" t="s">
        <v>3416</v>
      </c>
      <c r="G10" s="2444"/>
      <c r="H10" s="2445"/>
      <c r="I10" s="2446"/>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v>56491</v>
      </c>
      <c r="F13" s="3499" t="s">
        <v>3423</v>
      </c>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29.31</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1"/>
      <c r="C16" s="3222"/>
      <c r="D16" s="3223"/>
      <c r="E16" s="2222" t="s">
        <v>2194</v>
      </c>
      <c r="F16" s="3224"/>
      <c r="G16" s="3225"/>
      <c r="H16" s="3225"/>
      <c r="I16" s="3226"/>
      <c r="J16" s="2245"/>
      <c r="K16" s="2403"/>
      <c r="L16" s="1670"/>
      <c r="M16" s="1670"/>
      <c r="N16" s="2245"/>
      <c r="O16" s="1670"/>
      <c r="P16" s="2245"/>
      <c r="Q16" s="2245"/>
      <c r="R16" s="2245"/>
    </row>
    <row r="17" spans="1:28">
      <c r="A17" s="305" t="s">
        <v>2195</v>
      </c>
      <c r="B17" s="294" t="s">
        <v>2196</v>
      </c>
      <c r="C17" s="8">
        <f>'数据-汇总表'!E3</f>
        <v>196.11</v>
      </c>
      <c r="D17" s="1256" t="s">
        <v>2197</v>
      </c>
      <c r="E17" s="3227" t="s">
        <v>2198</v>
      </c>
      <c r="F17" s="3228"/>
      <c r="G17" s="3228"/>
      <c r="H17" s="3228"/>
      <c r="I17" s="322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0" t="s">
        <v>2202</v>
      </c>
      <c r="F18" s="3231"/>
      <c r="G18" s="3231"/>
      <c r="H18" s="3231"/>
      <c r="I18" s="3232"/>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3417</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7" t="s">
        <v>2206</v>
      </c>
      <c r="C20" s="3218"/>
      <c r="D20" s="3219" t="s">
        <v>2207</v>
      </c>
      <c r="E20" s="3220"/>
      <c r="F20" s="2430" t="s">
        <v>1056</v>
      </c>
      <c r="G20" s="2442"/>
      <c r="H20" s="2442"/>
      <c r="I20" s="2442"/>
      <c r="J20" s="2245"/>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5" t="s">
        <v>2214</v>
      </c>
      <c r="B27" s="312" t="s">
        <v>2215</v>
      </c>
      <c r="C27" s="2225" t="s">
        <v>3418</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6"/>
      <c r="B30" s="294" t="s">
        <v>2218</v>
      </c>
      <c r="C30" s="3207"/>
      <c r="D30" s="3208"/>
      <c r="E30" s="2442"/>
      <c r="F30" s="2442"/>
      <c r="G30" s="2442"/>
      <c r="H30" s="2442"/>
      <c r="I30" s="2442"/>
      <c r="J30" s="2245"/>
      <c r="K30" s="2402"/>
      <c r="L30" s="2399"/>
      <c r="M30" s="2399"/>
      <c r="N30" s="2245"/>
      <c r="O30" s="1670"/>
      <c r="P30" s="2245"/>
      <c r="Q30" s="2245"/>
      <c r="R30" s="2245"/>
      <c r="S30" s="2245"/>
      <c r="T30" s="2245"/>
      <c r="U30" s="2245"/>
      <c r="V30" s="2245"/>
    </row>
    <row r="31" spans="1:28">
      <c r="A31" s="3209"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5"/>
      <c r="V34" s="2245"/>
    </row>
    <row r="35" spans="1:30">
      <c r="A35" s="2236"/>
      <c r="B35" s="3204" t="s">
        <v>2229</v>
      </c>
      <c r="C35" s="3204"/>
      <c r="D35" s="3204"/>
      <c r="E35" s="32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196.11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196.11</v>
      </c>
      <c r="H5" s="13">
        <f t="shared" ref="H5:AT5" si="0">SUM(H13:H656)</f>
        <v>196.11</v>
      </c>
      <c r="I5" s="13">
        <f t="shared" si="0"/>
        <v>196.11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196.11</v>
      </c>
      <c r="BA5" s="15">
        <f t="shared" si="1"/>
        <v>196.11</v>
      </c>
      <c r="BB5" s="15">
        <f t="shared" si="1"/>
        <v>196.11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1024</v>
      </c>
      <c r="D13" s="1513" t="s">
        <v>3417</v>
      </c>
      <c r="E13" s="13">
        <f>IF($C$3="是",ROUND($A$3*G13/$B$3,2),ROUND($A$3*(G13-AT13)/$B$3,2))</f>
        <v>0</v>
      </c>
      <c r="F13" s="29"/>
      <c r="G13" s="30">
        <f>H13+AC13+AT13</f>
        <v>97.23</v>
      </c>
      <c r="H13" s="17">
        <f>SUMIF(I$12:AB$12,"总值",I13:AB13)</f>
        <v>97.23</v>
      </c>
      <c r="I13" s="1514">
        <v>97.23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1024</v>
      </c>
      <c r="AY13" s="1260">
        <f>ROUND($AY$6*AZ13/$AZ$5,2)</f>
        <v>0</v>
      </c>
      <c r="AZ13" s="13">
        <f>BA13+BL13</f>
        <v>97.23</v>
      </c>
      <c r="BA13" s="13">
        <f>SUM(BB13:BK13)</f>
        <v>97.23</v>
      </c>
      <c r="BB13" s="13">
        <f>IF($D13="是",I13-J13,0)</f>
        <v>97.23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1025</v>
      </c>
      <c r="D14" s="1513" t="s">
        <v>3417</v>
      </c>
      <c r="E14" s="13">
        <f>IF($C$3="是",ROUND($A$3*G14/$B$3,2),ROUND($A$3*(G14-AT14)/$B$3,2))</f>
        <v>0</v>
      </c>
      <c r="F14" s="29"/>
      <c r="G14" s="30">
        <f>H14+AC14+AT14</f>
        <v>98.88</v>
      </c>
      <c r="H14" s="17">
        <f>SUMIF(I$12:AB$12,"总值",I14:AB14)</f>
        <v>98.88</v>
      </c>
      <c r="I14" s="1514">
        <v>98.88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1025</v>
      </c>
      <c r="AY14" s="1260">
        <f>ROUND($AY$6*AZ14/$AZ$5,2)</f>
        <v>0</v>
      </c>
      <c r="AZ14" s="13">
        <f>BA14+BL14</f>
        <v>98.88</v>
      </c>
      <c r="BA14" s="13">
        <f>SUM(BB14:BK14)</f>
        <v>98.88</v>
      </c>
      <c r="BB14" s="13">
        <f>IF($D14="是",I14-J14,0)</f>
        <v>98.88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39"/>
      <c r="G2" s="2432"/>
      <c r="H2" s="2433"/>
      <c r="I2" s="2146" t="s">
        <v>1132</v>
      </c>
      <c r="J2" s="2439"/>
      <c r="K2" s="2439"/>
      <c r="L2" s="2439"/>
      <c r="M2" s="2439"/>
      <c r="N2" s="2440"/>
      <c r="O2" s="2439"/>
      <c r="P2" s="2439"/>
    </row>
    <row r="3" spans="1:16" ht="15" thickBot="1">
      <c r="A3" s="3243" t="s">
        <v>1105</v>
      </c>
      <c r="B3" s="3243"/>
      <c r="C3" s="3243"/>
      <c r="D3" s="41">
        <f>'数据-基础表'!AY6</f>
        <v>0</v>
      </c>
      <c r="E3" s="41">
        <f>'数据-基础表'!AZ5</f>
        <v>196.11</v>
      </c>
      <c r="F3" s="2439"/>
      <c r="G3" s="42"/>
      <c r="H3" s="43" t="s">
        <v>1106</v>
      </c>
      <c r="I3" s="802" t="e">
        <f>ROUND('数据-基础表'!B3/'数据-基础表'!A3,2)</f>
        <v>#DIV/0!</v>
      </c>
      <c r="J3" s="2439"/>
      <c r="K3" s="2439"/>
      <c r="L3" s="2439"/>
      <c r="M3" s="2439"/>
      <c r="N3" s="2440"/>
      <c r="O3" s="2439"/>
      <c r="P3" s="2439"/>
    </row>
    <row r="4" spans="1:16" ht="14.4">
      <c r="A4" s="3244"/>
      <c r="B4" s="3245"/>
      <c r="C4" s="324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7" t="s">
        <v>1110</v>
      </c>
      <c r="C5" s="324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7" t="s">
        <v>1111</v>
      </c>
      <c r="C6" s="3247"/>
      <c r="D6" s="43">
        <f>ROUND($D$3*E6/$E$3,2)</f>
        <v>0</v>
      </c>
      <c r="E6" s="44">
        <f>E3-E5</f>
        <v>196.11</v>
      </c>
      <c r="F6" s="2439"/>
      <c r="G6" s="1529" t="s">
        <v>1112</v>
      </c>
      <c r="H6" s="45" t="s">
        <v>1113</v>
      </c>
      <c r="I6" s="2435" t="e">
        <f>ROUND(F31/D31,2)</f>
        <v>#DIV/0!</v>
      </c>
      <c r="J6" s="2439"/>
      <c r="K6" s="2439"/>
      <c r="L6" s="2439"/>
      <c r="M6" s="2439"/>
      <c r="N6" s="2439"/>
      <c r="O6" s="2439"/>
      <c r="P6" s="2439"/>
    </row>
    <row r="7" spans="1:16" ht="15" thickBot="1">
      <c r="A7" s="3239"/>
      <c r="B7" s="3240"/>
      <c r="C7" s="3241"/>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196.11</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196.11</v>
      </c>
      <c r="F16" s="2439"/>
      <c r="G16" s="2439"/>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v>1024</v>
      </c>
      <c r="D19" s="43">
        <f>ROUND($D$3*E19/$E$3,2)</f>
        <v>0</v>
      </c>
      <c r="E19" s="51">
        <f t="shared" ref="E19:E26" si="1">SUM(F19:G19)</f>
        <v>97.23</v>
      </c>
      <c r="F19" s="2557">
        <f>'数据-基础表'!G13</f>
        <v>97.23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97.23</v>
      </c>
    </row>
    <row r="20" spans="1:19" ht="14.4">
      <c r="A20" s="1549"/>
      <c r="B20" s="45" t="s">
        <v>1153</v>
      </c>
      <c r="C20" s="3115">
        <v>1025</v>
      </c>
      <c r="D20" s="43">
        <f t="shared" ref="D20:D26" si="6">ROUND($D$3*E20/$E$3,2)</f>
        <v>0</v>
      </c>
      <c r="E20" s="51">
        <f t="shared" si="1"/>
        <v>98.88</v>
      </c>
      <c r="F20" s="2557">
        <f>'数据-基础表'!G14</f>
        <v>98.88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98.88</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196.11</v>
      </c>
      <c r="F27" s="1072">
        <f>IF(SUM(F19:F26)=E8,SUM(F19:F26),"地上面积有误")</f>
        <v>196.11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196.11</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196.11</v>
      </c>
      <c r="F31" s="644">
        <f>F27+F30</f>
        <v>196.11</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97.23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45792</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340</v>
      </c>
      <c r="C5" s="2300">
        <f ca="1">IF(B5=D14,结果表!H102,ROUND(B5*10000/$B$1,0))</f>
        <v>0</v>
      </c>
      <c r="D5" s="2300" t="e">
        <f>ROUND(B5*10000/$B$2,0)</f>
        <v>#DIV/0!</v>
      </c>
      <c r="E5" s="2461"/>
      <c r="F5" s="2462"/>
      <c r="G5" s="2462"/>
      <c r="H5" s="2462"/>
      <c r="I5" s="2462"/>
      <c r="J5" s="2462"/>
      <c r="K5" s="2462"/>
    </row>
    <row r="6" spans="1:11" ht="15.6">
      <c r="A6" s="2300" t="s">
        <v>656</v>
      </c>
      <c r="B6" s="2300">
        <f>SUM(G14:G23)</f>
        <v>340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97.23</v>
      </c>
      <c r="C14" s="2306"/>
      <c r="D14" s="2306">
        <f>速算表!G24</f>
        <v>340</v>
      </c>
      <c r="E14" s="2306">
        <f>速算表!G23</f>
        <v>35000</v>
      </c>
      <c r="F14" s="2306" t="e">
        <f>ROUND(D14*10000/C14,0)</f>
        <v>#DIV/0!</v>
      </c>
      <c r="G14" s="2306">
        <f>D14</f>
        <v>340</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AEAA-6A6E-443B-9139-9E141C80A834}">
  <sheetPr>
    <tabColor rgb="FF7030A0"/>
  </sheetPr>
  <dimension ref="F23:M24"/>
  <sheetViews>
    <sheetView tabSelected="1" topLeftCell="A3" workbookViewId="0">
      <selection activeCell="M23" sqref="M23:M24"/>
    </sheetView>
  </sheetViews>
  <sheetFormatPr defaultRowHeight="14.4"/>
  <sheetData>
    <row r="23" spans="6:13">
      <c r="F23" s="1405" t="s">
        <v>3390</v>
      </c>
      <c r="G23">
        <v>35000</v>
      </c>
      <c r="H23" s="1405" t="s">
        <v>3425</v>
      </c>
      <c r="J23" s="1405" t="s">
        <v>3427</v>
      </c>
      <c r="K23" s="1405" t="s">
        <v>3390</v>
      </c>
      <c r="L23">
        <v>38238</v>
      </c>
      <c r="M23" s="1405" t="s">
        <v>3425</v>
      </c>
    </row>
    <row r="24" spans="6:13">
      <c r="F24" s="1405" t="s">
        <v>3424</v>
      </c>
      <c r="G24">
        <f>ROUND(G23*'数据-汇总表'!E19/10000,0)</f>
        <v>340</v>
      </c>
      <c r="H24" s="1405" t="s">
        <v>3426</v>
      </c>
      <c r="K24" s="1405" t="s">
        <v>3424</v>
      </c>
      <c r="L24">
        <v>372</v>
      </c>
      <c r="M24" s="1405" t="s">
        <v>3426</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4C191-E467-4018-8E61-92E8ED2E6246}">
  <sheetPr>
    <tabColor rgb="FF7030A0"/>
  </sheetPr>
  <dimension ref="A1"/>
  <sheetViews>
    <sheetView topLeftCell="A28" workbookViewId="0">
      <selection activeCell="A56" sqref="A56"/>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1332B-FF00-422B-AA7A-AFD3BC650ED6}">
  <sheetPr>
    <tabColor rgb="FF7030A0"/>
  </sheetPr>
  <dimension ref="A1"/>
  <sheetViews>
    <sheetView topLeftCell="A30" workbookViewId="0">
      <selection activeCell="N46" sqref="N46"/>
    </sheetView>
  </sheetViews>
  <sheetFormatPr defaultRowHeight="14.4"/>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1024</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97.23</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1025</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98.88</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196.11</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北京市丰台区西三环南路14号院1号楼10层1024、1025房地产抵押价值预评估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8" t="s">
        <v>2286</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4" t="str">
        <f>项目基本情况!S2</f>
        <v>北京市丰台区西三环南路14号院1号楼10层1024、1025房地产</v>
      </c>
      <c r="B2" s="3285"/>
      <c r="C2" s="3285"/>
      <c r="D2" s="3285"/>
      <c r="E2" s="3285"/>
      <c r="F2" s="3285"/>
      <c r="G2" s="3285"/>
      <c r="H2" s="3285"/>
      <c r="I2" s="3286"/>
    </row>
    <row r="3" spans="1:12" ht="13.2">
      <c r="A3" s="3288" t="s">
        <v>1264</v>
      </c>
      <c r="B3" s="3289"/>
      <c r="C3" s="3289"/>
      <c r="D3" s="3289"/>
      <c r="E3" s="3289"/>
      <c r="F3" s="3289"/>
      <c r="G3" s="3289"/>
      <c r="H3" s="3289"/>
      <c r="I3" s="3289"/>
    </row>
    <row r="4" spans="1:12" ht="14.4">
      <c r="A4" s="1624" t="s">
        <v>1265</v>
      </c>
      <c r="B4" s="1625" t="s">
        <v>1266</v>
      </c>
      <c r="C4" s="1626"/>
      <c r="D4" s="1626"/>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4" t="s">
        <v>1268</v>
      </c>
      <c r="B5" s="3251">
        <v>25</v>
      </c>
      <c r="C5" s="3267"/>
      <c r="D5" s="3287"/>
      <c r="E5" s="123" t="s">
        <v>1269</v>
      </c>
      <c r="F5" s="1627"/>
      <c r="G5" s="1627"/>
      <c r="H5" s="1627"/>
      <c r="I5" s="1281"/>
    </row>
    <row r="6" spans="1:12" ht="13.2">
      <c r="A6" s="3264"/>
      <c r="B6" s="3251"/>
      <c r="C6" s="3268"/>
      <c r="D6" s="3287"/>
      <c r="E6" s="123" t="s">
        <v>1270</v>
      </c>
      <c r="F6" s="1627"/>
      <c r="G6" s="1627"/>
      <c r="H6" s="1627"/>
      <c r="I6" s="1281"/>
    </row>
    <row r="7" spans="1:12" ht="13.2">
      <c r="A7" s="3264"/>
      <c r="B7" s="3251"/>
      <c r="C7" s="3269"/>
      <c r="D7" s="3287"/>
      <c r="E7" s="123" t="s">
        <v>1271</v>
      </c>
      <c r="F7" s="1627"/>
      <c r="G7" s="1627"/>
      <c r="H7" s="1627"/>
      <c r="I7" s="1281"/>
    </row>
    <row r="8" spans="1:12" ht="13.2">
      <c r="A8" s="3264" t="s">
        <v>1272</v>
      </c>
      <c r="B8" s="3251">
        <v>15</v>
      </c>
      <c r="C8" s="3267"/>
      <c r="D8" s="3287"/>
      <c r="E8" s="123" t="s">
        <v>1273</v>
      </c>
      <c r="F8" s="1627"/>
      <c r="G8" s="1627"/>
      <c r="H8" s="1627"/>
      <c r="I8" s="1281"/>
    </row>
    <row r="9" spans="1:12" ht="13.2">
      <c r="A9" s="3264"/>
      <c r="B9" s="3251"/>
      <c r="C9" s="3269"/>
      <c r="D9" s="3287"/>
      <c r="E9" s="123" t="s">
        <v>1274</v>
      </c>
      <c r="F9" s="1627"/>
      <c r="G9" s="1627"/>
      <c r="H9" s="1627"/>
      <c r="I9" s="1281"/>
    </row>
    <row r="10" spans="1:12" ht="13.2">
      <c r="A10" s="3264" t="s">
        <v>1275</v>
      </c>
      <c r="B10" s="3251">
        <v>15</v>
      </c>
      <c r="C10" s="3267"/>
      <c r="D10" s="3287"/>
      <c r="E10" s="123" t="s">
        <v>1276</v>
      </c>
      <c r="F10" s="1627"/>
      <c r="G10" s="1627"/>
      <c r="H10" s="1627"/>
      <c r="I10" s="1281"/>
    </row>
    <row r="11" spans="1:12" ht="13.2">
      <c r="A11" s="3264"/>
      <c r="B11" s="3251"/>
      <c r="C11" s="3269"/>
      <c r="D11" s="3287"/>
      <c r="E11" s="123" t="s">
        <v>1277</v>
      </c>
      <c r="F11" s="1627"/>
      <c r="G11" s="1627"/>
      <c r="H11" s="1627"/>
      <c r="I11" s="1281"/>
    </row>
    <row r="12" spans="1:12" ht="13.2">
      <c r="A12" s="3264" t="s">
        <v>1278</v>
      </c>
      <c r="B12" s="3251">
        <v>15</v>
      </c>
      <c r="C12" s="3267"/>
      <c r="D12" s="3287"/>
      <c r="E12" s="123" t="s">
        <v>1279</v>
      </c>
      <c r="F12" s="1627"/>
      <c r="G12" s="1627"/>
      <c r="H12" s="1627"/>
      <c r="I12" s="1281"/>
    </row>
    <row r="13" spans="1:12" ht="13.2">
      <c r="A13" s="3264"/>
      <c r="B13" s="3251"/>
      <c r="C13" s="3269"/>
      <c r="D13" s="3287"/>
      <c r="E13" s="123" t="s">
        <v>1280</v>
      </c>
      <c r="F13" s="1627"/>
      <c r="G13" s="1627"/>
      <c r="H13" s="1627"/>
      <c r="I13" s="1281"/>
    </row>
    <row r="14" spans="1:12" ht="13.2">
      <c r="A14" s="3264" t="s">
        <v>1281</v>
      </c>
      <c r="B14" s="3251">
        <v>30</v>
      </c>
      <c r="C14" s="3267"/>
      <c r="D14" s="3287"/>
      <c r="E14" s="123" t="s">
        <v>1282</v>
      </c>
      <c r="F14" s="1627"/>
      <c r="G14" s="1627"/>
      <c r="H14" s="1627"/>
      <c r="I14" s="1281"/>
    </row>
    <row r="15" spans="1:12" ht="13.2">
      <c r="A15" s="3264"/>
      <c r="B15" s="3251"/>
      <c r="C15" s="3268"/>
      <c r="D15" s="3287"/>
      <c r="E15" s="123" t="s">
        <v>1283</v>
      </c>
      <c r="F15" s="1627"/>
      <c r="G15" s="1627"/>
      <c r="H15" s="1627"/>
      <c r="I15" s="1281"/>
    </row>
    <row r="16" spans="1:12" ht="13.2">
      <c r="A16" s="3264"/>
      <c r="B16" s="3251"/>
      <c r="C16" s="3269"/>
      <c r="D16" s="328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4" t="s">
        <v>2131</v>
      </c>
      <c r="F18" s="3275"/>
      <c r="G18" s="3275"/>
      <c r="H18" s="3275"/>
      <c r="I18" s="3275"/>
      <c r="K18" s="294" t="s">
        <v>1289</v>
      </c>
      <c r="L18" s="294">
        <f>IF(C1="",'数据-汇总表'!E3,SUMIF(项目类型,C1,'数据-汇总表'!E17:E26)+SUMIF(项目类型,C1,'数据-汇总表'!I17:I26))</f>
        <v>196.11</v>
      </c>
      <c r="M18" s="294">
        <f>IF(C1="",'数据-汇总表'!E3,SUMIF(项目类型,C1,'数据-汇总表'!E17:E26))</f>
        <v>196.11</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58" t="s">
        <v>1299</v>
      </c>
      <c r="B24" s="1631" t="s">
        <v>1291</v>
      </c>
      <c r="C24" s="128">
        <f>IF(B30=0,0,D30)</f>
        <v>0</v>
      </c>
      <c r="D24" s="1637"/>
      <c r="E24" s="121"/>
      <c r="F24" s="121"/>
      <c r="G24" s="121"/>
      <c r="H24" s="121"/>
      <c r="I24" s="121"/>
    </row>
    <row r="25" spans="1:36" ht="14.4">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8" t="s">
        <v>1312</v>
      </c>
      <c r="B36" s="1652" t="s">
        <v>1313</v>
      </c>
      <c r="C36" s="137"/>
      <c r="D36" s="1653"/>
      <c r="E36" s="1567"/>
      <c r="F36" s="1654"/>
      <c r="G36" s="121"/>
      <c r="H36" s="121"/>
      <c r="I36" s="121"/>
    </row>
    <row r="37" spans="1:15" ht="15" thickBot="1">
      <c r="A37" s="3279"/>
      <c r="B37" s="1555" t="s">
        <v>1314</v>
      </c>
      <c r="C37" s="139"/>
      <c r="D37" s="1071"/>
      <c r="E37" s="1071"/>
      <c r="F37" s="1654"/>
      <c r="G37" s="121"/>
      <c r="H37" s="121"/>
      <c r="I37" s="121"/>
    </row>
    <row r="38" spans="1:15" ht="15" thickBot="1">
      <c r="A38" s="328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147" t="e">
        <f ca="1">ROUND(H101*F45,0)</f>
        <v>#REF!</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10">
        <v>1</v>
      </c>
      <c r="K46" s="3314" t="s">
        <v>1331</v>
      </c>
      <c r="L46" s="3314"/>
      <c r="M46" s="3334"/>
      <c r="N46" s="3334"/>
      <c r="O46" s="3334"/>
    </row>
    <row r="47" spans="1:15" ht="12" customHeight="1">
      <c r="A47" s="152" t="s">
        <v>1332</v>
      </c>
      <c r="B47" s="153"/>
      <c r="C47" s="154"/>
      <c r="D47" s="1024" t="s">
        <v>1333</v>
      </c>
      <c r="E47" s="294" t="s">
        <v>1334</v>
      </c>
      <c r="F47" s="155" t="s">
        <v>1335</v>
      </c>
      <c r="G47" s="2333" t="s">
        <v>1336</v>
      </c>
      <c r="H47" s="2334"/>
      <c r="I47" s="151"/>
      <c r="J47" s="2310">
        <v>2</v>
      </c>
      <c r="K47" s="3314" t="s">
        <v>1337</v>
      </c>
      <c r="L47" s="3314"/>
      <c r="M47" s="3335">
        <f>'数据-取费表'!B2</f>
        <v>45792</v>
      </c>
      <c r="N47" s="3335"/>
      <c r="O47" s="3335"/>
    </row>
    <row r="48" spans="1:15" ht="26.4">
      <c r="A48" s="3283" t="s">
        <v>1338</v>
      </c>
      <c r="B48" s="3266"/>
      <c r="C48" s="326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4" t="s">
        <v>1340</v>
      </c>
      <c r="L48" s="3314"/>
      <c r="M48" s="3336" t="e">
        <f ca="1">H101</f>
        <v>#REF!</v>
      </c>
      <c r="N48" s="3336"/>
      <c r="O48" s="3336"/>
    </row>
    <row r="49" spans="1:35" ht="25.5" customHeight="1">
      <c r="A49" s="2152" t="s">
        <v>1341</v>
      </c>
      <c r="B49" s="3250" t="s">
        <v>1342</v>
      </c>
      <c r="C49" s="3250"/>
      <c r="D49" s="1478">
        <v>0</v>
      </c>
      <c r="E49" s="316" t="s">
        <v>1343</v>
      </c>
      <c r="F49" s="2233" t="s">
        <v>28</v>
      </c>
      <c r="G49" s="3320"/>
      <c r="H49" s="2134" t="s">
        <v>2134</v>
      </c>
      <c r="I49" s="2135"/>
      <c r="J49" s="2310">
        <v>4</v>
      </c>
      <c r="K49" s="3314" t="str">
        <f>IF(项目基本情况!E8="房地产抵押价值","房地产抵押价值","抵押担保权已注销时的房地产抵押价值")</f>
        <v>房地产抵押价值</v>
      </c>
      <c r="L49" s="3314"/>
      <c r="M49" s="3336" t="str">
        <f ca="1">IF(项目基本情况!E8="房地产抵押价值",H107,H109)</f>
        <v>——</v>
      </c>
      <c r="N49" s="3336"/>
      <c r="O49" s="3336"/>
    </row>
    <row r="50" spans="1:35" ht="25.5" customHeight="1">
      <c r="A50" s="2338"/>
      <c r="B50" s="3250" t="s">
        <v>1344</v>
      </c>
      <c r="C50" s="3250"/>
      <c r="D50" s="2189"/>
      <c r="E50" s="323"/>
      <c r="F50" s="2233"/>
      <c r="G50" s="3321"/>
      <c r="H50" s="2136" t="s">
        <v>2135</v>
      </c>
      <c r="I50" s="2135"/>
      <c r="J50" s="3333" t="s">
        <v>1345</v>
      </c>
      <c r="K50" s="3333"/>
      <c r="L50" s="3333"/>
      <c r="M50" s="3333"/>
      <c r="N50" s="3333"/>
      <c r="O50" s="3333"/>
    </row>
    <row r="51" spans="1:35" ht="20.399999999999999" customHeight="1">
      <c r="A51" s="2339"/>
      <c r="B51" s="3250" t="s">
        <v>1346</v>
      </c>
      <c r="C51" s="3250"/>
      <c r="D51" s="1024"/>
      <c r="E51" s="319"/>
      <c r="F51" s="2233"/>
      <c r="G51" s="3322"/>
      <c r="H51" s="2136" t="s">
        <v>2136</v>
      </c>
      <c r="I51" s="2135"/>
      <c r="J51" s="2311" t="s">
        <v>1347</v>
      </c>
      <c r="K51" s="3314" t="s">
        <v>1348</v>
      </c>
      <c r="L51" s="3314"/>
      <c r="M51" s="2311" t="s">
        <v>1349</v>
      </c>
      <c r="N51" s="2311" t="s">
        <v>1350</v>
      </c>
      <c r="O51" s="2311" t="s">
        <v>1351</v>
      </c>
    </row>
    <row r="52" spans="1:35" ht="24" customHeight="1">
      <c r="A52" s="2153" t="s">
        <v>1352</v>
      </c>
      <c r="B52" s="3250" t="s">
        <v>1353</v>
      </c>
      <c r="C52" s="3250"/>
      <c r="D52" s="1024" t="e">
        <f ca="1">ROUND(D45*'数据-取费表'!B41/(1+'数据-取费表'!C42),0)</f>
        <v>#REF!</v>
      </c>
      <c r="E52" s="1256" t="s">
        <v>1354</v>
      </c>
      <c r="F52" s="2340">
        <f>'数据-取费表'!B41</f>
        <v>0</v>
      </c>
      <c r="G52" s="2341"/>
      <c r="H52" s="2331"/>
      <c r="I52" s="1669"/>
      <c r="J52" s="2310">
        <v>1</v>
      </c>
      <c r="K52" s="3315" t="s">
        <v>1355</v>
      </c>
      <c r="L52" s="3315"/>
      <c r="M52" s="2312" t="b">
        <f>D48</f>
        <v>0</v>
      </c>
      <c r="N52" s="2310" t="str">
        <f>E48</f>
        <v>销售额×税（费）率</v>
      </c>
      <c r="O52" s="2313">
        <f>F48</f>
        <v>0</v>
      </c>
    </row>
    <row r="53" spans="1:35" ht="12" customHeight="1">
      <c r="A53" s="2153" t="s">
        <v>1356</v>
      </c>
      <c r="B53" s="3276" t="s">
        <v>2291</v>
      </c>
      <c r="C53" s="3277"/>
      <c r="D53" s="1024" t="e">
        <f ca="1">ROUND(D45*'数据-取费表'!B41/(1+'数据-取费表'!C42),0)</f>
        <v>#REF!</v>
      </c>
      <c r="E53" s="1256" t="s">
        <v>1354</v>
      </c>
      <c r="F53" s="2340">
        <f>'数据-取费表'!B41</f>
        <v>0</v>
      </c>
      <c r="G53" s="2341"/>
      <c r="H53" s="2331"/>
      <c r="I53" s="1669"/>
      <c r="J53" s="2310">
        <v>2</v>
      </c>
      <c r="K53" s="3315" t="s">
        <v>1357</v>
      </c>
      <c r="L53" s="3315"/>
      <c r="M53" s="2312" t="e">
        <f t="shared" ref="M53:O54" ca="1" si="0">D55</f>
        <v>#REF!</v>
      </c>
      <c r="N53" s="2310" t="str">
        <f t="shared" si="0"/>
        <v>销售额×税（费）率</v>
      </c>
      <c r="O53" s="2313" t="str">
        <f t="shared" si="0"/>
        <v>免征</v>
      </c>
    </row>
    <row r="54" spans="1:35" ht="12" customHeight="1">
      <c r="A54" s="2153" t="s">
        <v>1358</v>
      </c>
      <c r="B54" s="3276" t="s">
        <v>2292</v>
      </c>
      <c r="C54" s="3277"/>
      <c r="D54" s="1024" t="e">
        <f ca="1">C68</f>
        <v>#REF!</v>
      </c>
      <c r="E54" s="319" t="s">
        <v>1359</v>
      </c>
      <c r="F54" s="2340">
        <f>'数据-取费表'!B41</f>
        <v>0</v>
      </c>
      <c r="G54" s="2341"/>
      <c r="H54" s="2342"/>
      <c r="I54" s="1669"/>
      <c r="J54" s="2310">
        <v>3</v>
      </c>
      <c r="K54" s="3315" t="s">
        <v>1360</v>
      </c>
      <c r="L54" s="3315"/>
      <c r="M54" s="2312" t="e">
        <f t="shared" ca="1" si="0"/>
        <v>#REF!</v>
      </c>
      <c r="N54" s="2310" t="str">
        <f t="shared" si="0"/>
        <v>增值额×税（费）率</v>
      </c>
      <c r="O54" s="2314" t="str">
        <f t="shared" si="0"/>
        <v>免征</v>
      </c>
    </row>
    <row r="55" spans="1:35" ht="24" customHeight="1">
      <c r="A55" s="3265" t="s">
        <v>1361</v>
      </c>
      <c r="B55" s="3266"/>
      <c r="C55" s="3266"/>
      <c r="D55" s="12" t="e">
        <f ca="1">IF(H55="个人住宅",0,ROUND(D45*I55,0))</f>
        <v>#REF!</v>
      </c>
      <c r="E55" s="1256" t="s">
        <v>1362</v>
      </c>
      <c r="F55" s="2340" t="str">
        <f>IF(H55="正常",I55,"免征")</f>
        <v>免征</v>
      </c>
      <c r="G55" s="2341"/>
      <c r="H55" s="2337"/>
      <c r="I55" s="157">
        <f>'数据-取费表'!B49</f>
        <v>0</v>
      </c>
      <c r="J55" s="2310">
        <f>IF(H59="非个人房产","",4)</f>
        <v>4</v>
      </c>
      <c r="K55" s="3315" t="str">
        <f>IF(H59="非个人房产","——","个人所得税")</f>
        <v>个人所得税</v>
      </c>
      <c r="L55" s="3315"/>
      <c r="M55" s="2315" t="e">
        <f ca="1">D59</f>
        <v>#REF!</v>
      </c>
      <c r="N55" s="1883" t="str">
        <f>E59</f>
        <v>差额计税</v>
      </c>
      <c r="O55" s="2316">
        <f>F59</f>
        <v>0.01</v>
      </c>
    </row>
    <row r="56" spans="1:35" ht="25.2">
      <c r="A56" s="3265" t="s">
        <v>1363</v>
      </c>
      <c r="B56" s="3266"/>
      <c r="C56" s="3266"/>
      <c r="D56" s="12" t="e">
        <f ca="1">IF(H56="个人住宅",D57,D58)</f>
        <v>#REF!</v>
      </c>
      <c r="E56" s="1256" t="s">
        <v>1364</v>
      </c>
      <c r="F56" s="2340" t="str">
        <f>IF(H56="正常",F58,"免征")</f>
        <v>免征</v>
      </c>
      <c r="G56" s="2343" t="s">
        <v>1365</v>
      </c>
      <c r="H56" s="2344"/>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3.2">
      <c r="A57" s="2153" t="s">
        <v>1341</v>
      </c>
      <c r="B57" s="3276" t="s">
        <v>1366</v>
      </c>
      <c r="C57" s="3277"/>
      <c r="D57" s="1478">
        <v>0</v>
      </c>
      <c r="E57" s="316" t="s">
        <v>1343</v>
      </c>
      <c r="F57" s="294"/>
      <c r="G57" s="2341"/>
      <c r="H57" s="2345"/>
      <c r="I57" s="1670"/>
      <c r="J57" s="3315">
        <f>IF(AND(J55="",J56=""),4,IF(项目基本情况!K6="上海银行",结果表!J56+1,结果表!J55+1))</f>
        <v>5</v>
      </c>
      <c r="K57" s="3315" t="s">
        <v>1367</v>
      </c>
      <c r="L57" s="2317" t="s">
        <v>1368</v>
      </c>
      <c r="M57" s="2318"/>
      <c r="N57" s="2319">
        <f ca="1">SUMIF(M52:M56,"&lt;9e307")</f>
        <v>0</v>
      </c>
      <c r="O57" s="2320"/>
      <c r="P57" s="2464" t="e">
        <f ca="1">N57/M49</f>
        <v>#VALUE!</v>
      </c>
    </row>
    <row r="58" spans="1:35" ht="25.2">
      <c r="A58" s="2153" t="s">
        <v>1352</v>
      </c>
      <c r="B58" s="3276" t="s">
        <v>1369</v>
      </c>
      <c r="C58" s="3250"/>
      <c r="D58" s="12" t="e">
        <f ca="1">IF(H58="转让取得",C81,C97)</f>
        <v>#REF!</v>
      </c>
      <c r="E58" s="1256" t="s">
        <v>1364</v>
      </c>
      <c r="F58" s="294" t="s">
        <v>28</v>
      </c>
      <c r="G58" s="2341"/>
      <c r="H58" s="2344"/>
      <c r="I58" s="1670"/>
      <c r="J58" s="3315"/>
      <c r="K58" s="3315"/>
      <c r="L58" s="2317" t="s">
        <v>1370</v>
      </c>
      <c r="M58" s="2321"/>
      <c r="N58" s="2322" t="str">
        <f ca="1">NUMBERSTRING(INT(N57*10000),2)&amp;"元整"</f>
        <v>零元整</v>
      </c>
      <c r="O58" s="2323"/>
    </row>
    <row r="59" spans="1:35" ht="24.6" thickBot="1">
      <c r="A59" s="3318" t="s">
        <v>1371</v>
      </c>
      <c r="B59" s="3319"/>
      <c r="C59" s="331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6">
        <f>J57+1</f>
        <v>6</v>
      </c>
      <c r="K59" s="3315" t="s">
        <v>1372</v>
      </c>
      <c r="L59" s="2310" t="s">
        <v>1368</v>
      </c>
      <c r="M59" s="2324"/>
      <c r="N59" s="2325" t="e">
        <f ca="1">M49-N57</f>
        <v>#VALUE!</v>
      </c>
      <c r="O59" s="2326"/>
    </row>
    <row r="60" spans="1:35" ht="12" customHeight="1">
      <c r="A60" s="1671"/>
      <c r="B60" s="646"/>
      <c r="C60" s="646"/>
      <c r="D60" s="646"/>
      <c r="E60" s="1466"/>
      <c r="F60" s="1670"/>
      <c r="G60" s="1670"/>
      <c r="H60" s="151"/>
      <c r="I60" s="121"/>
      <c r="J60" s="3317"/>
      <c r="K60" s="3315"/>
      <c r="L60" s="2317" t="s">
        <v>1370</v>
      </c>
      <c r="M60" s="2321"/>
      <c r="N60" s="2322" t="e">
        <f ca="1">NUMBERSTRING(INT(N59*10000),2)&amp;"元整"</f>
        <v>#VALUE!</v>
      </c>
      <c r="O60" s="2323"/>
    </row>
    <row r="61" spans="1:35" ht="13.8" thickBot="1">
      <c r="A61" s="3263" t="s">
        <v>1373</v>
      </c>
      <c r="B61" s="3263"/>
      <c r="C61" s="3263"/>
      <c r="D61" s="3263"/>
      <c r="E61" s="3263"/>
      <c r="F61" s="1670"/>
      <c r="G61" s="1670"/>
      <c r="H61" s="151"/>
      <c r="I61" s="121"/>
      <c r="J61" s="2310">
        <f>J59+1</f>
        <v>7</v>
      </c>
      <c r="K61" s="3315" t="s">
        <v>1374</v>
      </c>
      <c r="L61" s="3315"/>
      <c r="M61" s="2327"/>
      <c r="N61" s="2328" t="e">
        <f ca="1">ROUND(N59*10000/'数据-汇总表'!E3,0)</f>
        <v>#VALUE!</v>
      </c>
      <c r="O61" s="2329"/>
    </row>
    <row r="62" spans="1:35" ht="13.2">
      <c r="A62" s="3281" t="s">
        <v>1375</v>
      </c>
      <c r="B62" s="328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0"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0"/>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0"/>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0"/>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0"/>
      <c r="K69" s="1245" t="s">
        <v>1393</v>
      </c>
      <c r="L69" s="1245"/>
      <c r="M69" s="294" t="e">
        <f ca="1">ROUND(SUM(M63:M68),0)</f>
        <v>#VALUE!</v>
      </c>
      <c r="N69" s="2332" t="e">
        <f ca="1">M69/M49</f>
        <v>#VALUE!</v>
      </c>
      <c r="Z69" s="1623"/>
      <c r="AI69" s="1561"/>
    </row>
    <row r="70" spans="1:35" s="642" customFormat="1" ht="14.4"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6" t="s">
        <v>1402</v>
      </c>
      <c r="F76" s="3250"/>
      <c r="G76" s="3250"/>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2" t="s">
        <v>2129</v>
      </c>
      <c r="H90" s="334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0" t="s">
        <v>1422</v>
      </c>
      <c r="F92" s="3261"/>
      <c r="G92" s="3261"/>
      <c r="H92" s="327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71">
        <f>C4</f>
        <v>0</v>
      </c>
      <c r="D101" s="2372">
        <f>D4</f>
        <v>0</v>
      </c>
      <c r="E101" s="3337" t="s">
        <v>1431</v>
      </c>
      <c r="F101" s="3294"/>
      <c r="G101" s="1687" t="s">
        <v>1432</v>
      </c>
      <c r="H101" s="2381" t="e">
        <f ca="1">H118</f>
        <v>#REF!</v>
      </c>
      <c r="I101" s="121"/>
    </row>
    <row r="102" spans="1:35" ht="18.75" customHeight="1">
      <c r="A102" s="3296" t="s">
        <v>1433</v>
      </c>
      <c r="B102" s="2370" t="s">
        <v>1432</v>
      </c>
      <c r="C102" s="2371" t="e">
        <f ca="1">IF(D32="楼面单价",ROUND(C19,0),C19)</f>
        <v>#REF!</v>
      </c>
      <c r="D102" s="2372" t="e">
        <f ca="1">IF(D32="楼面单价",ROUND(D19,0),D19)</f>
        <v>#REF!</v>
      </c>
      <c r="E102" s="3337"/>
      <c r="F102" s="3294"/>
      <c r="G102" s="1687" t="s">
        <v>1434</v>
      </c>
      <c r="H102" s="2341" t="e">
        <f ca="1">I118</f>
        <v>#REF!</v>
      </c>
      <c r="I102" s="121"/>
    </row>
    <row r="103" spans="1:35" ht="42.75" customHeight="1">
      <c r="A103" s="3296"/>
      <c r="B103" s="2370" t="s">
        <v>1434</v>
      </c>
      <c r="C103" s="2373" t="e">
        <f ca="1">C20</f>
        <v>#REF!</v>
      </c>
      <c r="D103" s="2374" t="e">
        <f ca="1">D20</f>
        <v>#REF!</v>
      </c>
      <c r="E103" s="3331" t="s">
        <v>1435</v>
      </c>
      <c r="F103" s="3332"/>
      <c r="G103" s="1688" t="s">
        <v>1436</v>
      </c>
      <c r="H103" s="2381">
        <f>IF(D36="正常操作",H104+H105+H106,H105+H106)</f>
        <v>0</v>
      </c>
      <c r="I103" s="121"/>
    </row>
    <row r="104" spans="1:35" ht="18.75" customHeight="1">
      <c r="A104" s="329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94"/>
      <c r="G107" s="1687" t="s">
        <v>1432</v>
      </c>
      <c r="H107" s="2381" t="e">
        <f ca="1">IF(E107="——","——",H101-H103)</f>
        <v>#REF!</v>
      </c>
      <c r="I107" s="121"/>
    </row>
    <row r="108" spans="1:35" ht="18.75" customHeight="1">
      <c r="A108" s="121"/>
      <c r="B108" s="121"/>
      <c r="C108" s="121"/>
      <c r="D108" s="121"/>
      <c r="E108" s="3293"/>
      <c r="F108" s="3294"/>
      <c r="G108" s="1687" t="s">
        <v>1434</v>
      </c>
      <c r="H108" s="2341">
        <f ca="1">IF(H107=H101,H102,ROUND(H107*10000/'数据-汇总表'!E3,0))</f>
        <v>0</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84" t="str">
        <f>IF(E109="——","——",H101-H105-H106)</f>
        <v>——</v>
      </c>
      <c r="I109" s="121"/>
    </row>
    <row r="110" spans="1:35" ht="18.75" customHeight="1">
      <c r="A110" s="121"/>
      <c r="B110" s="121"/>
      <c r="C110" s="121"/>
      <c r="D110" s="121"/>
      <c r="E110" s="3293"/>
      <c r="F110" s="3294"/>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5"/>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50" t="s">
        <v>1449</v>
      </c>
      <c r="E117" s="2150" t="s">
        <v>1450</v>
      </c>
      <c r="F117" s="2150" t="s">
        <v>1449</v>
      </c>
      <c r="G117" s="2150" t="s">
        <v>1451</v>
      </c>
      <c r="H117" s="2150" t="s">
        <v>1449</v>
      </c>
      <c r="I117" s="2150" t="s">
        <v>1451</v>
      </c>
    </row>
    <row r="118" spans="1:27" ht="24.75" customHeight="1">
      <c r="A118" s="2386" t="str">
        <f>项目基本情况!S2</f>
        <v>北京市丰台区西三环南路14号院1号楼10层1024、1025房地产</v>
      </c>
      <c r="B118" s="2150">
        <f>M18</f>
        <v>196.11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4" t="s">
        <v>1452</v>
      </c>
      <c r="B119" s="3264"/>
      <c r="C119" s="3264"/>
      <c r="D119" s="3304" t="e">
        <f ca="1">NUMBERSTRING(INT(D118*10000),2)&amp;"元整"</f>
        <v>#REF!</v>
      </c>
      <c r="E119" s="3306"/>
      <c r="F119" s="3304" t="e">
        <f ca="1">NUMBERSTRING(INT(F118*10000),2)&amp;"元整"</f>
        <v>#REF!</v>
      </c>
      <c r="G119" s="3306"/>
      <c r="H119" s="3304" t="e">
        <f ca="1">NUMBERSTRING(INT(H118*10000),2)&amp;"元整"</f>
        <v>#REF!</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t="e">
        <f ca="1">H107</f>
        <v>#REF!</v>
      </c>
      <c r="E122" s="3329"/>
      <c r="F122" s="3329"/>
      <c r="G122" s="3329"/>
      <c r="H122" s="3329"/>
      <c r="I122" s="3330"/>
      <c r="AA122" s="684"/>
    </row>
    <row r="123" spans="1:27" ht="18.75" customHeight="1">
      <c r="A123" s="3264" t="s">
        <v>1452</v>
      </c>
      <c r="B123" s="3264"/>
      <c r="C123" s="3264"/>
      <c r="D123" s="3304" t="e">
        <f ca="1">NUMBERSTRING(INT(D122*10000),2)&amp;"元整"</f>
        <v>#REF!</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
      </c>
      <c r="B126" s="3295"/>
      <c r="C126" s="3295"/>
      <c r="D126" s="3328" t="str">
        <f>H111</f>
        <v>——</v>
      </c>
      <c r="E126" s="3329"/>
      <c r="F126" s="3329"/>
      <c r="G126" s="3329"/>
      <c r="H126" s="3329"/>
      <c r="I126" s="3330"/>
      <c r="AA126" s="684"/>
    </row>
    <row r="127" spans="1:27" ht="18.75" customHeight="1">
      <c r="A127" s="3264" t="s">
        <v>1452</v>
      </c>
      <c r="B127" s="3264"/>
      <c r="C127" s="3264"/>
      <c r="D127" s="3304" t="e">
        <f>NUMBERSTRING(INT(D126*10000),2)&amp;"元整"</f>
        <v>#VALUE!</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196.11</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196.11</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196.11</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4" t="s">
        <v>1544</v>
      </c>
    </row>
    <row r="43" spans="1:7" ht="13.5" customHeight="1">
      <c r="A43" s="734" t="s">
        <v>347</v>
      </c>
      <c r="B43" s="207" t="s">
        <v>1545</v>
      </c>
      <c r="C43" s="230" t="e">
        <f ca="1">ROUND(IF('数据-取费表'!B22&lt;=1,C39*F22*'数据-取费表'!B21/2,C39*(POWER((1+F22),'数据-取费表'!B21/2)-1)),0)</f>
        <v>#VALUE!</v>
      </c>
      <c r="D43" s="230"/>
      <c r="E43" s="230"/>
      <c r="F43" s="231"/>
      <c r="G43" s="3345"/>
    </row>
    <row r="44" spans="1:7" ht="13.5" customHeight="1">
      <c r="A44" s="734" t="s">
        <v>348</v>
      </c>
      <c r="B44" s="207" t="s">
        <v>1546</v>
      </c>
      <c r="C44" s="230" t="e">
        <f ca="1">ROUND(IF('数据-取费表'!B22&lt;=1,C40*F22*'数据-取费表'!B21/2,C40*(POWER((1+F22),'数据-取费表'!B21/2)-1)),4)</f>
        <v>#VALUE!</v>
      </c>
      <c r="D44" s="230"/>
      <c r="E44" s="230"/>
      <c r="F44" s="231"/>
      <c r="G44" s="334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196.11</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196.11</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196.11</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4" t="s">
        <v>1591</v>
      </c>
    </row>
    <row r="43" spans="1:7" ht="13.5" customHeight="1">
      <c r="A43" s="734" t="s">
        <v>347</v>
      </c>
      <c r="B43" s="207" t="s">
        <v>1545</v>
      </c>
      <c r="C43" s="230" t="e">
        <f ca="1">ROUND(IF('数据-取费表'!B22&lt;=1,C39*F22*'数据-取费表'!B20/2,C39*(POWER((1+F22),'数据-取费表'!B20/2)-1)),0)</f>
        <v>#VALUE!</v>
      </c>
      <c r="D43" s="230"/>
      <c r="E43" s="230"/>
      <c r="F43" s="231"/>
      <c r="G43" s="3345"/>
    </row>
    <row r="44" spans="1:7" ht="13.5" customHeight="1">
      <c r="A44" s="734" t="s">
        <v>348</v>
      </c>
      <c r="B44" s="207" t="s">
        <v>1546</v>
      </c>
      <c r="C44" s="230" t="e">
        <f ca="1">ROUND(IF('数据-取费表'!B22&lt;=1,C40*F22*'数据-取费表'!B20/2,C40*(POWER((1+F22),'数据-取费表'!B20/2)-1)),4)</f>
        <v>#VALUE!</v>
      </c>
      <c r="D44" s="230"/>
      <c r="E44" s="230"/>
      <c r="F44" s="231"/>
      <c r="G44" s="334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8</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196.11</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196.11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196.11</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7" t="s">
        <v>837</v>
      </c>
      <c r="L53" s="334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0</v>
      </c>
      <c r="D6" s="147" t="s">
        <v>2106</v>
      </c>
      <c r="E6" s="294" t="s">
        <v>696</v>
      </c>
      <c r="F6" s="295">
        <f ca="1">INDIRECT("'数据-取费表'!u"&amp;$G$1)</f>
        <v>0</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7" t="s">
        <v>837</v>
      </c>
      <c r="L53" s="334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8" t="s">
        <v>2317</v>
      </c>
      <c r="K2" s="3359"/>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0" t="s">
        <v>2327</v>
      </c>
      <c r="K3" s="3361"/>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0" t="s">
        <v>2329</v>
      </c>
      <c r="K4" s="3361"/>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66" t="s">
        <v>2333</v>
      </c>
      <c r="B6" s="3367"/>
      <c r="C6" s="3368"/>
      <c r="D6" s="2621"/>
      <c r="E6" s="2622"/>
      <c r="F6" s="2623"/>
      <c r="G6" s="2624"/>
      <c r="H6" s="2599"/>
      <c r="I6" s="2600"/>
      <c r="J6" s="3352">
        <v>1</v>
      </c>
      <c r="K6" s="335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2"/>
      <c r="K7" s="335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9" t="s">
        <v>2347</v>
      </c>
      <c r="C8" s="3370"/>
      <c r="D8" s="2640" t="s">
        <v>2348</v>
      </c>
      <c r="E8" s="2641" t="s">
        <v>2349</v>
      </c>
      <c r="F8" s="2642" t="s">
        <v>2350</v>
      </c>
      <c r="G8" s="2643"/>
      <c r="H8" s="2599"/>
      <c r="I8" s="2600"/>
      <c r="J8" s="3352"/>
      <c r="K8" s="335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9" t="s">
        <v>2353</v>
      </c>
      <c r="C9" s="3370"/>
      <c r="D9" s="2640">
        <f>ROUND(D6*E9,0)</f>
        <v>0</v>
      </c>
      <c r="E9" s="2644"/>
      <c r="F9" s="2645" t="s">
        <v>2354</v>
      </c>
      <c r="G9" s="2624"/>
      <c r="H9" s="2599"/>
      <c r="I9" s="2600"/>
      <c r="J9" s="3352"/>
      <c r="K9" s="3354"/>
      <c r="L9" s="2634" t="s">
        <v>2355</v>
      </c>
      <c r="M9" s="2635"/>
      <c r="N9" s="2611"/>
      <c r="O9" s="2636"/>
      <c r="P9" s="2636"/>
      <c r="Q9" s="2637">
        <v>365</v>
      </c>
      <c r="R9" s="2638">
        <f t="shared" si="0"/>
        <v>0</v>
      </c>
      <c r="S9" s="2592"/>
      <c r="T9" s="2592"/>
      <c r="U9" s="2592"/>
      <c r="V9" s="2600"/>
    </row>
    <row r="10" spans="1:22" s="2604" customFormat="1" ht="13.2" customHeight="1">
      <c r="A10" s="2639">
        <v>2</v>
      </c>
      <c r="B10" s="3369" t="s">
        <v>2356</v>
      </c>
      <c r="C10" s="3370"/>
      <c r="D10" s="2640">
        <f>ROUND(D6*E10,0)</f>
        <v>0</v>
      </c>
      <c r="E10" s="2644"/>
      <c r="F10" s="2645" t="s">
        <v>2357</v>
      </c>
      <c r="G10" s="2624"/>
      <c r="H10" s="2599"/>
      <c r="I10" s="2600"/>
      <c r="J10" s="3352"/>
      <c r="K10" s="3354"/>
      <c r="L10" s="2634" t="s">
        <v>2358</v>
      </c>
      <c r="M10" s="2635"/>
      <c r="N10" s="2611"/>
      <c r="O10" s="2636"/>
      <c r="P10" s="2636"/>
      <c r="Q10" s="2637">
        <v>365</v>
      </c>
      <c r="R10" s="2638">
        <f t="shared" si="0"/>
        <v>0</v>
      </c>
      <c r="S10" s="2592"/>
      <c r="T10" s="2592"/>
      <c r="U10" s="2592"/>
      <c r="V10" s="2600"/>
    </row>
    <row r="11" spans="1:22" s="2604" customFormat="1" ht="13.2" customHeight="1">
      <c r="A11" s="2639">
        <v>3</v>
      </c>
      <c r="B11" s="3369" t="s">
        <v>2359</v>
      </c>
      <c r="C11" s="3370"/>
      <c r="D11" s="2640">
        <f>D12+D14+D15+D16</f>
        <v>0</v>
      </c>
      <c r="E11" s="2646" t="e">
        <f>D11/D6</f>
        <v>#DIV/0!</v>
      </c>
      <c r="F11" s="2642"/>
      <c r="G11" s="2643"/>
      <c r="H11" s="2599"/>
      <c r="I11" s="2600"/>
      <c r="J11" s="3352"/>
      <c r="K11" s="335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2" t="s">
        <v>2362</v>
      </c>
      <c r="C12" s="3363"/>
      <c r="D12" s="2648">
        <f>ROUND(D13*1.2%*(1-30%),0)</f>
        <v>0</v>
      </c>
      <c r="E12" s="2649">
        <v>1.2E-2</v>
      </c>
      <c r="F12" s="2642" t="s">
        <v>2363</v>
      </c>
      <c r="G12" s="2643"/>
      <c r="H12" s="2599"/>
      <c r="I12" s="2600"/>
      <c r="J12" s="3352"/>
      <c r="K12" s="335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2"/>
      <c r="K13" s="335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2" t="s">
        <v>2368</v>
      </c>
      <c r="C14" s="3363"/>
      <c r="D14" s="2648">
        <f>ROUND(E14*B5/10000,0)</f>
        <v>0</v>
      </c>
      <c r="E14" s="2637"/>
      <c r="F14" s="2642" t="s">
        <v>2369</v>
      </c>
      <c r="G14" s="2643"/>
      <c r="H14" s="2599"/>
      <c r="I14" s="2600"/>
      <c r="J14" s="3352"/>
      <c r="K14" s="335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2" t="s">
        <v>2372</v>
      </c>
      <c r="C15" s="3363"/>
      <c r="D15" s="2648">
        <f>ROUND(D6*E15,0)</f>
        <v>0</v>
      </c>
      <c r="E15" s="2649">
        <v>5.5E-2</v>
      </c>
      <c r="F15" s="2642" t="s">
        <v>2373</v>
      </c>
      <c r="G15" s="2624"/>
      <c r="H15" s="2599"/>
      <c r="I15" s="2600"/>
      <c r="J15" s="3352">
        <v>2</v>
      </c>
      <c r="K15" s="335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2" t="s">
        <v>2381</v>
      </c>
      <c r="C16" s="3363"/>
      <c r="D16" s="2659">
        <f>D6*E16</f>
        <v>0</v>
      </c>
      <c r="E16" s="2660"/>
      <c r="F16" s="2645" t="s">
        <v>2382</v>
      </c>
      <c r="G16" s="2624"/>
      <c r="H16" s="2599"/>
      <c r="I16" s="2600"/>
      <c r="J16" s="3352"/>
      <c r="K16" s="335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4" t="s">
        <v>2384</v>
      </c>
      <c r="C17" s="3365"/>
      <c r="D17" s="2662">
        <f>ROUND(D6*E17,0)</f>
        <v>0</v>
      </c>
      <c r="E17" s="2663"/>
      <c r="F17" s="2664" t="s">
        <v>2385</v>
      </c>
      <c r="G17" s="2624"/>
      <c r="H17" s="2599"/>
      <c r="I17" s="2600"/>
      <c r="J17" s="3352"/>
      <c r="K17" s="335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2"/>
      <c r="K18" s="335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2"/>
      <c r="K19" s="335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2">
        <v>3</v>
      </c>
      <c r="K20" s="335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2"/>
      <c r="K21" s="335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2"/>
      <c r="K22" s="335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2"/>
      <c r="K23" s="335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2"/>
      <c r="K24" s="335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5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5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8" t="s">
        <v>2317</v>
      </c>
      <c r="K32" s="3359"/>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0" t="s">
        <v>2327</v>
      </c>
      <c r="K33" s="3361"/>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0" t="s">
        <v>2329</v>
      </c>
      <c r="K34" s="336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2">
        <v>1</v>
      </c>
      <c r="K36" s="335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2"/>
      <c r="K37" s="335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2"/>
      <c r="K38" s="335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2"/>
      <c r="K39" s="335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2"/>
      <c r="K40" s="335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56">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5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1" t="s">
        <v>1654</v>
      </c>
      <c r="C5" s="3372"/>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196.11</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6"/>
      <c r="M4" s="2487"/>
      <c r="N4" s="2487"/>
      <c r="O4" s="2487"/>
      <c r="P4" s="3395" t="s">
        <v>1672</v>
      </c>
      <c r="Q4" s="3396"/>
      <c r="R4" s="3401" t="s">
        <v>1668</v>
      </c>
      <c r="S4" s="3402"/>
      <c r="T4" s="3401" t="s">
        <v>1669</v>
      </c>
      <c r="U4" s="3402"/>
      <c r="V4" s="3377" t="s">
        <v>1670</v>
      </c>
      <c r="W4" s="3377"/>
      <c r="X4" s="1265"/>
      <c r="Y4" s="3401" t="s">
        <v>1672</v>
      </c>
      <c r="Z4" s="3402"/>
      <c r="AA4" s="3388" t="s">
        <v>1668</v>
      </c>
      <c r="AB4" s="3388" t="s">
        <v>1669</v>
      </c>
      <c r="AC4" s="3388" t="s">
        <v>1670</v>
      </c>
    </row>
    <row r="5" spans="1:29">
      <c r="A5" s="348"/>
      <c r="B5" s="349"/>
      <c r="C5" s="3409" t="s">
        <v>1673</v>
      </c>
      <c r="D5" s="3410"/>
      <c r="E5" s="3416" t="s">
        <v>1674</v>
      </c>
      <c r="F5" s="3417"/>
      <c r="G5" s="3409" t="s">
        <v>1675</v>
      </c>
      <c r="H5" s="3410"/>
      <c r="I5" s="3409" t="s">
        <v>1676</v>
      </c>
      <c r="J5" s="3410"/>
      <c r="K5" s="1745"/>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1745"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1" t="s">
        <v>1680</v>
      </c>
      <c r="Q7" s="3413"/>
      <c r="R7" s="664" t="s">
        <v>20</v>
      </c>
      <c r="S7" s="665">
        <f t="shared" ref="S7:S15" si="0">F7</f>
        <v>0</v>
      </c>
      <c r="T7" s="664" t="s">
        <v>20</v>
      </c>
      <c r="U7" s="665">
        <f t="shared" ref="U7:U15" si="1">H7</f>
        <v>0</v>
      </c>
      <c r="V7" s="664" t="s">
        <v>20</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7"/>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7"/>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7"/>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7"/>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5" t="s">
        <v>1691</v>
      </c>
      <c r="Q15" s="1263" t="str">
        <f t="shared" si="6"/>
        <v>居住社区成熟度</v>
      </c>
      <c r="R15" s="667" t="s">
        <v>18</v>
      </c>
      <c r="S15" s="668">
        <f t="shared" si="0"/>
        <v>100</v>
      </c>
      <c r="T15" s="667" t="s">
        <v>18</v>
      </c>
      <c r="U15" s="668">
        <f t="shared" si="1"/>
        <v>100</v>
      </c>
      <c r="V15" s="667" t="s">
        <v>18</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6"/>
      <c r="Q17" s="1263" t="str">
        <f>B17</f>
        <v>交通便捷度</v>
      </c>
      <c r="R17" s="667" t="s">
        <v>18</v>
      </c>
      <c r="S17" s="668">
        <f>F17</f>
        <v>100</v>
      </c>
      <c r="T17" s="667" t="s">
        <v>18</v>
      </c>
      <c r="U17" s="668">
        <f>H17</f>
        <v>100</v>
      </c>
      <c r="V17" s="667" t="s">
        <v>18</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6"/>
      <c r="Q19" s="1263" t="str">
        <f>B19</f>
        <v>公共配套设施</v>
      </c>
      <c r="R19" s="667" t="s">
        <v>18</v>
      </c>
      <c r="S19" s="668">
        <f>F19</f>
        <v>100</v>
      </c>
      <c r="T19" s="667" t="s">
        <v>18</v>
      </c>
      <c r="U19" s="668">
        <f>H19</f>
        <v>100</v>
      </c>
      <c r="V19" s="667" t="s">
        <v>18</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6"/>
      <c r="Q23" s="1263" t="str">
        <f>B23</f>
        <v>自然及人文环境</v>
      </c>
      <c r="R23" s="667" t="s">
        <v>18</v>
      </c>
      <c r="S23" s="668">
        <f>F23</f>
        <v>100</v>
      </c>
      <c r="T23" s="667" t="s">
        <v>18</v>
      </c>
      <c r="U23" s="668">
        <f>H23</f>
        <v>100</v>
      </c>
      <c r="V23" s="667" t="s">
        <v>18</v>
      </c>
      <c r="W23" s="668">
        <f>J23</f>
        <v>100</v>
      </c>
      <c r="X23" s="1265"/>
      <c r="Y23" s="337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6"/>
      <c r="Q26" s="1263" t="str">
        <f t="shared" si="11"/>
        <v>朝向</v>
      </c>
      <c r="R26" s="667" t="s">
        <v>18</v>
      </c>
      <c r="S26" s="668">
        <f t="shared" si="12"/>
        <v>100</v>
      </c>
      <c r="T26" s="667" t="s">
        <v>18</v>
      </c>
      <c r="U26" s="668">
        <f t="shared" si="13"/>
        <v>100</v>
      </c>
      <c r="V26" s="667" t="s">
        <v>18</v>
      </c>
      <c r="W26" s="668">
        <f t="shared" si="14"/>
        <v>100</v>
      </c>
      <c r="X26" s="1265"/>
      <c r="Y26" s="337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86"/>
      <c r="Q27" s="530">
        <f t="shared" si="11"/>
        <v>111</v>
      </c>
      <c r="R27" s="664" t="s">
        <v>18</v>
      </c>
      <c r="S27" s="665">
        <f t="shared" si="12"/>
        <v>100</v>
      </c>
      <c r="T27" s="664" t="s">
        <v>18</v>
      </c>
      <c r="U27" s="665">
        <f t="shared" si="13"/>
        <v>100</v>
      </c>
      <c r="V27" s="664" t="s">
        <v>18</v>
      </c>
      <c r="W27" s="665">
        <f t="shared" si="14"/>
        <v>100</v>
      </c>
      <c r="X27" s="666"/>
      <c r="Y27" s="337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6"/>
      <c r="Q28" s="1263">
        <f t="shared" si="11"/>
        <v>111</v>
      </c>
      <c r="R28" s="667" t="s">
        <v>18</v>
      </c>
      <c r="S28" s="668">
        <f t="shared" si="12"/>
        <v>100</v>
      </c>
      <c r="T28" s="667" t="s">
        <v>18</v>
      </c>
      <c r="U28" s="668">
        <f t="shared" si="13"/>
        <v>100</v>
      </c>
      <c r="V28" s="667" t="s">
        <v>18</v>
      </c>
      <c r="W28" s="668">
        <f t="shared" si="14"/>
        <v>100</v>
      </c>
      <c r="X28" s="1265"/>
      <c r="Y28" s="337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6"/>
      <c r="Q29" s="1263">
        <f t="shared" si="11"/>
        <v>111</v>
      </c>
      <c r="R29" s="667" t="s">
        <v>18</v>
      </c>
      <c r="S29" s="668">
        <f t="shared" si="12"/>
        <v>100</v>
      </c>
      <c r="T29" s="667" t="s">
        <v>18</v>
      </c>
      <c r="U29" s="668">
        <f t="shared" si="13"/>
        <v>100</v>
      </c>
      <c r="V29" s="667" t="s">
        <v>18</v>
      </c>
      <c r="W29" s="668">
        <f t="shared" si="14"/>
        <v>100</v>
      </c>
      <c r="X29" s="1265"/>
      <c r="Y29" s="337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6"/>
      <c r="Q30" s="1263">
        <f t="shared" si="11"/>
        <v>111</v>
      </c>
      <c r="R30" s="667" t="s">
        <v>18</v>
      </c>
      <c r="S30" s="668">
        <f t="shared" si="12"/>
        <v>100</v>
      </c>
      <c r="T30" s="667" t="s">
        <v>18</v>
      </c>
      <c r="U30" s="668">
        <f t="shared" si="13"/>
        <v>100</v>
      </c>
      <c r="V30" s="667" t="s">
        <v>18</v>
      </c>
      <c r="W30" s="668">
        <f t="shared" si="14"/>
        <v>100</v>
      </c>
      <c r="X30" s="1265"/>
      <c r="Y30" s="337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6"/>
      <c r="Q31" s="1263">
        <f t="shared" si="11"/>
        <v>111</v>
      </c>
      <c r="R31" s="667" t="s">
        <v>18</v>
      </c>
      <c r="S31" s="668">
        <f t="shared" si="12"/>
        <v>100</v>
      </c>
      <c r="T31" s="667" t="s">
        <v>18</v>
      </c>
      <c r="U31" s="668">
        <f t="shared" si="13"/>
        <v>100</v>
      </c>
      <c r="V31" s="667" t="s">
        <v>18</v>
      </c>
      <c r="W31" s="668">
        <f t="shared" si="14"/>
        <v>100</v>
      </c>
      <c r="X31" s="1265"/>
      <c r="Y31" s="337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0" t="s">
        <v>1696</v>
      </c>
      <c r="Q32" s="1263" t="str">
        <f t="shared" si="11"/>
        <v>建筑类型</v>
      </c>
      <c r="R32" s="667" t="s">
        <v>18</v>
      </c>
      <c r="S32" s="668">
        <f t="shared" si="12"/>
        <v>100</v>
      </c>
      <c r="T32" s="667" t="s">
        <v>18</v>
      </c>
      <c r="U32" s="668">
        <f t="shared" si="13"/>
        <v>100</v>
      </c>
      <c r="V32" s="667" t="s">
        <v>18</v>
      </c>
      <c r="W32" s="668">
        <f t="shared" si="14"/>
        <v>100</v>
      </c>
      <c r="X32" s="1265"/>
      <c r="Y32" s="338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1"/>
      <c r="Q33" s="531" t="str">
        <f t="shared" si="11"/>
        <v>项目建筑规模</v>
      </c>
      <c r="R33" s="669" t="s">
        <v>18</v>
      </c>
      <c r="S33" s="670" t="e">
        <f t="shared" si="12"/>
        <v>#N/A</v>
      </c>
      <c r="T33" s="669" t="s">
        <v>18</v>
      </c>
      <c r="U33" s="670" t="e">
        <f t="shared" si="13"/>
        <v>#N/A</v>
      </c>
      <c r="V33" s="669" t="s">
        <v>18</v>
      </c>
      <c r="W33" s="670" t="e">
        <f t="shared" si="14"/>
        <v>#N/A</v>
      </c>
      <c r="X33" s="671"/>
      <c r="Y33" s="338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1"/>
      <c r="Q34" s="1263" t="str">
        <f t="shared" si="11"/>
        <v>建筑结构</v>
      </c>
      <c r="R34" s="667" t="s">
        <v>18</v>
      </c>
      <c r="S34" s="668">
        <f t="shared" si="12"/>
        <v>100</v>
      </c>
      <c r="T34" s="667" t="s">
        <v>18</v>
      </c>
      <c r="U34" s="668">
        <f t="shared" si="13"/>
        <v>100</v>
      </c>
      <c r="V34" s="667" t="s">
        <v>18</v>
      </c>
      <c r="W34" s="668">
        <f t="shared" si="14"/>
        <v>100</v>
      </c>
      <c r="X34" s="1265"/>
      <c r="Y34" s="338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1"/>
      <c r="Q35" s="1263" t="str">
        <f t="shared" si="11"/>
        <v>建筑品质</v>
      </c>
      <c r="R35" s="667" t="s">
        <v>18</v>
      </c>
      <c r="S35" s="668">
        <f t="shared" si="12"/>
        <v>100</v>
      </c>
      <c r="T35" s="667" t="s">
        <v>18</v>
      </c>
      <c r="U35" s="668">
        <f t="shared" si="13"/>
        <v>100</v>
      </c>
      <c r="V35" s="667" t="s">
        <v>18</v>
      </c>
      <c r="W35" s="668">
        <f t="shared" si="14"/>
        <v>100</v>
      </c>
      <c r="X35" s="1265"/>
      <c r="Y35" s="338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1"/>
      <c r="Q36" s="1263" t="str">
        <f t="shared" si="11"/>
        <v>公共部分装修</v>
      </c>
      <c r="R36" s="667" t="s">
        <v>18</v>
      </c>
      <c r="S36" s="668">
        <f t="shared" si="12"/>
        <v>100</v>
      </c>
      <c r="T36" s="667" t="s">
        <v>18</v>
      </c>
      <c r="U36" s="668">
        <f t="shared" si="13"/>
        <v>100</v>
      </c>
      <c r="V36" s="667" t="s">
        <v>18</v>
      </c>
      <c r="W36" s="668">
        <f t="shared" si="14"/>
        <v>100</v>
      </c>
      <c r="X36" s="1265"/>
      <c r="Y36" s="338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1"/>
      <c r="Q37" s="530" t="str">
        <f t="shared" si="11"/>
        <v>成新度</v>
      </c>
      <c r="R37" s="664" t="s">
        <v>18</v>
      </c>
      <c r="S37" s="665" t="e">
        <f t="shared" si="12"/>
        <v>#N/A</v>
      </c>
      <c r="T37" s="664" t="s">
        <v>18</v>
      </c>
      <c r="U37" s="665" t="e">
        <f t="shared" si="13"/>
        <v>#N/A</v>
      </c>
      <c r="V37" s="664" t="s">
        <v>18</v>
      </c>
      <c r="W37" s="665" t="e">
        <f t="shared" si="14"/>
        <v>#N/A</v>
      </c>
      <c r="X37" s="666"/>
      <c r="Y37" s="338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1" t="s">
        <v>1696</v>
      </c>
      <c r="Q38" s="1263" t="str">
        <f t="shared" si="11"/>
        <v>物业管理</v>
      </c>
      <c r="R38" s="667" t="s">
        <v>18</v>
      </c>
      <c r="S38" s="668">
        <f t="shared" si="12"/>
        <v>100</v>
      </c>
      <c r="T38" s="667" t="s">
        <v>18</v>
      </c>
      <c r="U38" s="668">
        <f t="shared" si="13"/>
        <v>100</v>
      </c>
      <c r="V38" s="667" t="s">
        <v>18</v>
      </c>
      <c r="W38" s="668">
        <f t="shared" si="14"/>
        <v>100</v>
      </c>
      <c r="X38" s="1265"/>
      <c r="Y38" s="338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1"/>
      <c r="Q39" s="1263" t="str">
        <f t="shared" si="11"/>
        <v>市政基础设施</v>
      </c>
      <c r="R39" s="667" t="s">
        <v>18</v>
      </c>
      <c r="S39" s="668">
        <f t="shared" si="12"/>
        <v>100</v>
      </c>
      <c r="T39" s="667" t="s">
        <v>18</v>
      </c>
      <c r="U39" s="668">
        <f t="shared" si="13"/>
        <v>100</v>
      </c>
      <c r="V39" s="667" t="s">
        <v>18</v>
      </c>
      <c r="W39" s="668">
        <f t="shared" si="14"/>
        <v>100</v>
      </c>
      <c r="X39" s="1265"/>
      <c r="Y39" s="338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1"/>
      <c r="Q40" s="1263" t="str">
        <f t="shared" si="11"/>
        <v>房型</v>
      </c>
      <c r="R40" s="667" t="s">
        <v>18</v>
      </c>
      <c r="S40" s="668">
        <f t="shared" si="12"/>
        <v>100</v>
      </c>
      <c r="T40" s="667" t="s">
        <v>18</v>
      </c>
      <c r="U40" s="668">
        <f t="shared" si="13"/>
        <v>100</v>
      </c>
      <c r="V40" s="667" t="s">
        <v>18</v>
      </c>
      <c r="W40" s="668">
        <f t="shared" si="14"/>
        <v>100</v>
      </c>
      <c r="X40" s="1265"/>
      <c r="Y40" s="338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1"/>
      <c r="Q41" s="531" t="str">
        <f t="shared" si="11"/>
        <v>单套/主力户型建筑面积</v>
      </c>
      <c r="R41" s="669" t="s">
        <v>18</v>
      </c>
      <c r="S41" s="670">
        <f t="shared" si="12"/>
        <v>100</v>
      </c>
      <c r="T41" s="669" t="s">
        <v>18</v>
      </c>
      <c r="U41" s="670">
        <f t="shared" si="13"/>
        <v>100</v>
      </c>
      <c r="V41" s="669" t="s">
        <v>18</v>
      </c>
      <c r="W41" s="670">
        <f t="shared" si="14"/>
        <v>100</v>
      </c>
      <c r="X41" s="671"/>
      <c r="Y41" s="338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1"/>
      <c r="Q42" s="1263" t="str">
        <f t="shared" si="11"/>
        <v>内部装修</v>
      </c>
      <c r="R42" s="667" t="s">
        <v>18</v>
      </c>
      <c r="S42" s="668">
        <f t="shared" si="12"/>
        <v>100</v>
      </c>
      <c r="T42" s="667" t="s">
        <v>18</v>
      </c>
      <c r="U42" s="668">
        <f t="shared" si="13"/>
        <v>100</v>
      </c>
      <c r="V42" s="667" t="s">
        <v>18</v>
      </c>
      <c r="W42" s="668">
        <f t="shared" si="14"/>
        <v>100</v>
      </c>
      <c r="X42" s="1265"/>
      <c r="Y42" s="338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1"/>
      <c r="Q43" s="1263" t="str">
        <f t="shared" si="11"/>
        <v>内部装修维护情况</v>
      </c>
      <c r="R43" s="667" t="s">
        <v>18</v>
      </c>
      <c r="S43" s="668">
        <f t="shared" si="12"/>
        <v>100</v>
      </c>
      <c r="T43" s="667" t="s">
        <v>18</v>
      </c>
      <c r="U43" s="668">
        <f t="shared" si="13"/>
        <v>100</v>
      </c>
      <c r="V43" s="667" t="s">
        <v>18</v>
      </c>
      <c r="W43" s="668">
        <f t="shared" si="14"/>
        <v>100</v>
      </c>
      <c r="X43" s="1265"/>
      <c r="Y43" s="338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1"/>
      <c r="Q44" s="530">
        <f t="shared" si="11"/>
        <v>111</v>
      </c>
      <c r="R44" s="664" t="s">
        <v>18</v>
      </c>
      <c r="S44" s="665">
        <f t="shared" si="12"/>
        <v>100</v>
      </c>
      <c r="T44" s="664" t="s">
        <v>18</v>
      </c>
      <c r="U44" s="665">
        <f t="shared" si="13"/>
        <v>100</v>
      </c>
      <c r="V44" s="664" t="s">
        <v>18</v>
      </c>
      <c r="W44" s="665">
        <f t="shared" si="14"/>
        <v>100</v>
      </c>
      <c r="X44" s="666"/>
      <c r="Y44" s="338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1"/>
      <c r="Q45" s="1263">
        <f t="shared" si="11"/>
        <v>111</v>
      </c>
      <c r="R45" s="667" t="s">
        <v>18</v>
      </c>
      <c r="S45" s="668">
        <f t="shared" si="12"/>
        <v>100</v>
      </c>
      <c r="T45" s="667" t="s">
        <v>18</v>
      </c>
      <c r="U45" s="668">
        <f t="shared" si="13"/>
        <v>100</v>
      </c>
      <c r="V45" s="667" t="s">
        <v>18</v>
      </c>
      <c r="W45" s="668">
        <f t="shared" si="14"/>
        <v>100</v>
      </c>
      <c r="X45" s="1265"/>
      <c r="Y45" s="338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2"/>
      <c r="Q46" s="1263">
        <f t="shared" si="11"/>
        <v>111</v>
      </c>
      <c r="R46" s="667" t="s">
        <v>17</v>
      </c>
      <c r="S46" s="668">
        <f t="shared" si="12"/>
        <v>100</v>
      </c>
      <c r="T46" s="667" t="s">
        <v>17</v>
      </c>
      <c r="U46" s="668">
        <f t="shared" si="13"/>
        <v>100</v>
      </c>
      <c r="V46" s="667" t="s">
        <v>17</v>
      </c>
      <c r="W46" s="668">
        <f t="shared" si="14"/>
        <v>100</v>
      </c>
      <c r="X46" s="1265"/>
      <c r="Y46" s="338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受贵公司委托，我公司对北京市丰台区西三环南路14号院1号楼10层1024、1025房地产抵押价值进行了预评估。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估价对象为北京市丰台区西三环南路14号院1号楼10层1024、1025房地产，为所有。根据《国有土地使用证》[]，估价对象（分摊）出让国有建设用地使用权面积为0平方米，建筑面积为196.11平方米。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西三环南路14号院1号楼10层1024、1025房地产,属开发建设的办公项目，该项目尚在开发建设中。根据《国有土地使用证》[]，估价对象（分摊）出让国有建设用地使用权面积为0平方米，规划建筑面积为196.11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西三环南路14号院1号楼10层1024、1025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2025年5月15日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196.11</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77"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77"/>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77"/>
      <c r="AC6" s="3390"/>
    </row>
    <row r="7" spans="1:29" s="102" customFormat="1" ht="15" thickBot="1">
      <c r="A7" s="352" t="s">
        <v>1679</v>
      </c>
      <c r="B7" s="353"/>
      <c r="C7" s="354">
        <f>'数据-取费表'!B2</f>
        <v>45792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7"/>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5" t="s">
        <v>1691</v>
      </c>
      <c r="Q15" s="1263" t="str">
        <f t="shared" si="6"/>
        <v>商业繁华度</v>
      </c>
      <c r="R15" s="667" t="s">
        <v>14</v>
      </c>
      <c r="S15" s="668">
        <f t="shared" si="0"/>
        <v>100</v>
      </c>
      <c r="T15" s="667" t="s">
        <v>14</v>
      </c>
      <c r="U15" s="668">
        <f t="shared" si="1"/>
        <v>100</v>
      </c>
      <c r="V15" s="667" t="s">
        <v>14</v>
      </c>
      <c r="W15" s="668">
        <f t="shared" si="2"/>
        <v>100</v>
      </c>
      <c r="X15" s="1265"/>
      <c r="Y15" s="337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6"/>
      <c r="Q22" s="1263"/>
      <c r="R22" s="667"/>
      <c r="S22" s="668"/>
      <c r="T22" s="667"/>
      <c r="U22" s="668"/>
      <c r="V22" s="667"/>
      <c r="W22" s="668"/>
      <c r="X22" s="1265"/>
      <c r="Y22" s="337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6"/>
      <c r="Q23" s="1263" t="str">
        <f>B23</f>
        <v>自然及人文环境</v>
      </c>
      <c r="R23" s="667" t="s">
        <v>14</v>
      </c>
      <c r="S23" s="668">
        <f>F23</f>
        <v>100</v>
      </c>
      <c r="T23" s="667" t="s">
        <v>14</v>
      </c>
      <c r="U23" s="668">
        <f>H23</f>
        <v>100</v>
      </c>
      <c r="V23" s="667" t="s">
        <v>14</v>
      </c>
      <c r="W23" s="668">
        <f>J23</f>
        <v>100</v>
      </c>
      <c r="X23" s="1265"/>
      <c r="Y23" s="337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6"/>
      <c r="Q25" s="1263" t="str">
        <f t="shared" ref="Q25:Q46" si="11">B25</f>
        <v>临街状况</v>
      </c>
      <c r="R25" s="667" t="s">
        <v>14</v>
      </c>
      <c r="S25" s="668">
        <f>F25</f>
        <v>100</v>
      </c>
      <c r="T25" s="667" t="s">
        <v>14</v>
      </c>
      <c r="U25" s="668">
        <f>H25</f>
        <v>100</v>
      </c>
      <c r="V25" s="667" t="s">
        <v>14</v>
      </c>
      <c r="W25" s="668">
        <f>J25</f>
        <v>100</v>
      </c>
      <c r="X25" s="1265"/>
      <c r="Y25" s="337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6"/>
      <c r="Q26" s="1263" t="str">
        <f t="shared" si="11"/>
        <v>平面位置/可视性</v>
      </c>
      <c r="R26" s="667" t="s">
        <v>14</v>
      </c>
      <c r="S26" s="668">
        <f>F26</f>
        <v>100</v>
      </c>
      <c r="T26" s="667" t="s">
        <v>14</v>
      </c>
      <c r="U26" s="668">
        <f>H26</f>
        <v>100</v>
      </c>
      <c r="V26" s="667" t="s">
        <v>14</v>
      </c>
      <c r="W26" s="668">
        <f>J26</f>
        <v>100</v>
      </c>
      <c r="X26" s="1265"/>
      <c r="Y26" s="337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86"/>
      <c r="Q27" s="530" t="str">
        <f t="shared" si="11"/>
        <v>人流量</v>
      </c>
      <c r="R27" s="664" t="s">
        <v>14</v>
      </c>
      <c r="S27" s="665">
        <f>F27</f>
        <v>100</v>
      </c>
      <c r="T27" s="664" t="s">
        <v>14</v>
      </c>
      <c r="U27" s="665">
        <f>H27</f>
        <v>100</v>
      </c>
      <c r="V27" s="664" t="s">
        <v>14</v>
      </c>
      <c r="W27" s="665">
        <f>J27</f>
        <v>100</v>
      </c>
      <c r="X27" s="666"/>
      <c r="Y27" s="337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6"/>
      <c r="Q29" s="1263">
        <f t="shared" si="11"/>
        <v>111</v>
      </c>
      <c r="R29" s="667" t="s">
        <v>14</v>
      </c>
      <c r="S29" s="668">
        <f t="shared" si="12"/>
        <v>100</v>
      </c>
      <c r="T29" s="667" t="s">
        <v>14</v>
      </c>
      <c r="U29" s="668">
        <f t="shared" si="13"/>
        <v>100</v>
      </c>
      <c r="V29" s="667" t="s">
        <v>14</v>
      </c>
      <c r="W29" s="668">
        <f t="shared" si="14"/>
        <v>100</v>
      </c>
      <c r="X29" s="1265"/>
      <c r="Y29" s="337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0" t="s">
        <v>1696</v>
      </c>
      <c r="Q32" s="1263" t="str">
        <f t="shared" si="11"/>
        <v>商业类型</v>
      </c>
      <c r="R32" s="667" t="s">
        <v>14</v>
      </c>
      <c r="S32" s="668">
        <f t="shared" si="12"/>
        <v>100</v>
      </c>
      <c r="T32" s="667" t="s">
        <v>14</v>
      </c>
      <c r="U32" s="668">
        <f t="shared" si="13"/>
        <v>100</v>
      </c>
      <c r="V32" s="667" t="s">
        <v>14</v>
      </c>
      <c r="W32" s="668">
        <f t="shared" si="14"/>
        <v>100</v>
      </c>
      <c r="X32" s="1265"/>
      <c r="Y32" s="338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1"/>
      <c r="Q33" s="531" t="str">
        <f t="shared" si="11"/>
        <v>项目建筑规模</v>
      </c>
      <c r="R33" s="669" t="s">
        <v>14</v>
      </c>
      <c r="S33" s="670" t="e">
        <f t="shared" si="12"/>
        <v>#N/A</v>
      </c>
      <c r="T33" s="669" t="s">
        <v>14</v>
      </c>
      <c r="U33" s="670" t="e">
        <f t="shared" si="13"/>
        <v>#N/A</v>
      </c>
      <c r="V33" s="669" t="s">
        <v>14</v>
      </c>
      <c r="W33" s="670" t="e">
        <f t="shared" si="14"/>
        <v>#N/A</v>
      </c>
      <c r="X33" s="671"/>
      <c r="Y33" s="338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1"/>
      <c r="Q34" s="1263" t="str">
        <f t="shared" si="11"/>
        <v>建筑结构</v>
      </c>
      <c r="R34" s="667" t="s">
        <v>14</v>
      </c>
      <c r="S34" s="668">
        <f t="shared" si="12"/>
        <v>100</v>
      </c>
      <c r="T34" s="667" t="s">
        <v>14</v>
      </c>
      <c r="U34" s="668">
        <f t="shared" si="13"/>
        <v>100</v>
      </c>
      <c r="V34" s="667" t="s">
        <v>14</v>
      </c>
      <c r="W34" s="668">
        <f t="shared" si="14"/>
        <v>100</v>
      </c>
      <c r="X34" s="1265"/>
      <c r="Y34" s="338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1"/>
      <c r="Q35" s="1263" t="str">
        <f t="shared" si="11"/>
        <v>公共部分装修</v>
      </c>
      <c r="R35" s="667" t="s">
        <v>14</v>
      </c>
      <c r="S35" s="668">
        <f t="shared" si="12"/>
        <v>100</v>
      </c>
      <c r="T35" s="667" t="s">
        <v>14</v>
      </c>
      <c r="U35" s="668">
        <f t="shared" si="13"/>
        <v>100</v>
      </c>
      <c r="V35" s="667" t="s">
        <v>14</v>
      </c>
      <c r="W35" s="668">
        <f t="shared" si="14"/>
        <v>100</v>
      </c>
      <c r="X35" s="1265"/>
      <c r="Y35" s="338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1"/>
      <c r="Q36" s="1263" t="str">
        <f t="shared" si="11"/>
        <v>成新度</v>
      </c>
      <c r="R36" s="667" t="s">
        <v>14</v>
      </c>
      <c r="S36" s="668" t="e">
        <f t="shared" si="12"/>
        <v>#N/A</v>
      </c>
      <c r="T36" s="667" t="s">
        <v>14</v>
      </c>
      <c r="U36" s="668" t="e">
        <f t="shared" si="13"/>
        <v>#N/A</v>
      </c>
      <c r="V36" s="667" t="s">
        <v>14</v>
      </c>
      <c r="W36" s="668" t="e">
        <f t="shared" si="14"/>
        <v>#N/A</v>
      </c>
      <c r="X36" s="1265"/>
      <c r="Y36" s="338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1"/>
      <c r="Q37" s="530" t="str">
        <f t="shared" si="11"/>
        <v>市政基础设施</v>
      </c>
      <c r="R37" s="664" t="s">
        <v>14</v>
      </c>
      <c r="S37" s="665">
        <f t="shared" si="12"/>
        <v>100</v>
      </c>
      <c r="T37" s="664" t="s">
        <v>14</v>
      </c>
      <c r="U37" s="665">
        <f t="shared" si="13"/>
        <v>100</v>
      </c>
      <c r="V37" s="664" t="s">
        <v>14</v>
      </c>
      <c r="W37" s="665">
        <f t="shared" si="14"/>
        <v>100</v>
      </c>
      <c r="X37" s="666"/>
      <c r="Y37" s="338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1" t="s">
        <v>1696</v>
      </c>
      <c r="Q38" s="1263" t="str">
        <f t="shared" si="11"/>
        <v>业态</v>
      </c>
      <c r="R38" s="667" t="s">
        <v>14</v>
      </c>
      <c r="S38" s="668">
        <f t="shared" si="12"/>
        <v>100</v>
      </c>
      <c r="T38" s="667" t="s">
        <v>14</v>
      </c>
      <c r="U38" s="668">
        <f t="shared" si="13"/>
        <v>100</v>
      </c>
      <c r="V38" s="667" t="s">
        <v>14</v>
      </c>
      <c r="W38" s="668">
        <f t="shared" si="14"/>
        <v>100</v>
      </c>
      <c r="X38" s="1265"/>
      <c r="Y38" s="338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1"/>
      <c r="Q39" s="1263" t="str">
        <f t="shared" si="11"/>
        <v>层高</v>
      </c>
      <c r="R39" s="667" t="s">
        <v>14</v>
      </c>
      <c r="S39" s="668">
        <f t="shared" si="12"/>
        <v>100</v>
      </c>
      <c r="T39" s="667" t="s">
        <v>14</v>
      </c>
      <c r="U39" s="668">
        <f t="shared" si="13"/>
        <v>100</v>
      </c>
      <c r="V39" s="667" t="s">
        <v>14</v>
      </c>
      <c r="W39" s="668">
        <f t="shared" si="14"/>
        <v>100</v>
      </c>
      <c r="X39" s="1265"/>
      <c r="Y39" s="338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1"/>
      <c r="Q40" s="1263" t="str">
        <f t="shared" si="11"/>
        <v>单套建筑面积</v>
      </c>
      <c r="R40" s="667" t="s">
        <v>14</v>
      </c>
      <c r="S40" s="668">
        <f t="shared" si="12"/>
        <v>100</v>
      </c>
      <c r="T40" s="667" t="s">
        <v>14</v>
      </c>
      <c r="U40" s="668">
        <f t="shared" si="13"/>
        <v>100</v>
      </c>
      <c r="V40" s="667" t="s">
        <v>14</v>
      </c>
      <c r="W40" s="668">
        <f t="shared" si="14"/>
        <v>100</v>
      </c>
      <c r="X40" s="1265"/>
      <c r="Y40" s="338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1"/>
      <c r="Q41" s="531" t="str">
        <f t="shared" si="11"/>
        <v>进深比</v>
      </c>
      <c r="R41" s="669" t="s">
        <v>14</v>
      </c>
      <c r="S41" s="670">
        <f t="shared" si="12"/>
        <v>100</v>
      </c>
      <c r="T41" s="669" t="s">
        <v>14</v>
      </c>
      <c r="U41" s="670">
        <f t="shared" si="13"/>
        <v>100</v>
      </c>
      <c r="V41" s="669" t="s">
        <v>14</v>
      </c>
      <c r="W41" s="670">
        <f t="shared" si="14"/>
        <v>100</v>
      </c>
      <c r="X41" s="671"/>
      <c r="Y41" s="338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1"/>
      <c r="Q42" s="1263" t="str">
        <f t="shared" si="11"/>
        <v>内部装修</v>
      </c>
      <c r="R42" s="667" t="s">
        <v>14</v>
      </c>
      <c r="S42" s="668">
        <f t="shared" si="12"/>
        <v>100</v>
      </c>
      <c r="T42" s="667" t="s">
        <v>14</v>
      </c>
      <c r="U42" s="668">
        <f t="shared" si="13"/>
        <v>100</v>
      </c>
      <c r="V42" s="667" t="s">
        <v>14</v>
      </c>
      <c r="W42" s="668">
        <f t="shared" si="14"/>
        <v>100</v>
      </c>
      <c r="X42" s="1265"/>
      <c r="Y42" s="338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1"/>
      <c r="Q43" s="1263" t="str">
        <f t="shared" si="11"/>
        <v>内部装修维护情况</v>
      </c>
      <c r="R43" s="667" t="s">
        <v>14</v>
      </c>
      <c r="S43" s="668">
        <f t="shared" si="12"/>
        <v>100</v>
      </c>
      <c r="T43" s="667" t="s">
        <v>14</v>
      </c>
      <c r="U43" s="668">
        <f t="shared" si="13"/>
        <v>100</v>
      </c>
      <c r="V43" s="667" t="s">
        <v>14</v>
      </c>
      <c r="W43" s="668">
        <f t="shared" si="14"/>
        <v>100</v>
      </c>
      <c r="X43" s="1265"/>
      <c r="Y43" s="338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1"/>
      <c r="Q44" s="530">
        <f t="shared" si="11"/>
        <v>111</v>
      </c>
      <c r="R44" s="664" t="s">
        <v>14</v>
      </c>
      <c r="S44" s="665">
        <f t="shared" si="12"/>
        <v>100</v>
      </c>
      <c r="T44" s="664" t="s">
        <v>14</v>
      </c>
      <c r="U44" s="665">
        <f t="shared" si="13"/>
        <v>100</v>
      </c>
      <c r="V44" s="664" t="s">
        <v>14</v>
      </c>
      <c r="W44" s="665">
        <f t="shared" si="14"/>
        <v>100</v>
      </c>
      <c r="X44" s="666"/>
      <c r="Y44" s="338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1"/>
      <c r="Q45" s="1263">
        <f t="shared" si="11"/>
        <v>111</v>
      </c>
      <c r="R45" s="667" t="s">
        <v>14</v>
      </c>
      <c r="S45" s="668">
        <f t="shared" si="12"/>
        <v>100</v>
      </c>
      <c r="T45" s="667" t="s">
        <v>14</v>
      </c>
      <c r="U45" s="668">
        <f t="shared" si="13"/>
        <v>100</v>
      </c>
      <c r="V45" s="667" t="s">
        <v>14</v>
      </c>
      <c r="W45" s="668">
        <f t="shared" si="14"/>
        <v>100</v>
      </c>
      <c r="X45" s="1265"/>
      <c r="Y45" s="338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196.11</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424" t="s">
        <v>1775</v>
      </c>
      <c r="Q4" s="3425"/>
      <c r="R4" s="3428" t="s">
        <v>1771</v>
      </c>
      <c r="S4" s="3429"/>
      <c r="T4" s="3428" t="s">
        <v>1772</v>
      </c>
      <c r="U4" s="3429"/>
      <c r="V4" s="3430" t="s">
        <v>1773</v>
      </c>
      <c r="W4" s="3430"/>
      <c r="X4" s="1809"/>
      <c r="Y4" s="3428" t="s">
        <v>1775</v>
      </c>
      <c r="Z4" s="3429"/>
      <c r="AA4" s="3432" t="s">
        <v>1771</v>
      </c>
      <c r="AB4" s="3432" t="s">
        <v>1772</v>
      </c>
      <c r="AC4" s="3421" t="s">
        <v>1773</v>
      </c>
    </row>
    <row r="5" spans="1:29">
      <c r="A5" s="348"/>
      <c r="B5" s="349"/>
      <c r="C5" s="3409" t="s">
        <v>1673</v>
      </c>
      <c r="D5" s="3410"/>
      <c r="E5" s="3416" t="s">
        <v>1674</v>
      </c>
      <c r="F5" s="3417"/>
      <c r="G5" s="3409" t="s">
        <v>1675</v>
      </c>
      <c r="H5" s="3410"/>
      <c r="I5" s="3409" t="s">
        <v>1676</v>
      </c>
      <c r="J5" s="3410"/>
      <c r="K5" s="537"/>
      <c r="L5" s="2486"/>
      <c r="M5" s="2487"/>
      <c r="N5" s="2487"/>
      <c r="O5" s="2487"/>
      <c r="P5" s="3426"/>
      <c r="Q5" s="3398"/>
      <c r="R5" s="3403"/>
      <c r="S5" s="3404"/>
      <c r="T5" s="3403"/>
      <c r="U5" s="3404"/>
      <c r="V5" s="3377"/>
      <c r="W5" s="3377"/>
      <c r="X5" s="1265"/>
      <c r="Y5" s="3403"/>
      <c r="Z5" s="3404"/>
      <c r="AA5" s="3389"/>
      <c r="AB5" s="3389"/>
      <c r="AC5" s="3422"/>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427"/>
      <c r="Q6" s="3400"/>
      <c r="R6" s="3403"/>
      <c r="S6" s="3404"/>
      <c r="T6" s="3405"/>
      <c r="U6" s="3406"/>
      <c r="V6" s="3377"/>
      <c r="W6" s="3377"/>
      <c r="X6" s="1265"/>
      <c r="Y6" s="3405"/>
      <c r="Z6" s="3406"/>
      <c r="AA6" s="3390"/>
      <c r="AB6" s="3390"/>
      <c r="AC6" s="3423"/>
    </row>
    <row r="7" spans="1:29" s="102" customFormat="1" ht="15" thickBot="1">
      <c r="A7" s="352" t="s">
        <v>1679</v>
      </c>
      <c r="B7" s="353"/>
      <c r="C7" s="354">
        <f>'数据-取费表'!B2</f>
        <v>45792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1"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7"/>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7"/>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5" t="s">
        <v>1691</v>
      </c>
      <c r="Q15" s="1263" t="str">
        <f t="shared" si="6"/>
        <v>办公集聚程度</v>
      </c>
      <c r="R15" s="667" t="s">
        <v>14</v>
      </c>
      <c r="S15" s="668">
        <f t="shared" si="0"/>
        <v>100</v>
      </c>
      <c r="T15" s="667" t="s">
        <v>14</v>
      </c>
      <c r="U15" s="668">
        <f t="shared" si="1"/>
        <v>100</v>
      </c>
      <c r="V15" s="667" t="s">
        <v>14</v>
      </c>
      <c r="W15" s="668">
        <f t="shared" si="2"/>
        <v>100</v>
      </c>
      <c r="X15" s="1265"/>
      <c r="Y15" s="337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6"/>
      <c r="Q16" s="1263"/>
      <c r="R16" s="667"/>
      <c r="S16" s="668"/>
      <c r="T16" s="667"/>
      <c r="U16" s="668"/>
      <c r="V16" s="667"/>
      <c r="W16" s="668"/>
      <c r="X16" s="1265"/>
      <c r="Y16" s="337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6"/>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6"/>
      <c r="Q18" s="1263"/>
      <c r="R18" s="667"/>
      <c r="S18" s="668"/>
      <c r="T18" s="667"/>
      <c r="U18" s="668"/>
      <c r="V18" s="667"/>
      <c r="W18" s="668"/>
      <c r="X18" s="1265"/>
      <c r="Y18" s="337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6"/>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6"/>
      <c r="Q20" s="1263"/>
      <c r="R20" s="667"/>
      <c r="S20" s="668"/>
      <c r="T20" s="667"/>
      <c r="U20" s="668"/>
      <c r="V20" s="667"/>
      <c r="W20" s="668"/>
      <c r="X20" s="1265"/>
      <c r="Y20" s="337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6"/>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6"/>
      <c r="Q22" s="1263"/>
      <c r="R22" s="667"/>
      <c r="S22" s="668"/>
      <c r="T22" s="667"/>
      <c r="U22" s="668"/>
      <c r="V22" s="667"/>
      <c r="W22" s="668"/>
      <c r="X22" s="1265"/>
      <c r="Y22" s="337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6"/>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6"/>
      <c r="Q24" s="1263"/>
      <c r="R24" s="667"/>
      <c r="S24" s="668"/>
      <c r="T24" s="667"/>
      <c r="U24" s="668"/>
      <c r="V24" s="667"/>
      <c r="W24" s="668"/>
      <c r="X24" s="1265"/>
      <c r="Y24" s="337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6"/>
      <c r="Q25" s="1263" t="str">
        <f>B25</f>
        <v>毗邻道路的类型与等级</v>
      </c>
      <c r="R25" s="667" t="s">
        <v>14</v>
      </c>
      <c r="S25" s="668">
        <f>F25</f>
        <v>100</v>
      </c>
      <c r="T25" s="667" t="s">
        <v>14</v>
      </c>
      <c r="U25" s="668">
        <f>H25</f>
        <v>100</v>
      </c>
      <c r="V25" s="667" t="s">
        <v>14</v>
      </c>
      <c r="W25" s="668">
        <f>J25</f>
        <v>100</v>
      </c>
      <c r="X25" s="1265"/>
      <c r="Y25" s="337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6"/>
      <c r="Q26" s="1263"/>
      <c r="R26" s="667"/>
      <c r="S26" s="668"/>
      <c r="T26" s="667"/>
      <c r="U26" s="668"/>
      <c r="V26" s="667"/>
      <c r="W26" s="668"/>
      <c r="X26" s="1265"/>
      <c r="Y26" s="337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6"/>
      <c r="Q27" s="1263" t="str">
        <f t="shared" ref="Q27:Q47" si="11">B27</f>
        <v>楼层</v>
      </c>
      <c r="R27" s="667" t="s">
        <v>14</v>
      </c>
      <c r="S27" s="668">
        <f>F27</f>
        <v>100</v>
      </c>
      <c r="T27" s="667" t="s">
        <v>14</v>
      </c>
      <c r="U27" s="668">
        <f>H27</f>
        <v>100</v>
      </c>
      <c r="V27" s="667" t="s">
        <v>14</v>
      </c>
      <c r="W27" s="668">
        <f>J27</f>
        <v>100</v>
      </c>
      <c r="X27" s="1265"/>
      <c r="Y27" s="337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6"/>
      <c r="Q28" s="530" t="str">
        <f t="shared" si="11"/>
        <v>朝向</v>
      </c>
      <c r="R28" s="664" t="s">
        <v>14</v>
      </c>
      <c r="S28" s="665">
        <f>F28</f>
        <v>100</v>
      </c>
      <c r="T28" s="664" t="s">
        <v>14</v>
      </c>
      <c r="U28" s="665">
        <f>H28</f>
        <v>100</v>
      </c>
      <c r="V28" s="664" t="s">
        <v>14</v>
      </c>
      <c r="W28" s="665">
        <f>J28</f>
        <v>100</v>
      </c>
      <c r="X28" s="666"/>
      <c r="Y28" s="337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6"/>
      <c r="Q29" s="1263">
        <f t="shared" si="11"/>
        <v>111</v>
      </c>
      <c r="R29" s="667" t="s">
        <v>14</v>
      </c>
      <c r="S29" s="668">
        <f t="shared" ref="S29:S47" si="12">F29</f>
        <v>100</v>
      </c>
      <c r="T29" s="667" t="s">
        <v>14</v>
      </c>
      <c r="U29" s="668">
        <f t="shared" ref="U29:U47" si="13">H29</f>
        <v>100</v>
      </c>
      <c r="V29" s="667" t="s">
        <v>14</v>
      </c>
      <c r="W29" s="668">
        <f t="shared" ref="W29:W47" si="14">J29</f>
        <v>100</v>
      </c>
      <c r="X29" s="1265"/>
      <c r="Y29" s="337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6"/>
      <c r="Q30" s="1263">
        <f t="shared" si="11"/>
        <v>111</v>
      </c>
      <c r="R30" s="667" t="s">
        <v>14</v>
      </c>
      <c r="S30" s="668">
        <f t="shared" si="12"/>
        <v>100</v>
      </c>
      <c r="T30" s="667" t="s">
        <v>14</v>
      </c>
      <c r="U30" s="668">
        <f t="shared" si="13"/>
        <v>100</v>
      </c>
      <c r="V30" s="667" t="s">
        <v>14</v>
      </c>
      <c r="W30" s="668">
        <f t="shared" si="14"/>
        <v>100</v>
      </c>
      <c r="X30" s="1265"/>
      <c r="Y30" s="337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6"/>
      <c r="Q31" s="1263">
        <f t="shared" si="11"/>
        <v>111</v>
      </c>
      <c r="R31" s="667" t="s">
        <v>14</v>
      </c>
      <c r="S31" s="668">
        <f t="shared" si="12"/>
        <v>100</v>
      </c>
      <c r="T31" s="667" t="s">
        <v>14</v>
      </c>
      <c r="U31" s="668">
        <f t="shared" si="13"/>
        <v>100</v>
      </c>
      <c r="V31" s="667" t="s">
        <v>14</v>
      </c>
      <c r="W31" s="668">
        <f t="shared" si="14"/>
        <v>100</v>
      </c>
      <c r="X31" s="1265"/>
      <c r="Y31" s="337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6"/>
      <c r="Q32" s="1263">
        <f t="shared" si="11"/>
        <v>111</v>
      </c>
      <c r="R32" s="667" t="s">
        <v>14</v>
      </c>
      <c r="S32" s="668">
        <f t="shared" si="12"/>
        <v>100</v>
      </c>
      <c r="T32" s="667" t="s">
        <v>14</v>
      </c>
      <c r="U32" s="668">
        <f t="shared" si="13"/>
        <v>100</v>
      </c>
      <c r="V32" s="667" t="s">
        <v>14</v>
      </c>
      <c r="W32" s="668">
        <f t="shared" si="14"/>
        <v>100</v>
      </c>
      <c r="X32" s="1265"/>
      <c r="Y32" s="337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0" t="s">
        <v>1696</v>
      </c>
      <c r="Q33" s="1263" t="str">
        <f t="shared" si="11"/>
        <v>建筑类型</v>
      </c>
      <c r="R33" s="667" t="s">
        <v>14</v>
      </c>
      <c r="S33" s="668">
        <f t="shared" si="12"/>
        <v>100</v>
      </c>
      <c r="T33" s="667" t="s">
        <v>14</v>
      </c>
      <c r="U33" s="668">
        <f t="shared" si="13"/>
        <v>100</v>
      </c>
      <c r="V33" s="667" t="s">
        <v>14</v>
      </c>
      <c r="W33" s="668">
        <f t="shared" si="14"/>
        <v>100</v>
      </c>
      <c r="X33" s="1265"/>
      <c r="Y33" s="338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1"/>
      <c r="Q34" s="531" t="str">
        <f t="shared" si="11"/>
        <v>项目建筑规模</v>
      </c>
      <c r="R34" s="669" t="s">
        <v>14</v>
      </c>
      <c r="S34" s="670" t="e">
        <f t="shared" si="12"/>
        <v>#N/A</v>
      </c>
      <c r="T34" s="669" t="s">
        <v>14</v>
      </c>
      <c r="U34" s="670" t="e">
        <f t="shared" si="13"/>
        <v>#N/A</v>
      </c>
      <c r="V34" s="669" t="s">
        <v>14</v>
      </c>
      <c r="W34" s="670" t="e">
        <f t="shared" si="14"/>
        <v>#N/A</v>
      </c>
      <c r="X34" s="671"/>
      <c r="Y34" s="338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1"/>
      <c r="Q35" s="1263" t="str">
        <f t="shared" si="11"/>
        <v>建筑结构</v>
      </c>
      <c r="R35" s="667" t="s">
        <v>14</v>
      </c>
      <c r="S35" s="668">
        <f t="shared" si="12"/>
        <v>100</v>
      </c>
      <c r="T35" s="667" t="s">
        <v>14</v>
      </c>
      <c r="U35" s="668">
        <f t="shared" si="13"/>
        <v>100</v>
      </c>
      <c r="V35" s="667" t="s">
        <v>14</v>
      </c>
      <c r="W35" s="668">
        <f t="shared" si="14"/>
        <v>100</v>
      </c>
      <c r="X35" s="1265"/>
      <c r="Y35" s="338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1"/>
      <c r="Q36" s="1263" t="str">
        <f t="shared" si="11"/>
        <v>公共部分装修</v>
      </c>
      <c r="R36" s="667" t="s">
        <v>14</v>
      </c>
      <c r="S36" s="668">
        <f t="shared" si="12"/>
        <v>100</v>
      </c>
      <c r="T36" s="667" t="s">
        <v>14</v>
      </c>
      <c r="U36" s="668">
        <f t="shared" si="13"/>
        <v>100</v>
      </c>
      <c r="V36" s="667" t="s">
        <v>14</v>
      </c>
      <c r="W36" s="668">
        <f t="shared" si="14"/>
        <v>100</v>
      </c>
      <c r="X36" s="1265"/>
      <c r="Y36" s="338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1"/>
      <c r="Q37" s="1263" t="str">
        <f t="shared" si="11"/>
        <v>成新度</v>
      </c>
      <c r="R37" s="667" t="s">
        <v>14</v>
      </c>
      <c r="S37" s="668" t="e">
        <f t="shared" si="12"/>
        <v>#N/A</v>
      </c>
      <c r="T37" s="667" t="s">
        <v>14</v>
      </c>
      <c r="U37" s="668" t="e">
        <f t="shared" si="13"/>
        <v>#N/A</v>
      </c>
      <c r="V37" s="667" t="s">
        <v>14</v>
      </c>
      <c r="W37" s="668" t="e">
        <f t="shared" si="14"/>
        <v>#N/A</v>
      </c>
      <c r="X37" s="1265"/>
      <c r="Y37" s="338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1"/>
      <c r="Q38" s="530" t="str">
        <f t="shared" si="11"/>
        <v>写字楼等级</v>
      </c>
      <c r="R38" s="664" t="s">
        <v>14</v>
      </c>
      <c r="S38" s="665">
        <f t="shared" si="12"/>
        <v>100</v>
      </c>
      <c r="T38" s="664" t="s">
        <v>14</v>
      </c>
      <c r="U38" s="665">
        <f t="shared" si="13"/>
        <v>100</v>
      </c>
      <c r="V38" s="664" t="s">
        <v>14</v>
      </c>
      <c r="W38" s="665">
        <f t="shared" si="14"/>
        <v>100</v>
      </c>
      <c r="X38" s="666"/>
      <c r="Y38" s="338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1" t="s">
        <v>1696</v>
      </c>
      <c r="Q39" s="1263" t="str">
        <f t="shared" si="11"/>
        <v>物业管理</v>
      </c>
      <c r="R39" s="667" t="s">
        <v>14</v>
      </c>
      <c r="S39" s="668">
        <f t="shared" si="12"/>
        <v>100</v>
      </c>
      <c r="T39" s="667" t="s">
        <v>14</v>
      </c>
      <c r="U39" s="668">
        <f t="shared" si="13"/>
        <v>100</v>
      </c>
      <c r="V39" s="667" t="s">
        <v>14</v>
      </c>
      <c r="W39" s="668">
        <f t="shared" si="14"/>
        <v>100</v>
      </c>
      <c r="X39" s="1265"/>
      <c r="Y39" s="338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1"/>
      <c r="Q40" s="1263" t="str">
        <f t="shared" si="11"/>
        <v>市政基础设施</v>
      </c>
      <c r="R40" s="667" t="s">
        <v>14</v>
      </c>
      <c r="S40" s="668">
        <f t="shared" si="12"/>
        <v>100</v>
      </c>
      <c r="T40" s="667" t="s">
        <v>14</v>
      </c>
      <c r="U40" s="668">
        <f t="shared" si="13"/>
        <v>100</v>
      </c>
      <c r="V40" s="667" t="s">
        <v>14</v>
      </c>
      <c r="W40" s="668">
        <f t="shared" si="14"/>
        <v>100</v>
      </c>
      <c r="X40" s="1265"/>
      <c r="Y40" s="338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1"/>
      <c r="Q41" s="1263" t="str">
        <f t="shared" si="11"/>
        <v>层高</v>
      </c>
      <c r="R41" s="667" t="s">
        <v>14</v>
      </c>
      <c r="S41" s="668">
        <f t="shared" si="12"/>
        <v>100</v>
      </c>
      <c r="T41" s="667" t="s">
        <v>14</v>
      </c>
      <c r="U41" s="668">
        <f t="shared" si="13"/>
        <v>100</v>
      </c>
      <c r="V41" s="667" t="s">
        <v>14</v>
      </c>
      <c r="W41" s="668">
        <f t="shared" si="14"/>
        <v>100</v>
      </c>
      <c r="X41" s="1265"/>
      <c r="Y41" s="338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1"/>
      <c r="Q42" s="531" t="str">
        <f t="shared" si="11"/>
        <v>单套建筑面积</v>
      </c>
      <c r="R42" s="669" t="s">
        <v>14</v>
      </c>
      <c r="S42" s="670">
        <f t="shared" si="12"/>
        <v>100</v>
      </c>
      <c r="T42" s="669" t="s">
        <v>14</v>
      </c>
      <c r="U42" s="670">
        <f t="shared" si="13"/>
        <v>100</v>
      </c>
      <c r="V42" s="669" t="s">
        <v>14</v>
      </c>
      <c r="W42" s="670">
        <f t="shared" si="14"/>
        <v>100</v>
      </c>
      <c r="X42" s="671"/>
      <c r="Y42" s="338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1"/>
      <c r="Q43" s="1263" t="str">
        <f t="shared" si="11"/>
        <v>内部装修</v>
      </c>
      <c r="R43" s="667" t="s">
        <v>14</v>
      </c>
      <c r="S43" s="668">
        <f t="shared" si="12"/>
        <v>100</v>
      </c>
      <c r="T43" s="667" t="s">
        <v>14</v>
      </c>
      <c r="U43" s="668">
        <f t="shared" si="13"/>
        <v>100</v>
      </c>
      <c r="V43" s="667" t="s">
        <v>14</v>
      </c>
      <c r="W43" s="668">
        <f t="shared" si="14"/>
        <v>100</v>
      </c>
      <c r="X43" s="1265"/>
      <c r="Y43" s="338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1"/>
      <c r="Q44" s="1263" t="str">
        <f t="shared" si="11"/>
        <v>内部装修维护情况</v>
      </c>
      <c r="R44" s="667" t="s">
        <v>14</v>
      </c>
      <c r="S44" s="668">
        <f t="shared" si="12"/>
        <v>100</v>
      </c>
      <c r="T44" s="667" t="s">
        <v>14</v>
      </c>
      <c r="U44" s="668">
        <f t="shared" si="13"/>
        <v>100</v>
      </c>
      <c r="V44" s="667" t="s">
        <v>14</v>
      </c>
      <c r="W44" s="668">
        <f t="shared" si="14"/>
        <v>100</v>
      </c>
      <c r="X44" s="1265"/>
      <c r="Y44" s="338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1"/>
      <c r="Q45" s="530">
        <f t="shared" si="11"/>
        <v>111</v>
      </c>
      <c r="R45" s="664" t="s">
        <v>14</v>
      </c>
      <c r="S45" s="665">
        <f t="shared" si="12"/>
        <v>100</v>
      </c>
      <c r="T45" s="664" t="s">
        <v>14</v>
      </c>
      <c r="U45" s="665">
        <f t="shared" si="13"/>
        <v>100</v>
      </c>
      <c r="V45" s="664" t="s">
        <v>14</v>
      </c>
      <c r="W45" s="665">
        <f t="shared" si="14"/>
        <v>100</v>
      </c>
      <c r="X45" s="666"/>
      <c r="Y45" s="338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2"/>
      <c r="Q47" s="1263">
        <f t="shared" si="11"/>
        <v>111</v>
      </c>
      <c r="R47" s="667" t="s">
        <v>14</v>
      </c>
      <c r="S47" s="668">
        <f t="shared" si="12"/>
        <v>100</v>
      </c>
      <c r="T47" s="667" t="s">
        <v>14</v>
      </c>
      <c r="U47" s="668">
        <f t="shared" si="13"/>
        <v>100</v>
      </c>
      <c r="V47" s="667" t="s">
        <v>14</v>
      </c>
      <c r="W47" s="668">
        <f t="shared" si="14"/>
        <v>100</v>
      </c>
      <c r="X47" s="1265"/>
      <c r="Y47" s="338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7" t="str">
        <f>A48</f>
        <v>成交单价（元/平方米）</v>
      </c>
      <c r="Q48" s="3376"/>
      <c r="R48" s="3377">
        <f>E48</f>
        <v>0</v>
      </c>
      <c r="S48" s="3377"/>
      <c r="T48" s="3377">
        <f>G48</f>
        <v>0</v>
      </c>
      <c r="U48" s="3377"/>
      <c r="V48" s="3377">
        <f>I48</f>
        <v>0</v>
      </c>
      <c r="W48" s="337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7"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196.11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860"/>
      <c r="M5" s="861"/>
      <c r="N5" s="861"/>
      <c r="O5" s="861"/>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860"/>
      <c r="M6" s="861"/>
      <c r="N6" s="861"/>
      <c r="O6" s="861"/>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9"/>
      <c r="Q16" s="1263"/>
      <c r="R16" s="667"/>
      <c r="S16" s="668"/>
      <c r="T16" s="667"/>
      <c r="U16" s="668"/>
      <c r="V16" s="667"/>
      <c r="W16" s="668"/>
      <c r="X16" s="1265"/>
      <c r="Y16" s="337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9"/>
      <c r="Q18" s="1263"/>
      <c r="R18" s="667"/>
      <c r="S18" s="668"/>
      <c r="T18" s="667"/>
      <c r="U18" s="668"/>
      <c r="V18" s="667"/>
      <c r="W18" s="668"/>
      <c r="X18" s="1265"/>
      <c r="Y18" s="337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3" t="str">
        <f>B19</f>
        <v>公共配套设施</v>
      </c>
      <c r="R19" s="667" t="s">
        <v>14</v>
      </c>
      <c r="S19" s="668">
        <f>F19</f>
        <v>100</v>
      </c>
      <c r="T19" s="667" t="s">
        <v>14</v>
      </c>
      <c r="U19" s="668">
        <f>H19</f>
        <v>100</v>
      </c>
      <c r="V19" s="667" t="s">
        <v>14</v>
      </c>
      <c r="W19" s="668">
        <f>J19</f>
        <v>100</v>
      </c>
      <c r="X19" s="1265"/>
      <c r="Y19" s="337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9"/>
      <c r="Q20" s="1263"/>
      <c r="R20" s="667"/>
      <c r="S20" s="668"/>
      <c r="T20" s="667"/>
      <c r="U20" s="668"/>
      <c r="V20" s="667"/>
      <c r="W20" s="668"/>
      <c r="X20" s="1265"/>
      <c r="Y20" s="337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3" t="str">
        <f>B21</f>
        <v>基础设施水平</v>
      </c>
      <c r="R21" s="667" t="s">
        <v>14</v>
      </c>
      <c r="S21" s="668">
        <f>F21</f>
        <v>100</v>
      </c>
      <c r="T21" s="667" t="s">
        <v>14</v>
      </c>
      <c r="U21" s="668">
        <f>H21</f>
        <v>100</v>
      </c>
      <c r="V21" s="667" t="s">
        <v>14</v>
      </c>
      <c r="W21" s="668">
        <f>J21</f>
        <v>100</v>
      </c>
      <c r="X21" s="1265"/>
      <c r="Y21" s="337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9"/>
      <c r="Q22" s="1263"/>
      <c r="R22" s="667"/>
      <c r="S22" s="668"/>
      <c r="T22" s="667"/>
      <c r="U22" s="668"/>
      <c r="V22" s="667"/>
      <c r="W22" s="668"/>
      <c r="X22" s="1265"/>
      <c r="Y22" s="337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3" t="str">
        <f>B23</f>
        <v>环境质量</v>
      </c>
      <c r="R23" s="667" t="s">
        <v>14</v>
      </c>
      <c r="S23" s="668">
        <f>F23</f>
        <v>100</v>
      </c>
      <c r="T23" s="667" t="s">
        <v>14</v>
      </c>
      <c r="U23" s="668">
        <f>H23</f>
        <v>100</v>
      </c>
      <c r="V23" s="667" t="s">
        <v>14</v>
      </c>
      <c r="W23" s="668">
        <f>J23</f>
        <v>100</v>
      </c>
      <c r="X23" s="1265"/>
      <c r="Y23" s="337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9"/>
      <c r="Q24" s="1263"/>
      <c r="R24" s="667"/>
      <c r="S24" s="668"/>
      <c r="T24" s="667"/>
      <c r="U24" s="668"/>
      <c r="V24" s="667"/>
      <c r="W24" s="668"/>
      <c r="X24" s="1265"/>
      <c r="Y24" s="337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3">
        <f>B25</f>
        <v>111</v>
      </c>
      <c r="R25" s="667" t="s">
        <v>14</v>
      </c>
      <c r="S25" s="668">
        <f>F25</f>
        <v>100</v>
      </c>
      <c r="T25" s="667" t="s">
        <v>14</v>
      </c>
      <c r="U25" s="668">
        <f>H25</f>
        <v>100</v>
      </c>
      <c r="V25" s="667" t="s">
        <v>14</v>
      </c>
      <c r="W25" s="668">
        <f>J25</f>
        <v>100</v>
      </c>
      <c r="X25" s="1265"/>
      <c r="Y25" s="337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3">
        <f t="shared" ref="Q26:Q40" si="11">B26</f>
        <v>111</v>
      </c>
      <c r="R26" s="667" t="s">
        <v>14</v>
      </c>
      <c r="S26" s="668">
        <f>F26</f>
        <v>100</v>
      </c>
      <c r="T26" s="667" t="s">
        <v>14</v>
      </c>
      <c r="U26" s="668">
        <f>H26</f>
        <v>100</v>
      </c>
      <c r="V26" s="667" t="s">
        <v>14</v>
      </c>
      <c r="W26" s="668">
        <f>J26</f>
        <v>100</v>
      </c>
      <c r="X26" s="1265"/>
      <c r="Y26" s="337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3">
        <f t="shared" si="11"/>
        <v>111</v>
      </c>
      <c r="R28" s="667" t="s">
        <v>14</v>
      </c>
      <c r="S28" s="668">
        <f t="shared" ref="S28:S40" si="12">F28</f>
        <v>100</v>
      </c>
      <c r="T28" s="667" t="s">
        <v>14</v>
      </c>
      <c r="U28" s="668">
        <f t="shared" ref="U28:U40" si="13">H28</f>
        <v>100</v>
      </c>
      <c r="V28" s="667" t="s">
        <v>14</v>
      </c>
      <c r="W28" s="668">
        <f t="shared" ref="W28:W40" si="14">J28</f>
        <v>100</v>
      </c>
      <c r="X28" s="1265"/>
      <c r="Y28" s="337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3" t="s">
        <v>1696</v>
      </c>
      <c r="Q29" s="1263" t="str">
        <f t="shared" si="11"/>
        <v>建筑类型</v>
      </c>
      <c r="R29" s="667" t="s">
        <v>14</v>
      </c>
      <c r="S29" s="668">
        <f t="shared" si="12"/>
        <v>100</v>
      </c>
      <c r="T29" s="667" t="s">
        <v>14</v>
      </c>
      <c r="U29" s="668">
        <f t="shared" si="13"/>
        <v>100</v>
      </c>
      <c r="V29" s="667" t="s">
        <v>14</v>
      </c>
      <c r="W29" s="668">
        <f t="shared" si="14"/>
        <v>100</v>
      </c>
      <c r="X29" s="1265"/>
      <c r="Y29" s="338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3"/>
      <c r="Q30" s="531" t="str">
        <f t="shared" si="11"/>
        <v>项目建筑规模</v>
      </c>
      <c r="R30" s="669" t="s">
        <v>14</v>
      </c>
      <c r="S30" s="670" t="e">
        <f t="shared" si="12"/>
        <v>#N/A</v>
      </c>
      <c r="T30" s="669" t="s">
        <v>14</v>
      </c>
      <c r="U30" s="670" t="e">
        <f t="shared" si="13"/>
        <v>#N/A</v>
      </c>
      <c r="V30" s="669" t="s">
        <v>14</v>
      </c>
      <c r="W30" s="670" t="e">
        <f t="shared" si="14"/>
        <v>#N/A</v>
      </c>
      <c r="X30" s="671"/>
      <c r="Y30" s="338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3"/>
      <c r="Q31" s="1263" t="str">
        <f t="shared" si="11"/>
        <v>建筑结构</v>
      </c>
      <c r="R31" s="667" t="s">
        <v>14</v>
      </c>
      <c r="S31" s="668">
        <f t="shared" si="12"/>
        <v>100</v>
      </c>
      <c r="T31" s="667" t="s">
        <v>14</v>
      </c>
      <c r="U31" s="668">
        <f t="shared" si="13"/>
        <v>100</v>
      </c>
      <c r="V31" s="667" t="s">
        <v>14</v>
      </c>
      <c r="W31" s="668">
        <f t="shared" si="14"/>
        <v>100</v>
      </c>
      <c r="X31" s="1265"/>
      <c r="Y31" s="338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3"/>
      <c r="Q32" s="1263" t="str">
        <f t="shared" si="11"/>
        <v>公共部分装修</v>
      </c>
      <c r="R32" s="667" t="s">
        <v>14</v>
      </c>
      <c r="S32" s="668">
        <f t="shared" si="12"/>
        <v>100</v>
      </c>
      <c r="T32" s="667" t="s">
        <v>14</v>
      </c>
      <c r="U32" s="668">
        <f t="shared" si="13"/>
        <v>100</v>
      </c>
      <c r="V32" s="667" t="s">
        <v>14</v>
      </c>
      <c r="W32" s="668">
        <f t="shared" si="14"/>
        <v>100</v>
      </c>
      <c r="X32" s="1265"/>
      <c r="Y32" s="338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3"/>
      <c r="Q33" s="1263" t="str">
        <f t="shared" si="11"/>
        <v>成新度</v>
      </c>
      <c r="R33" s="667" t="s">
        <v>14</v>
      </c>
      <c r="S33" s="668" t="e">
        <f t="shared" si="12"/>
        <v>#N/A</v>
      </c>
      <c r="T33" s="667" t="s">
        <v>14</v>
      </c>
      <c r="U33" s="668" t="e">
        <f t="shared" si="13"/>
        <v>#N/A</v>
      </c>
      <c r="V33" s="667" t="s">
        <v>14</v>
      </c>
      <c r="W33" s="668" t="e">
        <f t="shared" si="14"/>
        <v>#N/A</v>
      </c>
      <c r="X33" s="1265"/>
      <c r="Y33" s="338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3"/>
      <c r="Q34" s="530" t="str">
        <f t="shared" si="11"/>
        <v>物业管理</v>
      </c>
      <c r="R34" s="664" t="s">
        <v>14</v>
      </c>
      <c r="S34" s="665">
        <f t="shared" si="12"/>
        <v>100</v>
      </c>
      <c r="T34" s="664" t="s">
        <v>14</v>
      </c>
      <c r="U34" s="665">
        <f t="shared" si="13"/>
        <v>100</v>
      </c>
      <c r="V34" s="664" t="s">
        <v>14</v>
      </c>
      <c r="W34" s="665">
        <f t="shared" si="14"/>
        <v>100</v>
      </c>
      <c r="X34" s="666"/>
      <c r="Y34" s="338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3" t="s">
        <v>1696</v>
      </c>
      <c r="Q35" s="1263" t="str">
        <f t="shared" si="11"/>
        <v>市政基础设施</v>
      </c>
      <c r="R35" s="667" t="s">
        <v>14</v>
      </c>
      <c r="S35" s="668">
        <f t="shared" si="12"/>
        <v>100</v>
      </c>
      <c r="T35" s="667" t="s">
        <v>14</v>
      </c>
      <c r="U35" s="668">
        <f t="shared" si="13"/>
        <v>100</v>
      </c>
      <c r="V35" s="667" t="s">
        <v>14</v>
      </c>
      <c r="W35" s="668">
        <f t="shared" si="14"/>
        <v>100</v>
      </c>
      <c r="X35" s="1265"/>
      <c r="Y35" s="338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3"/>
      <c r="Q36" s="1263" t="str">
        <f t="shared" si="11"/>
        <v>内部装修</v>
      </c>
      <c r="R36" s="667" t="s">
        <v>14</v>
      </c>
      <c r="S36" s="668">
        <f t="shared" si="12"/>
        <v>100</v>
      </c>
      <c r="T36" s="667" t="s">
        <v>14</v>
      </c>
      <c r="U36" s="668">
        <f t="shared" si="13"/>
        <v>100</v>
      </c>
      <c r="V36" s="667" t="s">
        <v>14</v>
      </c>
      <c r="W36" s="668">
        <f t="shared" si="14"/>
        <v>100</v>
      </c>
      <c r="X36" s="1265"/>
      <c r="Y36" s="338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3"/>
      <c r="Q37" s="1263" t="str">
        <f t="shared" si="11"/>
        <v>内部装修状况</v>
      </c>
      <c r="R37" s="667" t="s">
        <v>14</v>
      </c>
      <c r="S37" s="668">
        <f t="shared" si="12"/>
        <v>100</v>
      </c>
      <c r="T37" s="667" t="s">
        <v>14</v>
      </c>
      <c r="U37" s="668">
        <f t="shared" si="13"/>
        <v>100</v>
      </c>
      <c r="V37" s="667" t="s">
        <v>14</v>
      </c>
      <c r="W37" s="668">
        <f t="shared" si="14"/>
        <v>100</v>
      </c>
      <c r="X37" s="1265"/>
      <c r="Y37" s="338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3"/>
      <c r="Q38" s="531">
        <f t="shared" si="11"/>
        <v>111</v>
      </c>
      <c r="R38" s="669" t="s">
        <v>14</v>
      </c>
      <c r="S38" s="670">
        <f t="shared" si="12"/>
        <v>100</v>
      </c>
      <c r="T38" s="669" t="s">
        <v>14</v>
      </c>
      <c r="U38" s="670">
        <f t="shared" si="13"/>
        <v>100</v>
      </c>
      <c r="V38" s="669" t="s">
        <v>14</v>
      </c>
      <c r="W38" s="670">
        <f t="shared" si="14"/>
        <v>100</v>
      </c>
      <c r="X38" s="671"/>
      <c r="Y38" s="338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3"/>
      <c r="Q39" s="1263">
        <f t="shared" si="11"/>
        <v>111</v>
      </c>
      <c r="R39" s="667" t="s">
        <v>14</v>
      </c>
      <c r="S39" s="668">
        <f t="shared" si="12"/>
        <v>100</v>
      </c>
      <c r="T39" s="667" t="s">
        <v>14</v>
      </c>
      <c r="U39" s="668">
        <f t="shared" si="13"/>
        <v>100</v>
      </c>
      <c r="V39" s="667" t="s">
        <v>14</v>
      </c>
      <c r="W39" s="668">
        <f t="shared" si="14"/>
        <v>100</v>
      </c>
      <c r="X39" s="1265"/>
      <c r="Y39" s="338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4"/>
      <c r="Q40" s="1263">
        <f t="shared" si="11"/>
        <v>111</v>
      </c>
      <c r="R40" s="667" t="s">
        <v>14</v>
      </c>
      <c r="S40" s="668">
        <f t="shared" si="12"/>
        <v>100</v>
      </c>
      <c r="T40" s="667" t="s">
        <v>14</v>
      </c>
      <c r="U40" s="668">
        <f t="shared" si="13"/>
        <v>100</v>
      </c>
      <c r="V40" s="667" t="s">
        <v>14</v>
      </c>
      <c r="W40" s="668">
        <f t="shared" si="14"/>
        <v>100</v>
      </c>
      <c r="X40" s="1265"/>
      <c r="Y40" s="338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9"/>
      <c r="Q15" s="1263"/>
      <c r="R15" s="667"/>
      <c r="S15" s="668"/>
      <c r="T15" s="667"/>
      <c r="U15" s="668"/>
      <c r="V15" s="667"/>
      <c r="W15" s="668"/>
      <c r="X15" s="1265"/>
      <c r="Y15" s="337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9"/>
      <c r="Q17" s="1263"/>
      <c r="R17" s="667"/>
      <c r="S17" s="668"/>
      <c r="T17" s="667"/>
      <c r="U17" s="668"/>
      <c r="V17" s="667"/>
      <c r="W17" s="668"/>
      <c r="X17" s="1265"/>
      <c r="Y17" s="337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9"/>
      <c r="Q19" s="1263"/>
      <c r="R19" s="667"/>
      <c r="S19" s="668"/>
      <c r="T19" s="667"/>
      <c r="U19" s="668"/>
      <c r="V19" s="667"/>
      <c r="W19" s="668"/>
      <c r="X19" s="1265"/>
      <c r="Y19" s="337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9"/>
      <c r="Q21" s="1263"/>
      <c r="R21" s="667"/>
      <c r="S21" s="668"/>
      <c r="T21" s="667"/>
      <c r="U21" s="668"/>
      <c r="V21" s="667"/>
      <c r="W21" s="668"/>
      <c r="X21" s="1265"/>
      <c r="Y21" s="337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9"/>
      <c r="Q24" s="1263">
        <f t="shared" ref="Q24:Q36"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3"/>
      <c r="Q27" s="531" t="str">
        <f t="shared" si="11"/>
        <v>项目停车位配比</v>
      </c>
      <c r="R27" s="669" t="s">
        <v>14</v>
      </c>
      <c r="S27" s="670">
        <f t="shared" si="12"/>
        <v>100</v>
      </c>
      <c r="T27" s="669" t="s">
        <v>14</v>
      </c>
      <c r="U27" s="670">
        <f t="shared" si="13"/>
        <v>100</v>
      </c>
      <c r="V27" s="669" t="s">
        <v>14</v>
      </c>
      <c r="W27" s="670">
        <f t="shared" si="14"/>
        <v>100</v>
      </c>
      <c r="X27" s="671"/>
      <c r="Y27" s="338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3"/>
      <c r="Q28" s="1263" t="str">
        <f t="shared" si="11"/>
        <v>公共部分装修</v>
      </c>
      <c r="R28" s="667" t="s">
        <v>14</v>
      </c>
      <c r="S28" s="668">
        <f t="shared" si="12"/>
        <v>100</v>
      </c>
      <c r="T28" s="667" t="s">
        <v>14</v>
      </c>
      <c r="U28" s="668">
        <f t="shared" si="13"/>
        <v>100</v>
      </c>
      <c r="V28" s="667" t="s">
        <v>14</v>
      </c>
      <c r="W28" s="668">
        <f t="shared" si="14"/>
        <v>100</v>
      </c>
      <c r="X28" s="1265"/>
      <c r="Y28" s="338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3"/>
      <c r="Q29" s="1263" t="str">
        <f t="shared" si="11"/>
        <v>成新率</v>
      </c>
      <c r="R29" s="667" t="s">
        <v>14</v>
      </c>
      <c r="S29" s="668" t="e">
        <f t="shared" si="12"/>
        <v>#N/A</v>
      </c>
      <c r="T29" s="667" t="s">
        <v>14</v>
      </c>
      <c r="U29" s="668" t="e">
        <f t="shared" si="13"/>
        <v>#N/A</v>
      </c>
      <c r="V29" s="667" t="s">
        <v>14</v>
      </c>
      <c r="W29" s="668" t="e">
        <f t="shared" si="14"/>
        <v>#N/A</v>
      </c>
      <c r="X29" s="1265"/>
      <c r="Y29" s="338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3"/>
      <c r="Q30" s="1263" t="str">
        <f t="shared" si="11"/>
        <v>物业等级</v>
      </c>
      <c r="R30" s="667" t="s">
        <v>14</v>
      </c>
      <c r="S30" s="668">
        <f t="shared" si="12"/>
        <v>100</v>
      </c>
      <c r="T30" s="667" t="s">
        <v>14</v>
      </c>
      <c r="U30" s="668">
        <f t="shared" si="13"/>
        <v>100</v>
      </c>
      <c r="V30" s="667" t="s">
        <v>14</v>
      </c>
      <c r="W30" s="668">
        <f t="shared" si="14"/>
        <v>100</v>
      </c>
      <c r="X30" s="1265"/>
      <c r="Y30" s="338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3"/>
      <c r="Q31" s="530" t="str">
        <f t="shared" si="11"/>
        <v>停车位面积</v>
      </c>
      <c r="R31" s="664" t="s">
        <v>14</v>
      </c>
      <c r="S31" s="665" t="e">
        <f t="shared" si="12"/>
        <v>#N/A</v>
      </c>
      <c r="T31" s="664" t="s">
        <v>14</v>
      </c>
      <c r="U31" s="665" t="e">
        <f t="shared" si="13"/>
        <v>#N/A</v>
      </c>
      <c r="V31" s="664" t="s">
        <v>14</v>
      </c>
      <c r="W31" s="665" t="e">
        <f t="shared" si="14"/>
        <v>#N/A</v>
      </c>
      <c r="X31" s="666"/>
      <c r="Y31" s="338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3" t="s">
        <v>1696</v>
      </c>
      <c r="Q32" s="1263" t="str">
        <f t="shared" si="11"/>
        <v>车位类型</v>
      </c>
      <c r="R32" s="667" t="s">
        <v>14</v>
      </c>
      <c r="S32" s="668">
        <f t="shared" si="12"/>
        <v>100</v>
      </c>
      <c r="T32" s="667" t="s">
        <v>14</v>
      </c>
      <c r="U32" s="668">
        <f t="shared" si="13"/>
        <v>100</v>
      </c>
      <c r="V32" s="667" t="s">
        <v>14</v>
      </c>
      <c r="W32" s="668">
        <f t="shared" si="14"/>
        <v>100</v>
      </c>
      <c r="X32" s="1265"/>
      <c r="Y32" s="338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3"/>
      <c r="Q33" s="1263" t="str">
        <f t="shared" si="11"/>
        <v>是否直接入户</v>
      </c>
      <c r="R33" s="667" t="s">
        <v>14</v>
      </c>
      <c r="S33" s="668">
        <f t="shared" si="12"/>
        <v>100</v>
      </c>
      <c r="T33" s="667" t="s">
        <v>14</v>
      </c>
      <c r="U33" s="668">
        <f t="shared" si="13"/>
        <v>100</v>
      </c>
      <c r="V33" s="667" t="s">
        <v>14</v>
      </c>
      <c r="W33" s="668">
        <f t="shared" si="14"/>
        <v>100</v>
      </c>
      <c r="X33" s="1265"/>
      <c r="Y33" s="338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3"/>
      <c r="Q35" s="531">
        <f t="shared" si="11"/>
        <v>111</v>
      </c>
      <c r="R35" s="669" t="s">
        <v>14</v>
      </c>
      <c r="S35" s="670">
        <f t="shared" si="12"/>
        <v>100</v>
      </c>
      <c r="T35" s="669" t="s">
        <v>14</v>
      </c>
      <c r="U35" s="670">
        <f t="shared" si="13"/>
        <v>100</v>
      </c>
      <c r="V35" s="669" t="s">
        <v>14</v>
      </c>
      <c r="W35" s="670">
        <f t="shared" si="14"/>
        <v>100</v>
      </c>
      <c r="X35" s="671"/>
      <c r="Y35" s="338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3"/>
      <c r="Q36" s="1263">
        <f t="shared" si="11"/>
        <v>111</v>
      </c>
      <c r="R36" s="667" t="s">
        <v>14</v>
      </c>
      <c r="S36" s="668">
        <f t="shared" si="12"/>
        <v>100</v>
      </c>
      <c r="T36" s="667" t="s">
        <v>14</v>
      </c>
      <c r="U36" s="668">
        <f t="shared" si="13"/>
        <v>100</v>
      </c>
      <c r="V36" s="667" t="s">
        <v>14</v>
      </c>
      <c r="W36" s="668">
        <f t="shared" si="14"/>
        <v>100</v>
      </c>
      <c r="X36" s="1265"/>
      <c r="Y36" s="338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3" t="str">
        <f>A39</f>
        <v>估价对象XX用房的比较价值（楼面单价，元/平方米）</v>
      </c>
      <c r="Q39" s="3374"/>
      <c r="R39" s="3434" t="e">
        <f>IF(F1="售价",ROUND(IF(D38="简单平均",AVERAGE(R38:W38),R38*F38+T38*H38+V38*J38),0),ROUND(IF(D38="简单平均",AVERAGE(R38:V38),R38*F38+T38*H38+V38*J38),1))</f>
        <v>#DIV/0!</v>
      </c>
      <c r="S39" s="3434"/>
      <c r="T39" s="3434"/>
      <c r="U39" s="3434"/>
      <c r="V39" s="3434"/>
      <c r="W39" s="343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1" t="s">
        <v>1680</v>
      </c>
      <c r="Q7" s="3413"/>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8" t="s">
        <v>1691</v>
      </c>
      <c r="Q14" s="1263" t="str">
        <f t="shared" si="6"/>
        <v>交通便捷度</v>
      </c>
      <c r="R14" s="667" t="s">
        <v>14</v>
      </c>
      <c r="S14" s="668">
        <f t="shared" si="0"/>
        <v>100</v>
      </c>
      <c r="T14" s="667" t="s">
        <v>14</v>
      </c>
      <c r="U14" s="668">
        <f t="shared" si="1"/>
        <v>100</v>
      </c>
      <c r="V14" s="667" t="s">
        <v>14</v>
      </c>
      <c r="W14" s="668">
        <f t="shared" si="2"/>
        <v>100</v>
      </c>
      <c r="X14" s="1265"/>
      <c r="Y14" s="337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9"/>
      <c r="Q15" s="1263"/>
      <c r="R15" s="667"/>
      <c r="S15" s="668"/>
      <c r="T15" s="667"/>
      <c r="U15" s="668"/>
      <c r="V15" s="667"/>
      <c r="W15" s="668"/>
      <c r="X15" s="1265"/>
      <c r="Y15" s="337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9"/>
      <c r="Q16" s="1263" t="str">
        <f>B16</f>
        <v>公共配套设施</v>
      </c>
      <c r="R16" s="667" t="s">
        <v>14</v>
      </c>
      <c r="S16" s="668">
        <f>F16</f>
        <v>100</v>
      </c>
      <c r="T16" s="667" t="s">
        <v>14</v>
      </c>
      <c r="U16" s="668">
        <f>H16</f>
        <v>100</v>
      </c>
      <c r="V16" s="667" t="s">
        <v>14</v>
      </c>
      <c r="W16" s="668">
        <f>J16</f>
        <v>100</v>
      </c>
      <c r="X16" s="1265"/>
      <c r="Y16" s="337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9"/>
      <c r="Q17" s="1263"/>
      <c r="R17" s="667"/>
      <c r="S17" s="668"/>
      <c r="T17" s="667"/>
      <c r="U17" s="668"/>
      <c r="V17" s="667"/>
      <c r="W17" s="668"/>
      <c r="X17" s="1265"/>
      <c r="Y17" s="337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9"/>
      <c r="Q18" s="1263" t="str">
        <f>B18</f>
        <v>基础设施水平</v>
      </c>
      <c r="R18" s="667" t="s">
        <v>14</v>
      </c>
      <c r="S18" s="668">
        <f>F18</f>
        <v>100</v>
      </c>
      <c r="T18" s="667" t="s">
        <v>14</v>
      </c>
      <c r="U18" s="668">
        <f>H18</f>
        <v>100</v>
      </c>
      <c r="V18" s="667" t="s">
        <v>14</v>
      </c>
      <c r="W18" s="668">
        <f>J18</f>
        <v>100</v>
      </c>
      <c r="X18" s="1265"/>
      <c r="Y18" s="337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9"/>
      <c r="Q19" s="1263"/>
      <c r="R19" s="667"/>
      <c r="S19" s="668"/>
      <c r="T19" s="667"/>
      <c r="U19" s="668"/>
      <c r="V19" s="667"/>
      <c r="W19" s="668"/>
      <c r="X19" s="1265"/>
      <c r="Y19" s="337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9"/>
      <c r="Q20" s="1263" t="str">
        <f>B20</f>
        <v>自然及人文环境</v>
      </c>
      <c r="R20" s="667" t="s">
        <v>14</v>
      </c>
      <c r="S20" s="668">
        <f>F20</f>
        <v>100</v>
      </c>
      <c r="T20" s="667" t="s">
        <v>14</v>
      </c>
      <c r="U20" s="668">
        <f>H20</f>
        <v>100</v>
      </c>
      <c r="V20" s="667" t="s">
        <v>14</v>
      </c>
      <c r="W20" s="668">
        <f>J20</f>
        <v>100</v>
      </c>
      <c r="X20" s="1265"/>
      <c r="Y20" s="337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9"/>
      <c r="Q21" s="1263"/>
      <c r="R21" s="667"/>
      <c r="S21" s="668"/>
      <c r="T21" s="667"/>
      <c r="U21" s="668"/>
      <c r="V21" s="667"/>
      <c r="W21" s="668"/>
      <c r="X21" s="1265"/>
      <c r="Y21" s="337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9"/>
      <c r="Q22" s="1263" t="str">
        <f>B22</f>
        <v>楼层</v>
      </c>
      <c r="R22" s="667" t="s">
        <v>14</v>
      </c>
      <c r="S22" s="668">
        <f>F22</f>
        <v>100</v>
      </c>
      <c r="T22" s="667" t="s">
        <v>14</v>
      </c>
      <c r="U22" s="668">
        <f>H22</f>
        <v>100</v>
      </c>
      <c r="V22" s="667" t="s">
        <v>14</v>
      </c>
      <c r="W22" s="668">
        <f>J22</f>
        <v>100</v>
      </c>
      <c r="X22" s="1265"/>
      <c r="Y22" s="337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9"/>
      <c r="Q23" s="1263">
        <f>B23</f>
        <v>111</v>
      </c>
      <c r="R23" s="667" t="s">
        <v>14</v>
      </c>
      <c r="S23" s="668">
        <f>F23</f>
        <v>100</v>
      </c>
      <c r="T23" s="667" t="s">
        <v>14</v>
      </c>
      <c r="U23" s="668">
        <f>H23</f>
        <v>100</v>
      </c>
      <c r="V23" s="667" t="s">
        <v>14</v>
      </c>
      <c r="W23" s="668">
        <f>J23</f>
        <v>100</v>
      </c>
      <c r="X23" s="1265"/>
      <c r="Y23" s="337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9"/>
      <c r="Q24" s="1263">
        <f t="shared" ref="Q24:Q34" si="11">B24</f>
        <v>111</v>
      </c>
      <c r="R24" s="667" t="s">
        <v>14</v>
      </c>
      <c r="S24" s="668">
        <f>F24</f>
        <v>100</v>
      </c>
      <c r="T24" s="667" t="s">
        <v>14</v>
      </c>
      <c r="U24" s="668">
        <f>H24</f>
        <v>100</v>
      </c>
      <c r="V24" s="667" t="s">
        <v>14</v>
      </c>
      <c r="W24" s="668">
        <f>J24</f>
        <v>100</v>
      </c>
      <c r="X24" s="1265"/>
      <c r="Y24" s="337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9"/>
      <c r="Q25" s="530">
        <f t="shared" si="11"/>
        <v>111</v>
      </c>
      <c r="R25" s="664" t="s">
        <v>14</v>
      </c>
      <c r="S25" s="665">
        <f>F25</f>
        <v>100</v>
      </c>
      <c r="T25" s="664" t="s">
        <v>14</v>
      </c>
      <c r="U25" s="665">
        <f>H25</f>
        <v>100</v>
      </c>
      <c r="V25" s="664" t="s">
        <v>14</v>
      </c>
      <c r="W25" s="665">
        <f>J25</f>
        <v>100</v>
      </c>
      <c r="X25" s="666"/>
      <c r="Y25" s="337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3"/>
      <c r="Q27" s="531" t="str">
        <f t="shared" si="11"/>
        <v>成新率</v>
      </c>
      <c r="R27" s="669" t="s">
        <v>14</v>
      </c>
      <c r="S27" s="670" t="e">
        <f t="shared" si="12"/>
        <v>#N/A</v>
      </c>
      <c r="T27" s="669" t="s">
        <v>14</v>
      </c>
      <c r="U27" s="670" t="e">
        <f t="shared" si="13"/>
        <v>#N/A</v>
      </c>
      <c r="V27" s="669" t="s">
        <v>14</v>
      </c>
      <c r="W27" s="670" t="e">
        <f t="shared" si="14"/>
        <v>#N/A</v>
      </c>
      <c r="X27" s="671"/>
      <c r="Y27" s="338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3"/>
      <c r="Q28" s="1263" t="str">
        <f t="shared" si="11"/>
        <v>物业等级</v>
      </c>
      <c r="R28" s="667" t="s">
        <v>14</v>
      </c>
      <c r="S28" s="668">
        <f t="shared" si="12"/>
        <v>100</v>
      </c>
      <c r="T28" s="667" t="s">
        <v>14</v>
      </c>
      <c r="U28" s="668">
        <f t="shared" si="13"/>
        <v>100</v>
      </c>
      <c r="V28" s="667" t="s">
        <v>14</v>
      </c>
      <c r="W28" s="668">
        <f t="shared" si="14"/>
        <v>100</v>
      </c>
      <c r="X28" s="1265"/>
      <c r="Y28" s="338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3"/>
      <c r="Q29" s="1263" t="str">
        <f t="shared" si="11"/>
        <v>有无电梯</v>
      </c>
      <c r="R29" s="667" t="s">
        <v>14</v>
      </c>
      <c r="S29" s="668">
        <f t="shared" si="12"/>
        <v>100</v>
      </c>
      <c r="T29" s="667" t="s">
        <v>14</v>
      </c>
      <c r="U29" s="668">
        <f t="shared" si="13"/>
        <v>100</v>
      </c>
      <c r="V29" s="667" t="s">
        <v>14</v>
      </c>
      <c r="W29" s="668">
        <f t="shared" si="14"/>
        <v>100</v>
      </c>
      <c r="X29" s="1265"/>
      <c r="Y29" s="338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3"/>
      <c r="Q30" s="1263" t="str">
        <f t="shared" si="11"/>
        <v>建筑面积</v>
      </c>
      <c r="R30" s="667" t="s">
        <v>14</v>
      </c>
      <c r="S30" s="668" t="e">
        <f t="shared" si="12"/>
        <v>#N/A</v>
      </c>
      <c r="T30" s="667" t="s">
        <v>14</v>
      </c>
      <c r="U30" s="668" t="e">
        <f t="shared" si="13"/>
        <v>#N/A</v>
      </c>
      <c r="V30" s="667" t="s">
        <v>14</v>
      </c>
      <c r="W30" s="668" t="e">
        <f t="shared" si="14"/>
        <v>#N/A</v>
      </c>
      <c r="X30" s="1265"/>
      <c r="Y30" s="338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3"/>
      <c r="Q31" s="530" t="str">
        <f t="shared" si="11"/>
        <v>是否封闭</v>
      </c>
      <c r="R31" s="664" t="s">
        <v>14</v>
      </c>
      <c r="S31" s="665">
        <f t="shared" si="12"/>
        <v>100</v>
      </c>
      <c r="T31" s="664" t="s">
        <v>14</v>
      </c>
      <c r="U31" s="665">
        <f t="shared" si="13"/>
        <v>100</v>
      </c>
      <c r="V31" s="664" t="s">
        <v>14</v>
      </c>
      <c r="W31" s="665">
        <f t="shared" si="14"/>
        <v>100</v>
      </c>
      <c r="X31" s="666"/>
      <c r="Y31" s="338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3" t="s">
        <v>1696</v>
      </c>
      <c r="Q32" s="1263">
        <f t="shared" si="11"/>
        <v>111</v>
      </c>
      <c r="R32" s="667" t="s">
        <v>14</v>
      </c>
      <c r="S32" s="668">
        <f t="shared" si="12"/>
        <v>100</v>
      </c>
      <c r="T32" s="667" t="s">
        <v>14</v>
      </c>
      <c r="U32" s="668">
        <f t="shared" si="13"/>
        <v>100</v>
      </c>
      <c r="V32" s="667" t="s">
        <v>14</v>
      </c>
      <c r="W32" s="668">
        <f t="shared" si="14"/>
        <v>100</v>
      </c>
      <c r="X32" s="1265"/>
      <c r="Y32" s="338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3"/>
      <c r="Q33" s="1263">
        <f t="shared" si="11"/>
        <v>111</v>
      </c>
      <c r="R33" s="667" t="s">
        <v>14</v>
      </c>
      <c r="S33" s="668">
        <f t="shared" si="12"/>
        <v>100</v>
      </c>
      <c r="T33" s="667" t="s">
        <v>14</v>
      </c>
      <c r="U33" s="668">
        <f t="shared" si="13"/>
        <v>100</v>
      </c>
      <c r="V33" s="667" t="s">
        <v>14</v>
      </c>
      <c r="W33" s="668">
        <f t="shared" si="14"/>
        <v>100</v>
      </c>
      <c r="X33" s="1265"/>
      <c r="Y33" s="338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3"/>
      <c r="Q34" s="1263">
        <f t="shared" si="11"/>
        <v>111</v>
      </c>
      <c r="R34" s="667" t="s">
        <v>14</v>
      </c>
      <c r="S34" s="668">
        <f t="shared" si="12"/>
        <v>100</v>
      </c>
      <c r="T34" s="667" t="s">
        <v>14</v>
      </c>
      <c r="U34" s="668">
        <f t="shared" si="13"/>
        <v>100</v>
      </c>
      <c r="V34" s="667" t="s">
        <v>14</v>
      </c>
      <c r="W34" s="668">
        <f t="shared" si="14"/>
        <v>100</v>
      </c>
      <c r="X34" s="1265"/>
      <c r="Y34" s="338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3" t="str">
        <f>A37</f>
        <v>估价对象XX用房的比较价值（楼面单价，元/平方米）</v>
      </c>
      <c r="Q37" s="3374"/>
      <c r="R37" s="3434" t="e">
        <f>IF(F1="售价",ROUND(IF(D36="简单平均",AVERAGE(R36:W36),R36*F36+T36*H36+V36*J36),0),ROUND(IF(D36="简单平均",AVERAGE(R36:V36),R36*F36+T36*H36+V36*J36),1))</f>
        <v>#DIV/0!</v>
      </c>
      <c r="S37" s="3434"/>
      <c r="T37" s="3434"/>
      <c r="U37" s="3434"/>
      <c r="V37" s="3434"/>
      <c r="W37" s="343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07" t="s">
        <v>1677</v>
      </c>
      <c r="D6" s="3408"/>
      <c r="E6" s="3414" t="s">
        <v>1677</v>
      </c>
      <c r="F6" s="3415"/>
      <c r="G6" s="3407" t="s">
        <v>1677</v>
      </c>
      <c r="H6" s="3408"/>
      <c r="I6" s="3407" t="s">
        <v>1677</v>
      </c>
      <c r="J6" s="3408"/>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6"/>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8" t="s">
        <v>1691</v>
      </c>
      <c r="Q15" s="1263" t="str">
        <f t="shared" si="6"/>
        <v>居住社区成熟度</v>
      </c>
      <c r="R15" s="667" t="s">
        <v>14</v>
      </c>
      <c r="S15" s="668">
        <f t="shared" si="0"/>
        <v>100</v>
      </c>
      <c r="T15" s="667" t="s">
        <v>14</v>
      </c>
      <c r="U15" s="668">
        <f t="shared" si="1"/>
        <v>100</v>
      </c>
      <c r="V15" s="667" t="s">
        <v>14</v>
      </c>
      <c r="W15" s="668">
        <f t="shared" si="2"/>
        <v>100</v>
      </c>
      <c r="X15" s="1265"/>
      <c r="Y15" s="337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9"/>
      <c r="Q17" s="1263" t="str">
        <f>B17</f>
        <v>商业繁华度</v>
      </c>
      <c r="R17" s="667" t="s">
        <v>14</v>
      </c>
      <c r="S17" s="668">
        <f>F17</f>
        <v>100</v>
      </c>
      <c r="T17" s="667" t="s">
        <v>14</v>
      </c>
      <c r="U17" s="668">
        <f>H17</f>
        <v>100</v>
      </c>
      <c r="V17" s="667" t="s">
        <v>14</v>
      </c>
      <c r="W17" s="668">
        <f>J17</f>
        <v>100</v>
      </c>
      <c r="X17" s="1265"/>
      <c r="Y17" s="337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9"/>
      <c r="Q19" s="1263" t="str">
        <f>B19</f>
        <v>办公集聚程度</v>
      </c>
      <c r="R19" s="667" t="s">
        <v>14</v>
      </c>
      <c r="S19" s="668">
        <f>F19</f>
        <v>100</v>
      </c>
      <c r="T19" s="667" t="s">
        <v>14</v>
      </c>
      <c r="U19" s="668">
        <f>H19</f>
        <v>100</v>
      </c>
      <c r="V19" s="667" t="s">
        <v>14</v>
      </c>
      <c r="W19" s="668">
        <f>J19</f>
        <v>100</v>
      </c>
      <c r="X19" s="1265"/>
      <c r="Y19" s="337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9"/>
      <c r="Q20" s="1263"/>
      <c r="R20" s="667"/>
      <c r="S20" s="668"/>
      <c r="T20" s="667"/>
      <c r="U20" s="668"/>
      <c r="V20" s="667"/>
      <c r="W20" s="668"/>
      <c r="X20" s="1265"/>
      <c r="Y20" s="337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9"/>
      <c r="Q21" s="1263" t="str">
        <f>B21</f>
        <v>交通便捷度</v>
      </c>
      <c r="R21" s="667" t="s">
        <v>14</v>
      </c>
      <c r="S21" s="668">
        <f>F21</f>
        <v>100</v>
      </c>
      <c r="T21" s="667" t="s">
        <v>14</v>
      </c>
      <c r="U21" s="668">
        <f>H21</f>
        <v>100</v>
      </c>
      <c r="V21" s="667" t="s">
        <v>14</v>
      </c>
      <c r="W21" s="668">
        <f>J21</f>
        <v>100</v>
      </c>
      <c r="X21" s="1265"/>
      <c r="Y21" s="337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9"/>
      <c r="Q23" s="1263" t="str">
        <f t="shared" ref="Q23:Q37" si="8">B23</f>
        <v>区域土地利用方向</v>
      </c>
      <c r="R23" s="667" t="s">
        <v>14</v>
      </c>
      <c r="S23" s="668">
        <f>F23</f>
        <v>100</v>
      </c>
      <c r="T23" s="667" t="s">
        <v>14</v>
      </c>
      <c r="U23" s="668">
        <f>H23</f>
        <v>100</v>
      </c>
      <c r="V23" s="667" t="s">
        <v>14</v>
      </c>
      <c r="W23" s="668">
        <f>J23</f>
        <v>100</v>
      </c>
      <c r="X23" s="1265"/>
      <c r="Y23" s="337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9"/>
      <c r="Q24" s="1263"/>
      <c r="R24" s="667"/>
      <c r="S24" s="668"/>
      <c r="T24" s="667"/>
      <c r="U24" s="668"/>
      <c r="V24" s="667"/>
      <c r="W24" s="668"/>
      <c r="X24" s="1265"/>
      <c r="Y24" s="337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9"/>
      <c r="Q25" s="1263" t="str">
        <f t="shared" si="8"/>
        <v>自然及人文环境状况</v>
      </c>
      <c r="R25" s="667" t="s">
        <v>14</v>
      </c>
      <c r="S25" s="668">
        <f>F25</f>
        <v>100</v>
      </c>
      <c r="T25" s="667" t="s">
        <v>14</v>
      </c>
      <c r="U25" s="668">
        <f>H25</f>
        <v>100</v>
      </c>
      <c r="V25" s="667" t="s">
        <v>14</v>
      </c>
      <c r="W25" s="668">
        <f>J25</f>
        <v>100</v>
      </c>
      <c r="X25" s="1265"/>
      <c r="Y25" s="337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9"/>
      <c r="Q26" s="1263"/>
      <c r="R26" s="667"/>
      <c r="S26" s="668"/>
      <c r="T26" s="667"/>
      <c r="U26" s="668"/>
      <c r="V26" s="667"/>
      <c r="W26" s="668"/>
      <c r="X26" s="1265"/>
      <c r="Y26" s="337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9"/>
      <c r="Q27" s="530" t="str">
        <f t="shared" si="8"/>
        <v>公共配套设施</v>
      </c>
      <c r="R27" s="664" t="s">
        <v>14</v>
      </c>
      <c r="S27" s="665">
        <f>F27</f>
        <v>100</v>
      </c>
      <c r="T27" s="664" t="s">
        <v>14</v>
      </c>
      <c r="U27" s="665">
        <f>H27</f>
        <v>100</v>
      </c>
      <c r="V27" s="664" t="s">
        <v>14</v>
      </c>
      <c r="W27" s="665">
        <f>J27</f>
        <v>100</v>
      </c>
      <c r="X27" s="666"/>
      <c r="Y27" s="337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9"/>
      <c r="Q28" s="530"/>
      <c r="R28" s="664"/>
      <c r="S28" s="665"/>
      <c r="T28" s="664"/>
      <c r="U28" s="665"/>
      <c r="V28" s="664"/>
      <c r="W28" s="665"/>
      <c r="X28" s="666"/>
      <c r="Y28" s="337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9"/>
      <c r="Q30" s="530"/>
      <c r="R30" s="664"/>
      <c r="S30" s="665"/>
      <c r="T30" s="664"/>
      <c r="U30" s="665"/>
      <c r="V30" s="664"/>
      <c r="W30" s="665"/>
      <c r="X30" s="666"/>
      <c r="Y30" s="337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9"/>
      <c r="Q32" s="1263" t="str">
        <f t="shared" si="8"/>
        <v>毗邻道路的类型与等级</v>
      </c>
      <c r="R32" s="667" t="s">
        <v>14</v>
      </c>
      <c r="S32" s="668">
        <f t="shared" si="10"/>
        <v>100</v>
      </c>
      <c r="T32" s="667" t="s">
        <v>14</v>
      </c>
      <c r="U32" s="668">
        <f t="shared" si="11"/>
        <v>100</v>
      </c>
      <c r="V32" s="667" t="s">
        <v>14</v>
      </c>
      <c r="W32" s="668">
        <f t="shared" si="12"/>
        <v>100</v>
      </c>
      <c r="X32" s="1265"/>
      <c r="Y32" s="337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9"/>
      <c r="Q33" s="1263"/>
      <c r="R33" s="667"/>
      <c r="S33" s="668"/>
      <c r="T33" s="667"/>
      <c r="U33" s="668"/>
      <c r="V33" s="667"/>
      <c r="W33" s="668"/>
      <c r="X33" s="1265"/>
      <c r="Y33" s="337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9"/>
      <c r="Q34" s="1263" t="str">
        <f t="shared" si="8"/>
        <v>土地级别</v>
      </c>
      <c r="R34" s="667" t="s">
        <v>14</v>
      </c>
      <c r="S34" s="668">
        <f t="shared" si="10"/>
        <v>100</v>
      </c>
      <c r="T34" s="667" t="s">
        <v>14</v>
      </c>
      <c r="U34" s="668">
        <f t="shared" si="11"/>
        <v>100</v>
      </c>
      <c r="V34" s="667" t="s">
        <v>14</v>
      </c>
      <c r="W34" s="668">
        <f t="shared" si="12"/>
        <v>100</v>
      </c>
      <c r="X34" s="1265"/>
      <c r="Y34" s="337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9"/>
      <c r="Q35" s="1263">
        <f t="shared" si="8"/>
        <v>111</v>
      </c>
      <c r="R35" s="667" t="s">
        <v>14</v>
      </c>
      <c r="S35" s="668">
        <f t="shared" si="10"/>
        <v>100</v>
      </c>
      <c r="T35" s="667" t="s">
        <v>14</v>
      </c>
      <c r="U35" s="668">
        <f t="shared" si="11"/>
        <v>100</v>
      </c>
      <c r="V35" s="667" t="s">
        <v>14</v>
      </c>
      <c r="W35" s="668">
        <f t="shared" si="12"/>
        <v>100</v>
      </c>
      <c r="X35" s="1265"/>
      <c r="Y35" s="337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3" t="s">
        <v>1696</v>
      </c>
      <c r="Q36" s="1263">
        <f t="shared" si="8"/>
        <v>111</v>
      </c>
      <c r="R36" s="667" t="s">
        <v>14</v>
      </c>
      <c r="S36" s="668">
        <f t="shared" si="10"/>
        <v>100</v>
      </c>
      <c r="T36" s="667" t="s">
        <v>14</v>
      </c>
      <c r="U36" s="668">
        <f t="shared" si="11"/>
        <v>100</v>
      </c>
      <c r="V36" s="667" t="s">
        <v>14</v>
      </c>
      <c r="W36" s="668">
        <f t="shared" si="12"/>
        <v>100</v>
      </c>
      <c r="X36" s="1265"/>
      <c r="Y36" s="338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3"/>
      <c r="Q37" s="1263">
        <f t="shared" si="8"/>
        <v>111</v>
      </c>
      <c r="R37" s="669" t="s">
        <v>14</v>
      </c>
      <c r="S37" s="670">
        <f t="shared" si="10"/>
        <v>100</v>
      </c>
      <c r="T37" s="669" t="s">
        <v>14</v>
      </c>
      <c r="U37" s="670">
        <f t="shared" si="11"/>
        <v>100</v>
      </c>
      <c r="V37" s="669" t="s">
        <v>14</v>
      </c>
      <c r="W37" s="670">
        <f t="shared" si="12"/>
        <v>100</v>
      </c>
      <c r="X37" s="671"/>
      <c r="Y37" s="338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3"/>
      <c r="Q38" s="1263" t="str">
        <f>B38</f>
        <v>宗地面积</v>
      </c>
      <c r="R38" s="667" t="s">
        <v>14</v>
      </c>
      <c r="S38" s="668" t="e">
        <f t="shared" si="10"/>
        <v>#N/A</v>
      </c>
      <c r="T38" s="667" t="s">
        <v>14</v>
      </c>
      <c r="U38" s="668" t="e">
        <f t="shared" si="11"/>
        <v>#N/A</v>
      </c>
      <c r="V38" s="667" t="s">
        <v>14</v>
      </c>
      <c r="W38" s="668" t="e">
        <f t="shared" si="12"/>
        <v>#N/A</v>
      </c>
      <c r="X38" s="1265"/>
      <c r="Y38" s="338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3"/>
      <c r="Q39" s="1263" t="str">
        <f t="shared" ref="Q39:Q45" si="14">B39</f>
        <v>宗地形状</v>
      </c>
      <c r="R39" s="667" t="s">
        <v>14</v>
      </c>
      <c r="S39" s="668">
        <f t="shared" si="10"/>
        <v>100</v>
      </c>
      <c r="T39" s="667" t="s">
        <v>14</v>
      </c>
      <c r="U39" s="668">
        <f t="shared" si="11"/>
        <v>100</v>
      </c>
      <c r="V39" s="667" t="s">
        <v>14</v>
      </c>
      <c r="W39" s="668">
        <f t="shared" si="12"/>
        <v>100</v>
      </c>
      <c r="X39" s="1265"/>
      <c r="Y39" s="338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3"/>
      <c r="Q40" s="1263" t="str">
        <f t="shared" si="14"/>
        <v>临街宽度及深度</v>
      </c>
      <c r="R40" s="667" t="s">
        <v>14</v>
      </c>
      <c r="S40" s="668">
        <f t="shared" si="10"/>
        <v>100</v>
      </c>
      <c r="T40" s="667" t="s">
        <v>14</v>
      </c>
      <c r="U40" s="668">
        <f t="shared" si="11"/>
        <v>100</v>
      </c>
      <c r="V40" s="667" t="s">
        <v>14</v>
      </c>
      <c r="W40" s="668">
        <f t="shared" si="12"/>
        <v>100</v>
      </c>
      <c r="X40" s="1265"/>
      <c r="Y40" s="338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3"/>
      <c r="Q41" s="1263" t="str">
        <f t="shared" si="14"/>
        <v>宗地开发程度</v>
      </c>
      <c r="R41" s="664" t="s">
        <v>14</v>
      </c>
      <c r="S41" s="665">
        <f t="shared" si="10"/>
        <v>100</v>
      </c>
      <c r="T41" s="664" t="s">
        <v>14</v>
      </c>
      <c r="U41" s="665">
        <f t="shared" si="11"/>
        <v>100</v>
      </c>
      <c r="V41" s="664" t="s">
        <v>14</v>
      </c>
      <c r="W41" s="665">
        <f t="shared" si="12"/>
        <v>100</v>
      </c>
      <c r="X41" s="666"/>
      <c r="Y41" s="338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3" t="s">
        <v>1696</v>
      </c>
      <c r="Q42" s="1263" t="str">
        <f t="shared" si="14"/>
        <v>工程地质条件</v>
      </c>
      <c r="R42" s="667" t="s">
        <v>14</v>
      </c>
      <c r="S42" s="668">
        <f t="shared" si="10"/>
        <v>100</v>
      </c>
      <c r="T42" s="667" t="s">
        <v>14</v>
      </c>
      <c r="U42" s="668">
        <f t="shared" si="11"/>
        <v>100</v>
      </c>
      <c r="V42" s="667" t="s">
        <v>14</v>
      </c>
      <c r="W42" s="668">
        <f t="shared" si="12"/>
        <v>100</v>
      </c>
      <c r="X42" s="1265"/>
      <c r="Y42" s="338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3"/>
      <c r="Q43" s="1263">
        <f t="shared" si="14"/>
        <v>111</v>
      </c>
      <c r="R43" s="667" t="s">
        <v>14</v>
      </c>
      <c r="S43" s="668">
        <f t="shared" si="10"/>
        <v>100</v>
      </c>
      <c r="T43" s="667" t="s">
        <v>14</v>
      </c>
      <c r="U43" s="668">
        <f t="shared" si="11"/>
        <v>100</v>
      </c>
      <c r="V43" s="667" t="s">
        <v>14</v>
      </c>
      <c r="W43" s="668">
        <f t="shared" si="12"/>
        <v>100</v>
      </c>
      <c r="X43" s="1265"/>
      <c r="Y43" s="338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3"/>
      <c r="Q44" s="1263">
        <f t="shared" si="14"/>
        <v>111</v>
      </c>
      <c r="R44" s="667" t="s">
        <v>14</v>
      </c>
      <c r="S44" s="668">
        <f t="shared" si="10"/>
        <v>100</v>
      </c>
      <c r="T44" s="667" t="s">
        <v>14</v>
      </c>
      <c r="U44" s="668">
        <f t="shared" si="11"/>
        <v>100</v>
      </c>
      <c r="V44" s="667" t="s">
        <v>14</v>
      </c>
      <c r="W44" s="668">
        <f t="shared" si="12"/>
        <v>100</v>
      </c>
      <c r="X44" s="1265"/>
      <c r="Y44" s="338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3"/>
      <c r="Q45" s="1263">
        <f t="shared" si="14"/>
        <v>111</v>
      </c>
      <c r="R45" s="669" t="s">
        <v>14</v>
      </c>
      <c r="S45" s="670">
        <f t="shared" si="10"/>
        <v>100</v>
      </c>
      <c r="T45" s="669" t="s">
        <v>14</v>
      </c>
      <c r="U45" s="670">
        <f t="shared" si="11"/>
        <v>100</v>
      </c>
      <c r="V45" s="669" t="s">
        <v>14</v>
      </c>
      <c r="W45" s="670">
        <f t="shared" si="12"/>
        <v>100</v>
      </c>
      <c r="X45" s="671"/>
      <c r="Y45" s="338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6" t="str">
        <f>A46</f>
        <v>成交单价</v>
      </c>
      <c r="Q46" s="3376"/>
      <c r="R46" s="3377">
        <f>E46</f>
        <v>0</v>
      </c>
      <c r="S46" s="3377"/>
      <c r="T46" s="3377">
        <f>G46</f>
        <v>0</v>
      </c>
      <c r="U46" s="3377"/>
      <c r="V46" s="3377">
        <f>I46</f>
        <v>0</v>
      </c>
      <c r="W46" s="337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6" t="str">
        <f>A47</f>
        <v>比较价值（元/平方米）</v>
      </c>
      <c r="Q47" s="3376"/>
      <c r="R47" s="3435" t="e">
        <f>ROUND(PRODUCT(R46,AA7:AA45),0)</f>
        <v>#DIV/0!</v>
      </c>
      <c r="S47" s="3435"/>
      <c r="T47" s="3435" t="e">
        <f>ROUND(PRODUCT(T46,AB7:AB45),0)</f>
        <v>#DIV/0!</v>
      </c>
      <c r="U47" s="3435"/>
      <c r="V47" s="3435" t="e">
        <f>ROUND(PRODUCT(V46,AC7:AC45),0)</f>
        <v>#DIV/0!</v>
      </c>
      <c r="W47" s="343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3" t="str">
        <f>A48</f>
        <v>估价对象XX用房的比较价值（楼面单价，元/平方米）</v>
      </c>
      <c r="Q48" s="3374"/>
      <c r="R48" s="3436" t="e">
        <f>ROUND(IF(D47="简单平均",AVERAGE(R47:W47),R47*F47+T47*H47+V47*J47),0)</f>
        <v>#DIV/0!</v>
      </c>
      <c r="S48" s="3436"/>
      <c r="T48" s="3436"/>
      <c r="U48" s="3436"/>
      <c r="V48" s="3436"/>
      <c r="W48" s="343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3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196.11</v>
      </c>
      <c r="F56" s="833" t="e">
        <f t="shared" ref="F56:F64" si="15">ROUND(B56*E56/10000,0)</f>
        <v>#DIV/0!</v>
      </c>
      <c r="G56" s="3387"/>
      <c r="H56" s="33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196.11</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377" t="s">
        <v>1773</v>
      </c>
      <c r="W4" s="3377"/>
      <c r="X4" s="1265"/>
      <c r="Y4" s="3401" t="s">
        <v>1775</v>
      </c>
      <c r="Z4" s="3402"/>
      <c r="AA4" s="3388" t="s">
        <v>1771</v>
      </c>
      <c r="AB4" s="3389" t="s">
        <v>1772</v>
      </c>
      <c r="AC4" s="3388" t="s">
        <v>1773</v>
      </c>
    </row>
    <row r="5" spans="1:29">
      <c r="A5" s="348"/>
      <c r="B5" s="349"/>
      <c r="C5" s="3409" t="s">
        <v>1673</v>
      </c>
      <c r="D5" s="3410"/>
      <c r="E5" s="3416" t="s">
        <v>1674</v>
      </c>
      <c r="F5" s="3417"/>
      <c r="G5" s="3409" t="s">
        <v>1675</v>
      </c>
      <c r="H5" s="3410"/>
      <c r="I5" s="3409" t="s">
        <v>1676</v>
      </c>
      <c r="J5" s="3410"/>
      <c r="K5" s="537"/>
      <c r="L5" s="2486"/>
      <c r="M5" s="2487"/>
      <c r="N5" s="2487"/>
      <c r="O5" s="2487"/>
      <c r="P5" s="3397"/>
      <c r="Q5" s="3398"/>
      <c r="R5" s="3403"/>
      <c r="S5" s="3404"/>
      <c r="T5" s="3403"/>
      <c r="U5" s="3404"/>
      <c r="V5" s="3377"/>
      <c r="W5" s="3377"/>
      <c r="X5" s="1265"/>
      <c r="Y5" s="3403"/>
      <c r="Z5" s="3404"/>
      <c r="AA5" s="3389"/>
      <c r="AB5" s="3389"/>
      <c r="AC5" s="3389"/>
    </row>
    <row r="6" spans="1:29" ht="15" thickBot="1">
      <c r="A6" s="350"/>
      <c r="B6" s="351"/>
      <c r="C6" s="3438" t="s">
        <v>1919</v>
      </c>
      <c r="D6" s="3439"/>
      <c r="E6" s="3440" t="s">
        <v>1919</v>
      </c>
      <c r="F6" s="3441"/>
      <c r="G6" s="3438" t="s">
        <v>1919</v>
      </c>
      <c r="H6" s="3439"/>
      <c r="I6" s="3438" t="s">
        <v>1919</v>
      </c>
      <c r="J6" s="3439"/>
      <c r="K6" s="537" t="s">
        <v>1678</v>
      </c>
      <c r="L6" s="2486"/>
      <c r="M6" s="2487"/>
      <c r="N6" s="2487"/>
      <c r="O6" s="2487"/>
      <c r="P6" s="3399"/>
      <c r="Q6" s="3400"/>
      <c r="R6" s="3403"/>
      <c r="S6" s="3404"/>
      <c r="T6" s="3405"/>
      <c r="U6" s="3406"/>
      <c r="V6" s="3377"/>
      <c r="W6" s="3377"/>
      <c r="X6" s="1265"/>
      <c r="Y6" s="3405"/>
      <c r="Z6" s="3406"/>
      <c r="AA6" s="3390"/>
      <c r="AB6" s="3390"/>
      <c r="AC6" s="3390"/>
    </row>
    <row r="7" spans="1:29" s="102" customFormat="1" ht="15" thickBot="1">
      <c r="A7" s="352" t="s">
        <v>1679</v>
      </c>
      <c r="B7" s="353"/>
      <c r="C7" s="354">
        <f>'数据-取费表'!B2</f>
        <v>45792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1" t="s">
        <v>1680</v>
      </c>
      <c r="Q7" s="3413"/>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76"/>
      <c r="Q10" s="530" t="str">
        <f t="shared" si="6"/>
        <v>土地使用年限（年）</v>
      </c>
      <c r="R10" s="664" t="s">
        <v>14</v>
      </c>
      <c r="S10" s="665" t="e">
        <f t="shared" si="0"/>
        <v>#DIV/0!</v>
      </c>
      <c r="T10" s="664" t="s">
        <v>14</v>
      </c>
      <c r="U10" s="665" t="e">
        <f t="shared" si="1"/>
        <v>#DIV/0!</v>
      </c>
      <c r="V10" s="664" t="s">
        <v>14</v>
      </c>
      <c r="W10" s="665" t="e">
        <f t="shared" si="2"/>
        <v>#DIV/0!</v>
      </c>
      <c r="X10" s="666"/>
      <c r="Y10" s="325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8" t="s">
        <v>1691</v>
      </c>
      <c r="Q15" s="1263" t="str">
        <f t="shared" si="6"/>
        <v>产业集聚程度</v>
      </c>
      <c r="R15" s="667" t="s">
        <v>14</v>
      </c>
      <c r="S15" s="668">
        <f t="shared" si="0"/>
        <v>100</v>
      </c>
      <c r="T15" s="667" t="s">
        <v>14</v>
      </c>
      <c r="U15" s="668">
        <f t="shared" si="1"/>
        <v>100</v>
      </c>
      <c r="V15" s="667" t="s">
        <v>14</v>
      </c>
      <c r="W15" s="668">
        <f t="shared" si="2"/>
        <v>100</v>
      </c>
      <c r="X15" s="1265"/>
      <c r="Y15" s="337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9"/>
      <c r="Q16" s="1263"/>
      <c r="R16" s="667"/>
      <c r="S16" s="668"/>
      <c r="T16" s="667"/>
      <c r="U16" s="668"/>
      <c r="V16" s="667"/>
      <c r="W16" s="668"/>
      <c r="X16" s="1265"/>
      <c r="Y16" s="337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9"/>
      <c r="Q17" s="1263" t="str">
        <f>B17</f>
        <v>交通便捷度</v>
      </c>
      <c r="R17" s="667" t="s">
        <v>14</v>
      </c>
      <c r="S17" s="668">
        <f>F17</f>
        <v>100</v>
      </c>
      <c r="T17" s="667" t="s">
        <v>14</v>
      </c>
      <c r="U17" s="668">
        <f>H17</f>
        <v>100</v>
      </c>
      <c r="V17" s="667" t="s">
        <v>14</v>
      </c>
      <c r="W17" s="668">
        <f>J17</f>
        <v>100</v>
      </c>
      <c r="X17" s="1265"/>
      <c r="Y17" s="337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9"/>
      <c r="Q18" s="1263"/>
      <c r="R18" s="667"/>
      <c r="S18" s="668"/>
      <c r="T18" s="667"/>
      <c r="U18" s="668"/>
      <c r="V18" s="667"/>
      <c r="W18" s="668"/>
      <c r="X18" s="1265"/>
      <c r="Y18" s="337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9"/>
      <c r="Q19" s="1263" t="str">
        <f t="shared" ref="Q19:Q33" si="8">B19</f>
        <v>区域土地利用方向</v>
      </c>
      <c r="R19" s="667" t="s">
        <v>14</v>
      </c>
      <c r="S19" s="668">
        <f>F19</f>
        <v>100</v>
      </c>
      <c r="T19" s="667" t="s">
        <v>14</v>
      </c>
      <c r="U19" s="668">
        <f>H19</f>
        <v>100</v>
      </c>
      <c r="V19" s="667" t="s">
        <v>14</v>
      </c>
      <c r="W19" s="668">
        <f>J19</f>
        <v>100</v>
      </c>
      <c r="X19" s="1265"/>
      <c r="Y19" s="337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9"/>
      <c r="Q20" s="1263"/>
      <c r="R20" s="667"/>
      <c r="S20" s="668"/>
      <c r="T20" s="667"/>
      <c r="U20" s="668"/>
      <c r="V20" s="667"/>
      <c r="W20" s="668"/>
      <c r="X20" s="1265"/>
      <c r="Y20" s="337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9"/>
      <c r="Q21" s="1263" t="str">
        <f t="shared" si="8"/>
        <v>环境状况</v>
      </c>
      <c r="R21" s="667" t="s">
        <v>14</v>
      </c>
      <c r="S21" s="668">
        <f>F21</f>
        <v>100</v>
      </c>
      <c r="T21" s="667" t="s">
        <v>14</v>
      </c>
      <c r="U21" s="668">
        <f>H21</f>
        <v>100</v>
      </c>
      <c r="V21" s="667" t="s">
        <v>14</v>
      </c>
      <c r="W21" s="668">
        <f>J21</f>
        <v>100</v>
      </c>
      <c r="X21" s="1265"/>
      <c r="Y21" s="337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9"/>
      <c r="Q22" s="1263"/>
      <c r="R22" s="667"/>
      <c r="S22" s="668"/>
      <c r="T22" s="667"/>
      <c r="U22" s="668"/>
      <c r="V22" s="667"/>
      <c r="W22" s="668"/>
      <c r="X22" s="1265"/>
      <c r="Y22" s="337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9"/>
      <c r="Q28" s="1263" t="str">
        <f t="shared" si="8"/>
        <v>毗邻道路的类型与等级</v>
      </c>
      <c r="R28" s="667" t="s">
        <v>14</v>
      </c>
      <c r="S28" s="668">
        <f t="shared" si="10"/>
        <v>100</v>
      </c>
      <c r="T28" s="667" t="s">
        <v>14</v>
      </c>
      <c r="U28" s="668">
        <f t="shared" si="11"/>
        <v>100</v>
      </c>
      <c r="V28" s="667" t="s">
        <v>14</v>
      </c>
      <c r="W28" s="668">
        <f t="shared" si="12"/>
        <v>100</v>
      </c>
      <c r="X28" s="1265"/>
      <c r="Y28" s="337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9"/>
      <c r="Q29" s="1263"/>
      <c r="R29" s="667"/>
      <c r="S29" s="668"/>
      <c r="T29" s="667"/>
      <c r="U29" s="668"/>
      <c r="V29" s="667"/>
      <c r="W29" s="668"/>
      <c r="X29" s="1265"/>
      <c r="Y29" s="337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9"/>
      <c r="Q30" s="1263" t="str">
        <f t="shared" si="8"/>
        <v>土地级别</v>
      </c>
      <c r="R30" s="667" t="s">
        <v>14</v>
      </c>
      <c r="S30" s="668">
        <f t="shared" si="10"/>
        <v>100</v>
      </c>
      <c r="T30" s="667" t="s">
        <v>14</v>
      </c>
      <c r="U30" s="668">
        <f t="shared" si="11"/>
        <v>100</v>
      </c>
      <c r="V30" s="667" t="s">
        <v>14</v>
      </c>
      <c r="W30" s="668">
        <f t="shared" si="12"/>
        <v>100</v>
      </c>
      <c r="X30" s="1265"/>
      <c r="Y30" s="337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9"/>
      <c r="Q31" s="1263">
        <f t="shared" si="8"/>
        <v>111</v>
      </c>
      <c r="R31" s="667" t="s">
        <v>14</v>
      </c>
      <c r="S31" s="668">
        <f t="shared" si="10"/>
        <v>100</v>
      </c>
      <c r="T31" s="667" t="s">
        <v>14</v>
      </c>
      <c r="U31" s="668">
        <f t="shared" si="11"/>
        <v>100</v>
      </c>
      <c r="V31" s="667" t="s">
        <v>14</v>
      </c>
      <c r="W31" s="668">
        <f t="shared" si="12"/>
        <v>100</v>
      </c>
      <c r="X31" s="1265"/>
      <c r="Y31" s="337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3" t="s">
        <v>1696</v>
      </c>
      <c r="Q32" s="1263">
        <f t="shared" si="8"/>
        <v>111</v>
      </c>
      <c r="R32" s="667" t="s">
        <v>14</v>
      </c>
      <c r="S32" s="668">
        <f t="shared" si="10"/>
        <v>100</v>
      </c>
      <c r="T32" s="667" t="s">
        <v>14</v>
      </c>
      <c r="U32" s="668">
        <f t="shared" si="11"/>
        <v>100</v>
      </c>
      <c r="V32" s="667" t="s">
        <v>14</v>
      </c>
      <c r="W32" s="668">
        <f t="shared" si="12"/>
        <v>100</v>
      </c>
      <c r="X32" s="1265"/>
      <c r="Y32" s="338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3"/>
      <c r="Q33" s="1263">
        <f t="shared" si="8"/>
        <v>111</v>
      </c>
      <c r="R33" s="669" t="s">
        <v>14</v>
      </c>
      <c r="S33" s="670">
        <f t="shared" si="10"/>
        <v>100</v>
      </c>
      <c r="T33" s="669" t="s">
        <v>14</v>
      </c>
      <c r="U33" s="670">
        <f t="shared" si="11"/>
        <v>100</v>
      </c>
      <c r="V33" s="669" t="s">
        <v>14</v>
      </c>
      <c r="W33" s="670">
        <f t="shared" si="12"/>
        <v>100</v>
      </c>
      <c r="X33" s="671"/>
      <c r="Y33" s="338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3"/>
      <c r="Q34" s="1263" t="str">
        <f>B34</f>
        <v>宗地面积</v>
      </c>
      <c r="R34" s="667" t="s">
        <v>14</v>
      </c>
      <c r="S34" s="668" t="e">
        <f t="shared" si="10"/>
        <v>#N/A</v>
      </c>
      <c r="T34" s="667" t="s">
        <v>14</v>
      </c>
      <c r="U34" s="668" t="e">
        <f t="shared" si="11"/>
        <v>#N/A</v>
      </c>
      <c r="V34" s="667" t="s">
        <v>14</v>
      </c>
      <c r="W34" s="668" t="e">
        <f t="shared" si="12"/>
        <v>#N/A</v>
      </c>
      <c r="X34" s="1265"/>
      <c r="Y34" s="338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3"/>
      <c r="Q35" s="1263" t="str">
        <f t="shared" ref="Q35:Q40" si="14">B35</f>
        <v>宗地形状</v>
      </c>
      <c r="R35" s="667" t="s">
        <v>14</v>
      </c>
      <c r="S35" s="668">
        <f t="shared" si="10"/>
        <v>100</v>
      </c>
      <c r="T35" s="667" t="s">
        <v>14</v>
      </c>
      <c r="U35" s="668">
        <f t="shared" si="11"/>
        <v>100</v>
      </c>
      <c r="V35" s="667" t="s">
        <v>14</v>
      </c>
      <c r="W35" s="668">
        <f t="shared" si="12"/>
        <v>100</v>
      </c>
      <c r="X35" s="1265"/>
      <c r="Y35" s="338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3"/>
      <c r="Q36" s="1263" t="str">
        <f t="shared" si="14"/>
        <v>宗地开发程度</v>
      </c>
      <c r="R36" s="664" t="s">
        <v>14</v>
      </c>
      <c r="S36" s="665">
        <f t="shared" si="10"/>
        <v>100</v>
      </c>
      <c r="T36" s="664" t="s">
        <v>14</v>
      </c>
      <c r="U36" s="665">
        <f t="shared" si="11"/>
        <v>100</v>
      </c>
      <c r="V36" s="664" t="s">
        <v>14</v>
      </c>
      <c r="W36" s="665">
        <f t="shared" si="12"/>
        <v>100</v>
      </c>
      <c r="X36" s="666"/>
      <c r="Y36" s="338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3" t="s">
        <v>1696</v>
      </c>
      <c r="Q37" s="1263" t="str">
        <f t="shared" si="14"/>
        <v>工程地质条件</v>
      </c>
      <c r="R37" s="667" t="s">
        <v>14</v>
      </c>
      <c r="S37" s="668">
        <f t="shared" si="10"/>
        <v>100</v>
      </c>
      <c r="T37" s="667" t="s">
        <v>14</v>
      </c>
      <c r="U37" s="668">
        <f t="shared" si="11"/>
        <v>100</v>
      </c>
      <c r="V37" s="667" t="s">
        <v>14</v>
      </c>
      <c r="W37" s="668">
        <f t="shared" si="12"/>
        <v>100</v>
      </c>
      <c r="X37" s="1265"/>
      <c r="Y37" s="338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3"/>
      <c r="Q38" s="1263">
        <f t="shared" si="14"/>
        <v>111</v>
      </c>
      <c r="R38" s="667" t="s">
        <v>14</v>
      </c>
      <c r="S38" s="668">
        <f t="shared" si="10"/>
        <v>100</v>
      </c>
      <c r="T38" s="667" t="s">
        <v>14</v>
      </c>
      <c r="U38" s="668">
        <f t="shared" si="11"/>
        <v>100</v>
      </c>
      <c r="V38" s="667" t="s">
        <v>14</v>
      </c>
      <c r="W38" s="668">
        <f t="shared" si="12"/>
        <v>100</v>
      </c>
      <c r="X38" s="1265"/>
      <c r="Y38" s="338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3"/>
      <c r="Q39" s="1263">
        <f t="shared" si="14"/>
        <v>111</v>
      </c>
      <c r="R39" s="667" t="s">
        <v>14</v>
      </c>
      <c r="S39" s="668">
        <f t="shared" si="10"/>
        <v>100</v>
      </c>
      <c r="T39" s="667" t="s">
        <v>14</v>
      </c>
      <c r="U39" s="668">
        <f t="shared" si="11"/>
        <v>100</v>
      </c>
      <c r="V39" s="667" t="s">
        <v>14</v>
      </c>
      <c r="W39" s="668">
        <f t="shared" si="12"/>
        <v>100</v>
      </c>
      <c r="X39" s="1265"/>
      <c r="Y39" s="338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3"/>
      <c r="Q40" s="1263">
        <f t="shared" si="14"/>
        <v>111</v>
      </c>
      <c r="R40" s="669" t="s">
        <v>14</v>
      </c>
      <c r="S40" s="670">
        <f t="shared" si="10"/>
        <v>100</v>
      </c>
      <c r="T40" s="669" t="s">
        <v>14</v>
      </c>
      <c r="U40" s="670">
        <f t="shared" si="11"/>
        <v>100</v>
      </c>
      <c r="V40" s="669" t="s">
        <v>14</v>
      </c>
      <c r="W40" s="670">
        <f t="shared" si="12"/>
        <v>100</v>
      </c>
      <c r="X40" s="671"/>
      <c r="Y40" s="338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6" t="str">
        <f>A41</f>
        <v>成交单价</v>
      </c>
      <c r="Q41" s="3376"/>
      <c r="R41" s="3377">
        <f>E41</f>
        <v>0</v>
      </c>
      <c r="S41" s="3377"/>
      <c r="T41" s="3377">
        <f>G41</f>
        <v>0</v>
      </c>
      <c r="U41" s="3377"/>
      <c r="V41" s="3377">
        <f>I41</f>
        <v>0</v>
      </c>
      <c r="W41" s="337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6" t="str">
        <f>A42</f>
        <v>比较价值（元/平方米）</v>
      </c>
      <c r="Q42" s="3376"/>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3" t="str">
        <f>A43</f>
        <v>估价对象XX用房的比较价值（楼面单价，元/平方米）</v>
      </c>
      <c r="Q43" s="3374"/>
      <c r="R43" s="3436" t="e">
        <f>ROUND(IF(D42="简单平均",AVERAGE(R42:W42),R42*F42+T42*H42+V42*J42),0)</f>
        <v>#DIV/0!</v>
      </c>
      <c r="S43" s="3436"/>
      <c r="T43" s="3436"/>
      <c r="U43" s="3436"/>
      <c r="V43" s="3436"/>
      <c r="W43" s="343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1" t="s">
        <v>1887</v>
      </c>
      <c r="H50" s="343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196.11</v>
      </c>
      <c r="F51" s="611" t="e">
        <f t="shared" ref="F51:F60" si="15">ROUND(B51*E51/10000,0)</f>
        <v>#DIV/0!</v>
      </c>
      <c r="G51" s="3387"/>
      <c r="H51" s="33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5" t="s">
        <v>2084</v>
      </c>
      <c r="D1" s="3446"/>
      <c r="E1" s="3446"/>
      <c r="F1" s="3446"/>
      <c r="G1" s="3446"/>
      <c r="H1" s="3446"/>
      <c r="I1" s="3446"/>
      <c r="J1" s="3446"/>
      <c r="K1" s="3446"/>
      <c r="L1" s="3446"/>
      <c r="M1" s="3446"/>
      <c r="N1" s="3446"/>
      <c r="O1" s="3446"/>
      <c r="P1" s="3446"/>
      <c r="Q1" s="3446"/>
      <c r="R1" s="3446"/>
      <c r="S1" s="344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5"/>
      <c r="B4" s="3456"/>
      <c r="C4" s="3456"/>
      <c r="D4" s="3457"/>
      <c r="E4" s="3457"/>
      <c r="F4" s="3457"/>
      <c r="G4" s="3457"/>
      <c r="H4" s="3457"/>
      <c r="I4" s="3457"/>
      <c r="J4" s="34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2" t="s">
        <v>1960</v>
      </c>
      <c r="X8" s="34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4"/>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9" t="s">
        <v>3254</v>
      </c>
      <c r="B20" s="159" t="s">
        <v>1994</v>
      </c>
      <c r="C20" s="3031" t="e">
        <f>ROUND(IF(F21="与级别开发程度一致",0,(G21-E21)/C21),0)</f>
        <v>#DIV/0!</v>
      </c>
      <c r="D20" s="3046" t="s">
        <v>1998</v>
      </c>
      <c r="E20" s="3047"/>
      <c r="F20" s="3465" t="s">
        <v>1995</v>
      </c>
      <c r="G20" s="346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45792</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4"/>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1" t="s">
        <v>3294</v>
      </c>
      <c r="B103" s="3461"/>
      <c r="C103" s="3461"/>
      <c r="D103" s="3461"/>
      <c r="E103" s="3461"/>
      <c r="F103" s="3461"/>
      <c r="G103" s="3461"/>
      <c r="H103" s="3461"/>
      <c r="I103" s="3461"/>
      <c r="J103" s="3461"/>
      <c r="K103" s="1667"/>
      <c r="L103" s="1667"/>
      <c r="M103" s="1667"/>
      <c r="N103" s="1667"/>
    </row>
    <row r="104" spans="1:14">
      <c r="A104" s="3462" t="s">
        <v>3295</v>
      </c>
      <c r="B104" s="3462" t="s">
        <v>3296</v>
      </c>
      <c r="C104" s="3090" t="s">
        <v>3297</v>
      </c>
      <c r="D104" s="3091"/>
      <c r="E104" s="3091"/>
      <c r="F104" s="3091"/>
      <c r="G104" s="3091"/>
      <c r="H104" s="3091"/>
      <c r="I104" s="3091"/>
      <c r="J104" s="3092"/>
      <c r="K104" s="3093"/>
      <c r="L104" s="3093"/>
      <c r="M104" s="3093"/>
      <c r="N104" s="3093"/>
    </row>
    <row r="105" spans="1:14">
      <c r="A105" s="3462"/>
      <c r="B105" s="3462"/>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8"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9"/>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1" t="s">
        <v>3311</v>
      </c>
      <c r="B113" s="3451"/>
      <c r="C113" s="3451"/>
      <c r="D113" s="3451"/>
      <c r="E113" s="3451"/>
      <c r="F113" s="3451"/>
      <c r="G113" s="3451"/>
      <c r="H113" s="3451"/>
      <c r="I113" s="3451"/>
      <c r="J113" s="345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t="e">
        <f ca="1">结果表!H101</f>
        <v>#REF!</v>
      </c>
    </row>
    <row r="6" spans="1:5" ht="15.6">
      <c r="B6" s="3164"/>
      <c r="C6" s="1392" t="s">
        <v>911</v>
      </c>
      <c r="D6" s="797" t="e">
        <f ca="1">NUMBERSTRING(INT(D5*10000),2)&amp;"元整"</f>
        <v>#REF!</v>
      </c>
    </row>
    <row r="7" spans="1:5" ht="15.6">
      <c r="B7" s="3169"/>
      <c r="C7" s="1393" t="s">
        <v>912</v>
      </c>
      <c r="D7" s="798" t="e">
        <f ca="1">结果表!H102</f>
        <v>#REF!</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t="e">
        <f ca="1">结果表!H107</f>
        <v>#REF!</v>
      </c>
    </row>
    <row r="14" spans="1:5" ht="15.6">
      <c r="B14" s="3164"/>
      <c r="C14" s="1392" t="s">
        <v>911</v>
      </c>
      <c r="D14" s="797" t="e">
        <f ca="1">NUMBERSTRING(INT(D13*10000),2)&amp;"元整"</f>
        <v>#REF!</v>
      </c>
    </row>
    <row r="15" spans="1:5" ht="15.6">
      <c r="B15" s="3169"/>
      <c r="C15" s="1393" t="s">
        <v>921</v>
      </c>
      <c r="D15" s="806" t="e">
        <f ca="1">结果表!H108</f>
        <v>#REF!</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6" t="s">
        <v>2607</v>
      </c>
      <c r="B20" s="3471" t="s">
        <v>2628</v>
      </c>
      <c r="C20" s="2842" t="s">
        <v>2439</v>
      </c>
      <c r="D20" s="2843"/>
      <c r="E20" s="2844">
        <v>1</v>
      </c>
      <c r="F20" s="2845" t="s">
        <v>2440</v>
      </c>
      <c r="G20" s="2845"/>
    </row>
    <row r="21" spans="1:13" ht="19.5" customHeight="1">
      <c r="A21" s="3477"/>
      <c r="B21" s="3470"/>
      <c r="C21" s="2846" t="s">
        <v>2441</v>
      </c>
      <c r="D21" s="2847"/>
      <c r="E21" s="2848">
        <v>1</v>
      </c>
      <c r="F21" s="2845" t="s">
        <v>2442</v>
      </c>
      <c r="G21" s="2845"/>
    </row>
    <row r="22" spans="1:13" ht="19.5" customHeight="1">
      <c r="A22" s="3477"/>
      <c r="B22" s="3470"/>
      <c r="C22" s="2846" t="s">
        <v>2443</v>
      </c>
      <c r="D22" s="2847"/>
      <c r="E22" s="2848">
        <v>0.9</v>
      </c>
      <c r="F22" s="2845" t="s">
        <v>2444</v>
      </c>
      <c r="G22" s="2845"/>
    </row>
    <row r="23" spans="1:13" ht="19.5" customHeight="1">
      <c r="A23" s="3477"/>
      <c r="B23" s="3470"/>
      <c r="C23" s="2846" t="s">
        <v>2445</v>
      </c>
      <c r="D23" s="2847"/>
      <c r="E23" s="2848">
        <v>0.9</v>
      </c>
      <c r="F23" s="2845" t="s">
        <v>2446</v>
      </c>
      <c r="G23" s="2845"/>
    </row>
    <row r="24" spans="1:13" ht="19.5" customHeight="1">
      <c r="A24" s="3477"/>
      <c r="B24" s="3470"/>
      <c r="C24" s="2846" t="s">
        <v>2447</v>
      </c>
      <c r="D24" s="2847"/>
      <c r="E24" s="2848">
        <v>0.8</v>
      </c>
      <c r="F24" s="2845" t="s">
        <v>2448</v>
      </c>
      <c r="G24" s="2845"/>
    </row>
    <row r="25" spans="1:13" ht="19.5" customHeight="1" thickBot="1">
      <c r="A25" s="3478"/>
      <c r="B25" s="3472"/>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3" t="s">
        <v>2631</v>
      </c>
      <c r="B27" s="3471" t="s">
        <v>2612</v>
      </c>
      <c r="C27" s="2842" t="s">
        <v>2452</v>
      </c>
      <c r="D27" s="2843"/>
      <c r="E27" s="2844">
        <v>1</v>
      </c>
      <c r="F27" s="2845" t="s">
        <v>2453</v>
      </c>
      <c r="G27" s="2845"/>
    </row>
    <row r="28" spans="1:13" ht="19.5" customHeight="1">
      <c r="A28" s="3474"/>
      <c r="B28" s="3470"/>
      <c r="C28" s="2846" t="s">
        <v>2454</v>
      </c>
      <c r="D28" s="2847"/>
      <c r="E28" s="2848">
        <v>1</v>
      </c>
      <c r="F28" s="2845" t="s">
        <v>2455</v>
      </c>
      <c r="G28" s="2845"/>
    </row>
    <row r="29" spans="1:13" ht="19.5" customHeight="1">
      <c r="A29" s="3474"/>
      <c r="B29" s="3470"/>
      <c r="C29" s="2846" t="s">
        <v>2456</v>
      </c>
      <c r="D29" s="2847"/>
      <c r="E29" s="2848">
        <v>0.8</v>
      </c>
      <c r="F29" s="2845" t="s">
        <v>2457</v>
      </c>
      <c r="G29" s="2845"/>
    </row>
    <row r="30" spans="1:13" ht="19.5" customHeight="1">
      <c r="A30" s="3474"/>
      <c r="B30" s="3470"/>
      <c r="C30" s="2846" t="s">
        <v>2458</v>
      </c>
      <c r="D30" s="2847"/>
      <c r="E30" s="2848">
        <v>0.8</v>
      </c>
      <c r="F30" s="2845" t="s">
        <v>2459</v>
      </c>
      <c r="G30" s="2845"/>
    </row>
    <row r="31" spans="1:13" ht="19.5" customHeight="1">
      <c r="A31" s="3474"/>
      <c r="B31" s="3470"/>
      <c r="C31" s="2846" t="s">
        <v>2460</v>
      </c>
      <c r="D31" s="2847"/>
      <c r="E31" s="2848">
        <v>0.8</v>
      </c>
      <c r="F31" s="2845" t="s">
        <v>2461</v>
      </c>
      <c r="G31" s="2845"/>
    </row>
    <row r="32" spans="1:13" ht="19.5" customHeight="1">
      <c r="A32" s="3474"/>
      <c r="B32" s="3470"/>
      <c r="C32" s="2846" t="s">
        <v>2462</v>
      </c>
      <c r="D32" s="2847"/>
      <c r="E32" s="2848">
        <v>0.7</v>
      </c>
      <c r="F32" s="2845" t="s">
        <v>2463</v>
      </c>
      <c r="G32" s="2845"/>
    </row>
    <row r="33" spans="1:7" ht="19.5" customHeight="1">
      <c r="A33" s="3474"/>
      <c r="B33" s="3470"/>
      <c r="C33" s="2846" t="s">
        <v>2464</v>
      </c>
      <c r="D33" s="2847"/>
      <c r="E33" s="2848">
        <v>0.8</v>
      </c>
      <c r="F33" s="2845" t="s">
        <v>2465</v>
      </c>
      <c r="G33" s="2845"/>
    </row>
    <row r="34" spans="1:7" ht="19.5" customHeight="1">
      <c r="A34" s="3474"/>
      <c r="B34" s="3470"/>
      <c r="C34" s="2846" t="s">
        <v>2466</v>
      </c>
      <c r="D34" s="2847"/>
      <c r="E34" s="2848">
        <v>0.6</v>
      </c>
      <c r="F34" s="2845" t="s">
        <v>2467</v>
      </c>
      <c r="G34" s="2845"/>
    </row>
    <row r="35" spans="1:7" ht="19.5" customHeight="1">
      <c r="A35" s="3474"/>
      <c r="B35" s="3470"/>
      <c r="C35" s="2846" t="s">
        <v>2468</v>
      </c>
      <c r="D35" s="2847"/>
      <c r="E35" s="2848">
        <v>0.2</v>
      </c>
      <c r="F35" s="2845" t="s">
        <v>2469</v>
      </c>
      <c r="G35" s="2845"/>
    </row>
    <row r="36" spans="1:7" ht="19.5" customHeight="1">
      <c r="A36" s="3474"/>
      <c r="B36" s="3470"/>
      <c r="C36" s="2846" t="s">
        <v>2470</v>
      </c>
      <c r="D36" s="2847"/>
      <c r="E36" s="2848">
        <v>0.2</v>
      </c>
      <c r="F36" s="2845" t="s">
        <v>2471</v>
      </c>
      <c r="G36" s="2845"/>
    </row>
    <row r="37" spans="1:7" ht="19.5" customHeight="1">
      <c r="A37" s="3474"/>
      <c r="B37" s="3468" t="s">
        <v>2632</v>
      </c>
      <c r="C37" s="2846" t="s">
        <v>2472</v>
      </c>
      <c r="D37" s="2847"/>
      <c r="E37" s="2848">
        <v>0.6</v>
      </c>
      <c r="F37" s="2845" t="s">
        <v>2473</v>
      </c>
      <c r="G37" s="2845"/>
    </row>
    <row r="38" spans="1:7" ht="19.5" customHeight="1">
      <c r="A38" s="3474"/>
      <c r="B38" s="3470"/>
      <c r="C38" s="2846" t="s">
        <v>2474</v>
      </c>
      <c r="D38" s="2847"/>
      <c r="E38" s="2848">
        <v>0.6</v>
      </c>
      <c r="F38" s="2845" t="s">
        <v>2475</v>
      </c>
      <c r="G38" s="2845"/>
    </row>
    <row r="39" spans="1:7" ht="19.5" customHeight="1" thickBot="1">
      <c r="A39" s="3475"/>
      <c r="B39" s="3472"/>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76" t="s">
        <v>2610</v>
      </c>
      <c r="B41" s="3471" t="s">
        <v>2634</v>
      </c>
      <c r="C41" s="2842" t="s">
        <v>2479</v>
      </c>
      <c r="D41" s="2843"/>
      <c r="E41" s="2844">
        <v>1</v>
      </c>
      <c r="F41" s="2845" t="s">
        <v>2480</v>
      </c>
      <c r="G41" s="2845"/>
    </row>
    <row r="42" spans="1:7" ht="19.5" customHeight="1">
      <c r="A42" s="3477"/>
      <c r="B42" s="3470"/>
      <c r="C42" s="2846" t="s">
        <v>2481</v>
      </c>
      <c r="D42" s="2847"/>
      <c r="E42" s="2848">
        <v>1</v>
      </c>
      <c r="F42" s="2845" t="s">
        <v>2482</v>
      </c>
      <c r="G42" s="2845"/>
    </row>
    <row r="43" spans="1:7" ht="19.5" customHeight="1">
      <c r="A43" s="3477"/>
      <c r="B43" s="3469"/>
      <c r="C43" s="2846" t="s">
        <v>2483</v>
      </c>
      <c r="D43" s="2847"/>
      <c r="E43" s="2848">
        <v>1.5</v>
      </c>
      <c r="F43" s="2845" t="s">
        <v>2484</v>
      </c>
      <c r="G43" s="2845"/>
    </row>
    <row r="44" spans="1:7" ht="19.5" customHeight="1">
      <c r="A44" s="3477"/>
      <c r="B44" s="2857" t="s">
        <v>2635</v>
      </c>
      <c r="C44" s="2846" t="s">
        <v>2636</v>
      </c>
      <c r="D44" s="2847"/>
      <c r="E44" s="2848">
        <v>2</v>
      </c>
      <c r="F44" s="2845" t="s">
        <v>2485</v>
      </c>
      <c r="G44" s="2845"/>
    </row>
    <row r="45" spans="1:7" ht="19.5" customHeight="1">
      <c r="A45" s="3477"/>
      <c r="B45" s="3468" t="s">
        <v>2637</v>
      </c>
      <c r="C45" s="2846" t="s">
        <v>2486</v>
      </c>
      <c r="D45" s="2847"/>
      <c r="E45" s="2848">
        <v>1</v>
      </c>
      <c r="F45" s="2845" t="s">
        <v>2487</v>
      </c>
      <c r="G45" s="2845"/>
    </row>
    <row r="46" spans="1:7" ht="19.5" customHeight="1">
      <c r="A46" s="3477"/>
      <c r="B46" s="3470"/>
      <c r="C46" s="2846" t="s">
        <v>2488</v>
      </c>
      <c r="D46" s="2847"/>
      <c r="E46" s="2848">
        <v>1</v>
      </c>
      <c r="F46" s="2845" t="s">
        <v>2489</v>
      </c>
      <c r="G46" s="2845"/>
    </row>
    <row r="47" spans="1:7" ht="19.5" customHeight="1">
      <c r="A47" s="3477"/>
      <c r="B47" s="3470"/>
      <c r="C47" s="2846" t="s">
        <v>2490</v>
      </c>
      <c r="D47" s="2847"/>
      <c r="E47" s="2848">
        <v>1</v>
      </c>
      <c r="F47" s="2845" t="s">
        <v>2491</v>
      </c>
      <c r="G47" s="2845"/>
    </row>
    <row r="48" spans="1:7" ht="19.5" customHeight="1">
      <c r="A48" s="3477"/>
      <c r="B48" s="3470"/>
      <c r="C48" s="2846" t="s">
        <v>2492</v>
      </c>
      <c r="D48" s="2847"/>
      <c r="E48" s="2848">
        <v>1</v>
      </c>
      <c r="F48" s="2845" t="s">
        <v>2493</v>
      </c>
      <c r="G48" s="2845"/>
    </row>
    <row r="49" spans="1:7" ht="19.5" customHeight="1">
      <c r="A49" s="3477"/>
      <c r="B49" s="3470"/>
      <c r="C49" s="2846" t="s">
        <v>2494</v>
      </c>
      <c r="D49" s="2847"/>
      <c r="E49" s="2848">
        <v>1</v>
      </c>
      <c r="F49" s="2845" t="s">
        <v>2495</v>
      </c>
      <c r="G49" s="2845"/>
    </row>
    <row r="50" spans="1:7" ht="19.5" customHeight="1">
      <c r="A50" s="3477"/>
      <c r="B50" s="3470"/>
      <c r="C50" s="2846" t="s">
        <v>2496</v>
      </c>
      <c r="D50" s="2847"/>
      <c r="E50" s="2848">
        <v>1</v>
      </c>
      <c r="F50" s="2845" t="s">
        <v>2497</v>
      </c>
      <c r="G50" s="2845"/>
    </row>
    <row r="51" spans="1:7" ht="19.5" customHeight="1" thickBot="1">
      <c r="A51" s="3478"/>
      <c r="B51" s="3472"/>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68" t="s">
        <v>2651</v>
      </c>
      <c r="C73" s="2831" t="s">
        <v>2652</v>
      </c>
      <c r="D73" s="2831" t="s">
        <v>2653</v>
      </c>
      <c r="E73" s="2857">
        <v>0.2</v>
      </c>
      <c r="F73" s="2857">
        <v>25</v>
      </c>
    </row>
    <row r="74" spans="1:7" ht="24">
      <c r="A74" s="2857">
        <v>2</v>
      </c>
      <c r="B74" s="3470"/>
      <c r="C74" s="2831" t="s">
        <v>2654</v>
      </c>
      <c r="D74" s="2831" t="s">
        <v>2655</v>
      </c>
      <c r="E74" s="2857">
        <v>0.2</v>
      </c>
      <c r="F74" s="2857">
        <v>25</v>
      </c>
    </row>
    <row r="75" spans="1:7" ht="24">
      <c r="A75" s="2857">
        <v>3</v>
      </c>
      <c r="B75" s="3470"/>
      <c r="C75" s="2831" t="s">
        <v>2656</v>
      </c>
      <c r="D75" s="2831" t="s">
        <v>2657</v>
      </c>
      <c r="E75" s="2857">
        <v>0.2</v>
      </c>
      <c r="F75" s="2857">
        <v>25</v>
      </c>
    </row>
    <row r="76" spans="1:7" ht="14.4">
      <c r="A76" s="2857">
        <v>4</v>
      </c>
      <c r="B76" s="3470"/>
      <c r="C76" s="2831" t="s">
        <v>2658</v>
      </c>
      <c r="D76" s="2831" t="s">
        <v>2659</v>
      </c>
      <c r="E76" s="2857">
        <v>0.15</v>
      </c>
      <c r="F76" s="2857">
        <v>20</v>
      </c>
    </row>
    <row r="77" spans="1:7" ht="24">
      <c r="A77" s="2857">
        <v>5</v>
      </c>
      <c r="B77" s="3470"/>
      <c r="C77" s="2831" t="s">
        <v>2660</v>
      </c>
      <c r="D77" s="2831" t="s">
        <v>2661</v>
      </c>
      <c r="E77" s="2857">
        <v>0.15</v>
      </c>
      <c r="F77" s="2857">
        <v>20</v>
      </c>
    </row>
    <row r="78" spans="1:7" ht="24">
      <c r="A78" s="2857">
        <v>6</v>
      </c>
      <c r="B78" s="3470"/>
      <c r="C78" s="2831" t="s">
        <v>2662</v>
      </c>
      <c r="D78" s="2831" t="s">
        <v>2663</v>
      </c>
      <c r="E78" s="2857">
        <v>0.15</v>
      </c>
      <c r="F78" s="2857">
        <v>20</v>
      </c>
    </row>
    <row r="79" spans="1:7" ht="24">
      <c r="A79" s="2857">
        <v>7</v>
      </c>
      <c r="B79" s="3470"/>
      <c r="C79" s="2831" t="s">
        <v>2664</v>
      </c>
      <c r="D79" s="2831" t="s">
        <v>2665</v>
      </c>
      <c r="E79" s="2857">
        <v>0.15</v>
      </c>
      <c r="F79" s="2857">
        <v>20</v>
      </c>
    </row>
    <row r="80" spans="1:7" ht="24">
      <c r="A80" s="2857">
        <v>8</v>
      </c>
      <c r="B80" s="3470"/>
      <c r="C80" s="2831" t="s">
        <v>2666</v>
      </c>
      <c r="D80" s="2831" t="s">
        <v>2667</v>
      </c>
      <c r="E80" s="2857">
        <v>0.1</v>
      </c>
      <c r="F80" s="2857">
        <v>15</v>
      </c>
    </row>
    <row r="81" spans="1:6" ht="24">
      <c r="A81" s="2857">
        <v>9</v>
      </c>
      <c r="B81" s="3470"/>
      <c r="C81" s="2831" t="s">
        <v>2668</v>
      </c>
      <c r="D81" s="2831" t="s">
        <v>2669</v>
      </c>
      <c r="E81" s="2857">
        <v>0.1</v>
      </c>
      <c r="F81" s="2857">
        <v>15</v>
      </c>
    </row>
    <row r="82" spans="1:6" ht="24">
      <c r="A82" s="2857">
        <v>10</v>
      </c>
      <c r="B82" s="3470"/>
      <c r="C82" s="2831" t="s">
        <v>2670</v>
      </c>
      <c r="D82" s="2831" t="s">
        <v>2671</v>
      </c>
      <c r="E82" s="2857">
        <v>0.1</v>
      </c>
      <c r="F82" s="2857">
        <v>15</v>
      </c>
    </row>
    <row r="83" spans="1:6" ht="24">
      <c r="A83" s="2857">
        <v>11</v>
      </c>
      <c r="B83" s="3470"/>
      <c r="C83" s="2831" t="s">
        <v>2672</v>
      </c>
      <c r="D83" s="2831" t="s">
        <v>2673</v>
      </c>
      <c r="E83" s="2857">
        <v>0.1</v>
      </c>
      <c r="F83" s="2857">
        <v>15</v>
      </c>
    </row>
    <row r="84" spans="1:6" ht="24">
      <c r="A84" s="2857">
        <v>12</v>
      </c>
      <c r="B84" s="3470"/>
      <c r="C84" s="2831" t="s">
        <v>2674</v>
      </c>
      <c r="D84" s="2831" t="s">
        <v>2675</v>
      </c>
      <c r="E84" s="2857">
        <v>0.1</v>
      </c>
      <c r="F84" s="2857">
        <v>15</v>
      </c>
    </row>
    <row r="85" spans="1:6" ht="24">
      <c r="A85" s="2857">
        <v>13</v>
      </c>
      <c r="B85" s="3470"/>
      <c r="C85" s="2831" t="s">
        <v>2676</v>
      </c>
      <c r="D85" s="2831" t="s">
        <v>2677</v>
      </c>
      <c r="E85" s="2857">
        <v>0.1</v>
      </c>
      <c r="F85" s="2857">
        <v>15</v>
      </c>
    </row>
    <row r="86" spans="1:6" ht="24">
      <c r="A86" s="2857">
        <v>14</v>
      </c>
      <c r="B86" s="3470"/>
      <c r="C86" s="2831" t="s">
        <v>2678</v>
      </c>
      <c r="D86" s="2831" t="s">
        <v>2679</v>
      </c>
      <c r="E86" s="2857">
        <v>0.1</v>
      </c>
      <c r="F86" s="2857">
        <v>15</v>
      </c>
    </row>
    <row r="87" spans="1:6" ht="24">
      <c r="A87" s="2857">
        <v>15</v>
      </c>
      <c r="B87" s="3470"/>
      <c r="C87" s="2831" t="s">
        <v>2680</v>
      </c>
      <c r="D87" s="2831" t="s">
        <v>2681</v>
      </c>
      <c r="E87" s="2857">
        <v>0.1</v>
      </c>
      <c r="F87" s="2857">
        <v>15</v>
      </c>
    </row>
    <row r="88" spans="1:6" ht="24">
      <c r="A88" s="2857">
        <v>16</v>
      </c>
      <c r="B88" s="3470"/>
      <c r="C88" s="2831" t="s">
        <v>2682</v>
      </c>
      <c r="D88" s="2831" t="s">
        <v>2683</v>
      </c>
      <c r="E88" s="2857">
        <v>0.1</v>
      </c>
      <c r="F88" s="2857">
        <v>15</v>
      </c>
    </row>
    <row r="89" spans="1:6" ht="24">
      <c r="A89" s="2857">
        <v>17</v>
      </c>
      <c r="B89" s="3469"/>
      <c r="C89" s="2831" t="s">
        <v>2684</v>
      </c>
      <c r="D89" s="2831" t="s">
        <v>2685</v>
      </c>
      <c r="E89" s="2857">
        <v>0.1</v>
      </c>
      <c r="F89" s="2857">
        <v>15</v>
      </c>
    </row>
    <row r="90" spans="1:6" ht="14.4">
      <c r="A90" s="2857">
        <v>18</v>
      </c>
      <c r="B90" s="3468" t="s">
        <v>2686</v>
      </c>
      <c r="C90" s="2831" t="s">
        <v>2687</v>
      </c>
      <c r="D90" s="2831" t="s">
        <v>2688</v>
      </c>
      <c r="E90" s="2857">
        <v>0.2</v>
      </c>
      <c r="F90" s="2857">
        <v>25</v>
      </c>
    </row>
    <row r="91" spans="1:6" ht="24">
      <c r="A91" s="2857">
        <v>19</v>
      </c>
      <c r="B91" s="3470"/>
      <c r="C91" s="2831" t="s">
        <v>2689</v>
      </c>
      <c r="D91" s="2831" t="s">
        <v>2690</v>
      </c>
      <c r="E91" s="2857">
        <v>0.2</v>
      </c>
      <c r="F91" s="2857">
        <v>25</v>
      </c>
    </row>
    <row r="92" spans="1:6" ht="14.4">
      <c r="A92" s="2857">
        <v>20</v>
      </c>
      <c r="B92" s="3470"/>
      <c r="C92" s="2831" t="s">
        <v>2691</v>
      </c>
      <c r="D92" s="2831" t="s">
        <v>2692</v>
      </c>
      <c r="E92" s="2857">
        <v>0.15</v>
      </c>
      <c r="F92" s="2857">
        <v>20</v>
      </c>
    </row>
    <row r="93" spans="1:6" ht="24">
      <c r="A93" s="2857">
        <v>21</v>
      </c>
      <c r="B93" s="3470"/>
      <c r="C93" s="2831" t="s">
        <v>2693</v>
      </c>
      <c r="D93" s="2831" t="s">
        <v>2694</v>
      </c>
      <c r="E93" s="2857">
        <v>0.15</v>
      </c>
      <c r="F93" s="2857">
        <v>20</v>
      </c>
    </row>
    <row r="94" spans="1:6" ht="24">
      <c r="A94" s="2857">
        <v>22</v>
      </c>
      <c r="B94" s="3470"/>
      <c r="C94" s="2831" t="s">
        <v>2695</v>
      </c>
      <c r="D94" s="2831" t="s">
        <v>2696</v>
      </c>
      <c r="E94" s="2857">
        <v>0.15</v>
      </c>
      <c r="F94" s="2857">
        <v>20</v>
      </c>
    </row>
    <row r="95" spans="1:6" ht="36">
      <c r="A95" s="2857">
        <v>23</v>
      </c>
      <c r="B95" s="3470"/>
      <c r="C95" s="2831" t="s">
        <v>2697</v>
      </c>
      <c r="D95" s="2831" t="s">
        <v>2698</v>
      </c>
      <c r="E95" s="2857">
        <v>0.15</v>
      </c>
      <c r="F95" s="2857">
        <v>20</v>
      </c>
    </row>
    <row r="96" spans="1:6" ht="24">
      <c r="A96" s="2857">
        <v>24</v>
      </c>
      <c r="B96" s="3470"/>
      <c r="C96" s="2831" t="s">
        <v>2699</v>
      </c>
      <c r="D96" s="2831" t="s">
        <v>2700</v>
      </c>
      <c r="E96" s="2857">
        <v>0.1</v>
      </c>
      <c r="F96" s="2857">
        <v>15</v>
      </c>
    </row>
    <row r="97" spans="1:6" ht="24">
      <c r="A97" s="2857">
        <v>25</v>
      </c>
      <c r="B97" s="3470"/>
      <c r="C97" s="2831" t="s">
        <v>2701</v>
      </c>
      <c r="D97" s="2831" t="s">
        <v>2702</v>
      </c>
      <c r="E97" s="2857">
        <v>0.1</v>
      </c>
      <c r="F97" s="2857">
        <v>15</v>
      </c>
    </row>
    <row r="98" spans="1:6" ht="24">
      <c r="A98" s="2857">
        <v>26</v>
      </c>
      <c r="B98" s="3470"/>
      <c r="C98" s="2831" t="s">
        <v>2703</v>
      </c>
      <c r="D98" s="2831" t="s">
        <v>2704</v>
      </c>
      <c r="E98" s="2857">
        <v>0.1</v>
      </c>
      <c r="F98" s="2857">
        <v>15</v>
      </c>
    </row>
    <row r="99" spans="1:6" ht="24">
      <c r="A99" s="2857">
        <v>27</v>
      </c>
      <c r="B99" s="3470"/>
      <c r="C99" s="2831" t="s">
        <v>2705</v>
      </c>
      <c r="D99" s="2831" t="s">
        <v>2706</v>
      </c>
      <c r="E99" s="2857">
        <v>0.1</v>
      </c>
      <c r="F99" s="2857">
        <v>15</v>
      </c>
    </row>
    <row r="100" spans="1:6" ht="24">
      <c r="A100" s="2857">
        <v>28</v>
      </c>
      <c r="B100" s="3470"/>
      <c r="C100" s="2831" t="s">
        <v>2707</v>
      </c>
      <c r="D100" s="2831" t="s">
        <v>2708</v>
      </c>
      <c r="E100" s="2857">
        <v>0.1</v>
      </c>
      <c r="F100" s="2857">
        <v>15</v>
      </c>
    </row>
    <row r="101" spans="1:6" ht="24">
      <c r="A101" s="2857">
        <v>29</v>
      </c>
      <c r="B101" s="3470"/>
      <c r="C101" s="2831" t="s">
        <v>2709</v>
      </c>
      <c r="D101" s="2831" t="s">
        <v>2710</v>
      </c>
      <c r="E101" s="2857">
        <v>0.1</v>
      </c>
      <c r="F101" s="2857">
        <v>15</v>
      </c>
    </row>
    <row r="102" spans="1:6" ht="24">
      <c r="A102" s="2857">
        <v>30</v>
      </c>
      <c r="B102" s="3470"/>
      <c r="C102" s="2831" t="s">
        <v>2711</v>
      </c>
      <c r="D102" s="2831" t="s">
        <v>2712</v>
      </c>
      <c r="E102" s="2857">
        <v>0.1</v>
      </c>
      <c r="F102" s="2857">
        <v>15</v>
      </c>
    </row>
    <row r="103" spans="1:6" ht="24">
      <c r="A103" s="2857">
        <v>31</v>
      </c>
      <c r="B103" s="3470"/>
      <c r="C103" s="2831" t="s">
        <v>2713</v>
      </c>
      <c r="D103" s="2831" t="s">
        <v>2714</v>
      </c>
      <c r="E103" s="2857">
        <v>0.1</v>
      </c>
      <c r="F103" s="2857">
        <v>15</v>
      </c>
    </row>
    <row r="104" spans="1:6" ht="24">
      <c r="A104" s="2857">
        <v>32</v>
      </c>
      <c r="B104" s="3470"/>
      <c r="C104" s="2831" t="s">
        <v>2715</v>
      </c>
      <c r="D104" s="2831" t="s">
        <v>2716</v>
      </c>
      <c r="E104" s="2857">
        <v>0.1</v>
      </c>
      <c r="F104" s="2857">
        <v>15</v>
      </c>
    </row>
    <row r="105" spans="1:6" ht="24">
      <c r="A105" s="2857">
        <v>33</v>
      </c>
      <c r="B105" s="3470"/>
      <c r="C105" s="2831" t="s">
        <v>2717</v>
      </c>
      <c r="D105" s="2831" t="s">
        <v>2718</v>
      </c>
      <c r="E105" s="2857">
        <v>0.1</v>
      </c>
      <c r="F105" s="2857">
        <v>15</v>
      </c>
    </row>
    <row r="106" spans="1:6" ht="24">
      <c r="A106" s="2857">
        <v>34</v>
      </c>
      <c r="B106" s="3469"/>
      <c r="C106" s="2831" t="s">
        <v>2719</v>
      </c>
      <c r="D106" s="2831" t="s">
        <v>2720</v>
      </c>
      <c r="E106" s="2857">
        <v>0.1</v>
      </c>
      <c r="F106" s="2857">
        <v>15</v>
      </c>
    </row>
    <row r="107" spans="1:6" ht="36">
      <c r="A107" s="2857">
        <v>35</v>
      </c>
      <c r="B107" s="3468" t="s">
        <v>2721</v>
      </c>
      <c r="C107" s="2857" t="s">
        <v>2722</v>
      </c>
      <c r="D107" s="2831" t="s">
        <v>2723</v>
      </c>
      <c r="E107" s="2857">
        <v>0.15</v>
      </c>
      <c r="F107" s="2857">
        <v>20</v>
      </c>
    </row>
    <row r="108" spans="1:6" ht="24">
      <c r="A108" s="2857">
        <v>36</v>
      </c>
      <c r="B108" s="3470"/>
      <c r="C108" s="2857" t="s">
        <v>2724</v>
      </c>
      <c r="D108" s="2831" t="s">
        <v>2725</v>
      </c>
      <c r="E108" s="2857">
        <v>0.15</v>
      </c>
      <c r="F108" s="2857">
        <v>20</v>
      </c>
    </row>
    <row r="109" spans="1:6" ht="24">
      <c r="A109" s="2857">
        <v>37</v>
      </c>
      <c r="B109" s="3470"/>
      <c r="C109" s="2857" t="s">
        <v>2726</v>
      </c>
      <c r="D109" s="2831" t="s">
        <v>2727</v>
      </c>
      <c r="E109" s="2857">
        <v>0.15</v>
      </c>
      <c r="F109" s="2857">
        <v>20</v>
      </c>
    </row>
    <row r="110" spans="1:6" ht="24">
      <c r="A110" s="2857">
        <v>38</v>
      </c>
      <c r="B110" s="3470"/>
      <c r="C110" s="2857" t="s">
        <v>2728</v>
      </c>
      <c r="D110" s="2831" t="s">
        <v>2729</v>
      </c>
      <c r="E110" s="2857">
        <v>0.1</v>
      </c>
      <c r="F110" s="2857">
        <v>15</v>
      </c>
    </row>
    <row r="111" spans="1:6" ht="24">
      <c r="A111" s="2857">
        <v>39</v>
      </c>
      <c r="B111" s="3470"/>
      <c r="C111" s="2857" t="s">
        <v>2730</v>
      </c>
      <c r="D111" s="2831" t="s">
        <v>2731</v>
      </c>
      <c r="E111" s="2857">
        <v>0.1</v>
      </c>
      <c r="F111" s="2857">
        <v>15</v>
      </c>
    </row>
    <row r="112" spans="1:6" ht="24">
      <c r="A112" s="2857">
        <v>40</v>
      </c>
      <c r="B112" s="3469"/>
      <c r="C112" s="2857" t="s">
        <v>2732</v>
      </c>
      <c r="D112" s="2831" t="s">
        <v>2733</v>
      </c>
      <c r="E112" s="2857">
        <v>0.1</v>
      </c>
      <c r="F112" s="2857">
        <v>15</v>
      </c>
    </row>
    <row r="113" spans="1:6" ht="24">
      <c r="A113" s="2857">
        <v>41</v>
      </c>
      <c r="B113" s="3467" t="s">
        <v>2734</v>
      </c>
      <c r="C113" s="2857" t="s">
        <v>2735</v>
      </c>
      <c r="D113" s="2831" t="s">
        <v>2736</v>
      </c>
      <c r="E113" s="2857">
        <v>0.1</v>
      </c>
      <c r="F113" s="2857">
        <v>15</v>
      </c>
    </row>
    <row r="114" spans="1:6" ht="24">
      <c r="A114" s="2857">
        <v>42</v>
      </c>
      <c r="B114" s="3467"/>
      <c r="C114" s="2857" t="s">
        <v>2737</v>
      </c>
      <c r="D114" s="2831" t="s">
        <v>2738</v>
      </c>
      <c r="E114" s="2857">
        <v>0.1</v>
      </c>
      <c r="F114" s="2857">
        <v>15</v>
      </c>
    </row>
    <row r="115" spans="1:6" ht="24">
      <c r="A115" s="2857">
        <v>43</v>
      </c>
      <c r="B115" s="3467"/>
      <c r="C115" s="2857" t="s">
        <v>2739</v>
      </c>
      <c r="D115" s="2831" t="s">
        <v>2740</v>
      </c>
      <c r="E115" s="2857">
        <v>0.1</v>
      </c>
      <c r="F115" s="2857">
        <v>15</v>
      </c>
    </row>
    <row r="116" spans="1:6" ht="24">
      <c r="A116" s="2857">
        <v>44</v>
      </c>
      <c r="B116" s="3468" t="s">
        <v>2741</v>
      </c>
      <c r="C116" s="2857" t="s">
        <v>2742</v>
      </c>
      <c r="D116" s="2831" t="s">
        <v>2743</v>
      </c>
      <c r="E116" s="2857">
        <v>0.1</v>
      </c>
      <c r="F116" s="2857">
        <v>15</v>
      </c>
    </row>
    <row r="117" spans="1:6" ht="24">
      <c r="A117" s="2857">
        <v>45</v>
      </c>
      <c r="B117" s="3469"/>
      <c r="C117" s="2831" t="s">
        <v>2744</v>
      </c>
      <c r="D117" s="2831" t="s">
        <v>2745</v>
      </c>
      <c r="E117" s="2857">
        <v>0.1</v>
      </c>
      <c r="F117" s="2857">
        <v>15</v>
      </c>
    </row>
    <row r="118" spans="1:6" ht="24">
      <c r="A118" s="2857">
        <v>46</v>
      </c>
      <c r="B118" s="3468" t="s">
        <v>2746</v>
      </c>
      <c r="C118" s="2857" t="s">
        <v>2747</v>
      </c>
      <c r="D118" s="2831" t="s">
        <v>2748</v>
      </c>
      <c r="E118" s="2857">
        <v>0.1</v>
      </c>
      <c r="F118" s="2857">
        <v>15</v>
      </c>
    </row>
    <row r="119" spans="1:6" ht="24">
      <c r="A119" s="2857">
        <v>47</v>
      </c>
      <c r="B119" s="3469"/>
      <c r="C119" s="2857" t="s">
        <v>2749</v>
      </c>
      <c r="D119" s="2831" t="s">
        <v>2750</v>
      </c>
      <c r="E119" s="2857">
        <v>0.1</v>
      </c>
      <c r="F119" s="2857">
        <v>15</v>
      </c>
    </row>
    <row r="120" spans="1:6" ht="24">
      <c r="A120" s="2857">
        <v>48</v>
      </c>
      <c r="B120" s="3468" t="s">
        <v>2751</v>
      </c>
      <c r="C120" s="2857" t="s">
        <v>2752</v>
      </c>
      <c r="D120" s="2831" t="s">
        <v>2753</v>
      </c>
      <c r="E120" s="2857">
        <v>0.1</v>
      </c>
      <c r="F120" s="2857">
        <v>15</v>
      </c>
    </row>
    <row r="121" spans="1:6" ht="24">
      <c r="A121" s="2857">
        <v>49</v>
      </c>
      <c r="B121" s="3469"/>
      <c r="C121" s="2857" t="s">
        <v>2754</v>
      </c>
      <c r="D121" s="2831" t="s">
        <v>2755</v>
      </c>
      <c r="E121" s="2857">
        <v>0.1</v>
      </c>
      <c r="F121" s="2857">
        <v>15</v>
      </c>
    </row>
    <row r="122" spans="1:6" ht="24">
      <c r="A122" s="2857">
        <v>50</v>
      </c>
      <c r="B122" s="3467" t="s">
        <v>2756</v>
      </c>
      <c r="C122" s="2857" t="s">
        <v>2757</v>
      </c>
      <c r="D122" s="2831" t="s">
        <v>2758</v>
      </c>
      <c r="E122" s="2857">
        <v>0.1</v>
      </c>
      <c r="F122" s="2857">
        <v>15</v>
      </c>
    </row>
    <row r="123" spans="1:6" ht="24">
      <c r="A123" s="2857">
        <v>51</v>
      </c>
      <c r="B123" s="3467"/>
      <c r="C123" s="2857" t="s">
        <v>2759</v>
      </c>
      <c r="D123" s="2831" t="s">
        <v>2760</v>
      </c>
      <c r="E123" s="2857">
        <v>0.1</v>
      </c>
      <c r="F123" s="2857">
        <v>15</v>
      </c>
    </row>
    <row r="124" spans="1:6" ht="24">
      <c r="A124" s="2857">
        <v>52</v>
      </c>
      <c r="B124" s="3467" t="s">
        <v>2761</v>
      </c>
      <c r="C124" s="2857" t="s">
        <v>2762</v>
      </c>
      <c r="D124" s="2831" t="s">
        <v>2763</v>
      </c>
      <c r="E124" s="2857">
        <v>0.1</v>
      </c>
      <c r="F124" s="2857">
        <v>15</v>
      </c>
    </row>
    <row r="125" spans="1:6" ht="24">
      <c r="A125" s="2857">
        <v>53</v>
      </c>
      <c r="B125" s="3467"/>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67" t="s">
        <v>2769</v>
      </c>
      <c r="C127" s="2857" t="s">
        <v>2770</v>
      </c>
      <c r="D127" s="2831" t="s">
        <v>2771</v>
      </c>
      <c r="E127" s="2857">
        <v>0.1</v>
      </c>
      <c r="F127" s="2857">
        <v>15</v>
      </c>
    </row>
    <row r="128" spans="1:6" ht="24">
      <c r="A128" s="2857">
        <v>56</v>
      </c>
      <c r="B128" s="3467"/>
      <c r="C128" s="2857" t="s">
        <v>2772</v>
      </c>
      <c r="D128" s="2831" t="s">
        <v>2773</v>
      </c>
      <c r="E128" s="2857">
        <v>0.1</v>
      </c>
      <c r="F128" s="2857">
        <v>15</v>
      </c>
    </row>
    <row r="129" spans="1:6" ht="24">
      <c r="A129" s="2857">
        <v>57</v>
      </c>
      <c r="B129" s="3467"/>
      <c r="C129" s="2857" t="s">
        <v>2774</v>
      </c>
      <c r="D129" s="2831" t="s">
        <v>2775</v>
      </c>
      <c r="E129" s="2857">
        <v>0.1</v>
      </c>
      <c r="F129" s="2857">
        <v>15</v>
      </c>
    </row>
    <row r="130" spans="1:6" ht="24">
      <c r="A130" s="2857">
        <v>58</v>
      </c>
      <c r="B130" s="3467" t="s">
        <v>2776</v>
      </c>
      <c r="C130" s="2857" t="s">
        <v>2777</v>
      </c>
      <c r="D130" s="2831" t="s">
        <v>2778</v>
      </c>
      <c r="E130" s="2857">
        <v>0.1</v>
      </c>
      <c r="F130" s="2857">
        <v>15</v>
      </c>
    </row>
    <row r="131" spans="1:6" ht="24">
      <c r="A131" s="2857">
        <v>59</v>
      </c>
      <c r="B131" s="3467"/>
      <c r="C131" s="2857" t="s">
        <v>2779</v>
      </c>
      <c r="D131" s="2831" t="s">
        <v>2780</v>
      </c>
      <c r="E131" s="2857">
        <v>0.1</v>
      </c>
      <c r="F131" s="2857">
        <v>15</v>
      </c>
    </row>
    <row r="132" spans="1:6" ht="24">
      <c r="A132" s="2857">
        <v>60</v>
      </c>
      <c r="B132" s="3468" t="s">
        <v>2781</v>
      </c>
      <c r="C132" s="2857" t="s">
        <v>2782</v>
      </c>
      <c r="D132" s="2831" t="s">
        <v>2783</v>
      </c>
      <c r="E132" s="2857">
        <v>0.1</v>
      </c>
      <c r="F132" s="2857">
        <v>15</v>
      </c>
    </row>
    <row r="133" spans="1:6" ht="24">
      <c r="A133" s="2857">
        <v>61</v>
      </c>
      <c r="B133" s="3469"/>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67" t="s">
        <v>2789</v>
      </c>
      <c r="C135" s="2857" t="s">
        <v>2790</v>
      </c>
      <c r="D135" s="2831" t="s">
        <v>2791</v>
      </c>
      <c r="E135" s="2857">
        <v>0.1</v>
      </c>
      <c r="F135" s="2857">
        <v>15</v>
      </c>
    </row>
    <row r="136" spans="1:6" ht="24">
      <c r="A136" s="2857">
        <v>64</v>
      </c>
      <c r="B136" s="3467"/>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196.11</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196.11</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196.11</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4" t="s">
        <v>94</v>
      </c>
    </row>
    <row r="43" spans="1:7" ht="13.5" customHeight="1">
      <c r="A43" s="734" t="s">
        <v>347</v>
      </c>
      <c r="B43" s="207" t="s">
        <v>426</v>
      </c>
      <c r="C43" s="230" t="e">
        <f ca="1">ROUND(IF('数据-取费表'!B22&lt;=1,C39*F22*'数据-取费表'!B21/2,C39*(POWER((1+F22),'数据-取费表'!B21/2)-1)),0)</f>
        <v>#VALUE!</v>
      </c>
      <c r="D43" s="230"/>
      <c r="E43" s="230"/>
      <c r="F43" s="231"/>
      <c r="G43" s="3345"/>
    </row>
    <row r="44" spans="1:7" ht="13.5" customHeight="1">
      <c r="A44" s="734" t="s">
        <v>348</v>
      </c>
      <c r="B44" s="207" t="s">
        <v>428</v>
      </c>
      <c r="C44" s="230" t="e">
        <f ca="1">ROUND(IF('数据-取费表'!B22&lt;=1,C40*F22*'数据-取费表'!B21/2,C40*(POWER((1+F22),'数据-取费表'!B21/2)-1)),4)</f>
        <v>#VALUE!</v>
      </c>
      <c r="D44" s="230"/>
      <c r="E44" s="230"/>
      <c r="F44" s="231"/>
      <c r="G44" s="334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9" t="s">
        <v>3181</v>
      </c>
      <c r="B1" s="3479"/>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0" t="s">
        <v>3232</v>
      </c>
      <c r="B1" s="3480"/>
      <c r="C1" s="3480"/>
      <c r="D1" s="3480"/>
      <c r="E1" s="3480"/>
      <c r="F1" s="3481"/>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45792</v>
      </c>
      <c r="B1" s="2929" t="s">
        <v>3378</v>
      </c>
      <c r="C1" s="2930"/>
      <c r="D1" s="2930"/>
      <c r="E1" s="2930"/>
      <c r="F1" s="2930"/>
      <c r="G1" s="2930"/>
      <c r="H1" s="2930"/>
      <c r="I1" s="2930"/>
      <c r="J1" s="2896"/>
      <c r="K1" s="2930" t="s">
        <v>454</v>
      </c>
      <c r="L1" s="2930"/>
      <c r="M1" s="2930"/>
      <c r="N1" s="2930"/>
      <c r="O1" s="2930"/>
      <c r="P1" s="2930"/>
      <c r="Q1" s="2896"/>
      <c r="R1" s="3482" t="s">
        <v>456</v>
      </c>
      <c r="S1" s="3483"/>
      <c r="T1" s="3483"/>
      <c r="U1" s="3483"/>
      <c r="V1" s="3483"/>
      <c r="W1" s="3483"/>
      <c r="X1" s="2896"/>
      <c r="Y1" s="3482" t="s">
        <v>457</v>
      </c>
      <c r="Z1" s="3483"/>
      <c r="AA1" s="3483"/>
      <c r="AB1" s="3483"/>
      <c r="AC1" s="3483"/>
      <c r="AD1" s="3483"/>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2" t="s">
        <v>2827</v>
      </c>
      <c r="S29" s="3483"/>
      <c r="T29" s="3483"/>
      <c r="U29" s="3483"/>
      <c r="V29" s="3483"/>
      <c r="W29" s="3483"/>
      <c r="X29" s="2896"/>
      <c r="Y29" s="3482" t="s">
        <v>2828</v>
      </c>
      <c r="Z29" s="3483"/>
      <c r="AA29" s="3483"/>
      <c r="AB29" s="3483"/>
      <c r="AC29" s="3483"/>
      <c r="AD29" s="3483"/>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5" t="s">
        <v>2839</v>
      </c>
      <c r="B1" s="3495"/>
      <c r="C1" s="3495"/>
      <c r="D1" s="3495"/>
      <c r="E1" s="3495"/>
      <c r="F1" s="3495"/>
      <c r="G1" s="349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76"/>
      <c r="B3" s="3176"/>
      <c r="C3" s="3176"/>
      <c r="D3" s="801" t="s">
        <v>925</v>
      </c>
      <c r="E3" s="801" t="s">
        <v>931</v>
      </c>
      <c r="F3" s="801" t="s">
        <v>925</v>
      </c>
      <c r="G3" s="801" t="s">
        <v>926</v>
      </c>
      <c r="H3" s="801" t="s">
        <v>925</v>
      </c>
      <c r="I3" s="801" t="s">
        <v>926</v>
      </c>
    </row>
    <row r="4" spans="1:9" ht="15">
      <c r="A4" s="1403" t="str">
        <f>项目基本情况!S2</f>
        <v>北京市丰台区西三环南路14号院1号楼10层1024、1025房地产</v>
      </c>
      <c r="B4" s="801">
        <f>项目基本情况!C17</f>
        <v>196.11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6">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6">
      <c r="A8" s="3175" t="str">
        <f>结果表!A122</f>
        <v>房地产抵押价值</v>
      </c>
      <c r="B8" s="3175"/>
      <c r="C8" s="3175"/>
      <c r="D8" s="3175" t="e">
        <f ca="1">结果表!D122</f>
        <v>#REF!</v>
      </c>
      <c r="E8" s="3175"/>
      <c r="F8" s="3175"/>
      <c r="G8" s="3175"/>
      <c r="H8" s="3175"/>
      <c r="I8" s="3175"/>
    </row>
    <row r="9" spans="1:9" ht="15">
      <c r="A9" s="3176" t="s">
        <v>927</v>
      </c>
      <c r="B9" s="3176"/>
      <c r="C9" s="3176"/>
      <c r="D9" s="3176" t="e">
        <f ca="1">结果表!D123</f>
        <v>#REF!</v>
      </c>
      <c r="E9" s="3176"/>
      <c r="F9" s="3176"/>
      <c r="G9" s="3176"/>
      <c r="H9" s="3176"/>
      <c r="I9" s="3176"/>
    </row>
    <row r="10" spans="1:9" ht="15.6">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6">
      <c r="A12" s="3175" t="str">
        <f>结果表!A126</f>
        <v/>
      </c>
      <c r="B12" s="3175"/>
      <c r="C12" s="3175"/>
      <c r="D12" s="3175" t="str">
        <f>结果表!D126</f>
        <v>——</v>
      </c>
      <c r="E12" s="3175"/>
      <c r="F12" s="3175"/>
      <c r="G12" s="3175"/>
      <c r="H12" s="3175"/>
      <c r="I12" s="3175"/>
    </row>
    <row r="13" spans="1:9" ht="15.6" thickBot="1">
      <c r="A13" s="3173" t="s">
        <v>927</v>
      </c>
      <c r="B13" s="3173"/>
      <c r="C13" s="3173"/>
      <c r="D13" s="3173" t="e">
        <f>结果表!D127</f>
        <v>#VALUE!</v>
      </c>
      <c r="E13" s="3173"/>
      <c r="F13" s="3173"/>
      <c r="G13" s="3173"/>
      <c r="H13" s="3173"/>
      <c r="I13" s="3173"/>
    </row>
    <row r="14" spans="1:9" ht="14.4" thickTop="1">
      <c r="A14" s="3174" t="s">
        <v>932</v>
      </c>
      <c r="B14" s="3174"/>
      <c r="C14" s="3174"/>
      <c r="D14" s="3174"/>
      <c r="E14" s="3174"/>
      <c r="F14" s="3174"/>
      <c r="G14" s="3174"/>
      <c r="H14" s="3174"/>
      <c r="I14" s="317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8" t="s">
        <v>949</v>
      </c>
      <c r="B1" s="3188"/>
      <c r="C1" s="3188"/>
      <c r="D1" s="3188"/>
    </row>
    <row r="2" spans="1:4" ht="17.399999999999999">
      <c r="A2" s="3189" t="s">
        <v>933</v>
      </c>
      <c r="B2" s="3189"/>
      <c r="C2" s="3189"/>
      <c r="D2" s="318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9" t="s">
        <v>939</v>
      </c>
      <c r="B6" s="3189"/>
      <c r="C6" s="3189"/>
      <c r="D6" s="318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0" t="s">
        <v>942</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系统读取表</vt:lpstr>
      <vt:lpstr>速算表</vt:lpstr>
      <vt:lpstr>售价案例</vt:lpstr>
      <vt:lpstr>租金案例</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2025-05-15T02:38:00Z</dcterms:modified>
</cp:coreProperties>
</file>