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12.23收资料\F02结果1.15\"/>
    </mc:Choice>
  </mc:AlternateContent>
  <bookViews>
    <workbookView xWindow="480" yWindow="210" windowWidth="12120" windowHeight="7620" tabRatio="875" firstSheet="8"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项目基本情况" sheetId="4" r:id="rId9"/>
    <sheet name="数据-基础表" sheetId="3" r:id="rId10"/>
    <sheet name="抵押物清单（分楼）" sheetId="42" state="hidden" r:id="rId11"/>
    <sheet name="面积规证" sheetId="69"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 sheetId="74" state="hidden" r:id="rId30"/>
    <sheet name="定义" sheetId="10"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不动产收益法（商业）" sheetId="70" state="hidden" r:id="rId41"/>
    <sheet name="不动产收益法（仓储）" sheetId="72" r:id="rId42"/>
    <sheet name="不动产收益法（车库）" sheetId="71" r:id="rId43"/>
    <sheet name="土地案例" sheetId="68" r:id="rId44"/>
    <sheet name="Sheet1" sheetId="73"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9" hidden="1">'数据-基础表'!$A$12:$AT$572</definedName>
    <definedName name="_xlnm._FilterDatabase" localSheetId="8" hidden="1">项目基本情况!$A$48:$N$48</definedName>
    <definedName name="_xlnm.Print_Area" localSheetId="17">'比较法-住宅、综合'!$A$1:$K$68</definedName>
    <definedName name="_xlnm.Print_Area" localSheetId="29">'不动产收益）'!$A$1:$F$43</definedName>
    <definedName name="_xlnm.Print_Area" localSheetId="31">不动产收益法!$A$1:$F$43</definedName>
    <definedName name="_xlnm.Print_Area" localSheetId="41">'不动产收益法（仓储）'!$A$1:$F$43</definedName>
    <definedName name="_xlnm.Print_Area" localSheetId="42">'不动产收益法（车库）'!$A$1:$F$43</definedName>
    <definedName name="_xlnm.Print_Area" localSheetId="40">'不动产收益法（商业）'!$A$1:$F$43</definedName>
    <definedName name="_xlnm.Print_Area" localSheetId="14">估价对象房地状况!$A$1:$G$24</definedName>
    <definedName name="_xlnm.Print_Area" localSheetId="16">结果表!$A$1:$I$60</definedName>
    <definedName name="_xlnm.Print_Area" localSheetId="18">'剩余法-待开发'!$A$1:$K$37</definedName>
    <definedName name="_xlnm.Print_Area" localSheetId="12">'数据-汇总表'!$A$1:$I$32</definedName>
    <definedName name="_xlnm.Print_Area" localSheetId="8">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296" i="69" l="1"/>
  <c r="I296" i="69"/>
  <c r="K296" i="69"/>
  <c r="K295" i="69"/>
  <c r="I295" i="69"/>
  <c r="G295" i="69"/>
  <c r="K282" i="69"/>
  <c r="I282" i="69"/>
  <c r="J282" i="69"/>
  <c r="H282" i="69"/>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5" i="71"/>
  <c r="Q73" i="71"/>
  <c r="P62" i="71"/>
  <c r="F61" i="71"/>
  <c r="Q60" i="71"/>
  <c r="F60" i="71"/>
  <c r="D60" i="71"/>
  <c r="Q59" i="71"/>
  <c r="K59" i="71"/>
  <c r="F59" i="71"/>
  <c r="F58" i="71"/>
  <c r="Q52" i="71"/>
  <c r="J51" i="71"/>
  <c r="J50" i="71"/>
  <c r="M47" i="71"/>
  <c r="L46" i="71"/>
  <c r="F34" i="71"/>
  <c r="F33" i="71"/>
  <c r="F32" i="71"/>
  <c r="F31" i="71"/>
  <c r="F28" i="71"/>
  <c r="C28" i="71"/>
  <c r="D24" i="71"/>
  <c r="F23" i="71"/>
  <c r="D23" i="71"/>
  <c r="D22" i="71"/>
  <c r="F21" i="71"/>
  <c r="M20" i="71"/>
  <c r="F20" i="71"/>
  <c r="M19" i="71"/>
  <c r="M18" i="71"/>
  <c r="F18" i="71"/>
  <c r="M17" i="71"/>
  <c r="F17" i="71"/>
  <c r="F15" i="71"/>
  <c r="G1" i="71"/>
  <c r="P75" i="72"/>
  <c r="Q73" i="72"/>
  <c r="P62" i="72"/>
  <c r="F61" i="72"/>
  <c r="Q60" i="72"/>
  <c r="F60" i="72"/>
  <c r="D60" i="72"/>
  <c r="Q59" i="72"/>
  <c r="K59" i="72"/>
  <c r="F59" i="72"/>
  <c r="F58" i="72"/>
  <c r="Q52" i="72"/>
  <c r="J51" i="72"/>
  <c r="J50" i="72"/>
  <c r="M47" i="72"/>
  <c r="L46" i="72"/>
  <c r="F34" i="72"/>
  <c r="F33" i="72"/>
  <c r="F32" i="72"/>
  <c r="F31" i="72"/>
  <c r="F28" i="72"/>
  <c r="C28" i="72"/>
  <c r="D24" i="72"/>
  <c r="F23" i="72"/>
  <c r="D23" i="72"/>
  <c r="D22" i="72"/>
  <c r="F21" i="72"/>
  <c r="M20" i="72"/>
  <c r="F20" i="72"/>
  <c r="M19" i="72"/>
  <c r="M18" i="72"/>
  <c r="F18" i="72"/>
  <c r="M17" i="72"/>
  <c r="F17" i="72"/>
  <c r="F15" i="72"/>
  <c r="G1" i="72"/>
  <c r="P75" i="70"/>
  <c r="Q73" i="70"/>
  <c r="P62" i="70"/>
  <c r="F61" i="70"/>
  <c r="Q60" i="70"/>
  <c r="F60" i="70"/>
  <c r="D60" i="70"/>
  <c r="Q59" i="70"/>
  <c r="K59" i="70"/>
  <c r="F59" i="70"/>
  <c r="F58" i="70"/>
  <c r="Q52" i="70"/>
  <c r="J51" i="70"/>
  <c r="J50" i="70"/>
  <c r="M47" i="70"/>
  <c r="L46" i="70"/>
  <c r="F34" i="70"/>
  <c r="F33" i="70"/>
  <c r="F32" i="70"/>
  <c r="F31" i="70"/>
  <c r="F28" i="70"/>
  <c r="C28" i="70"/>
  <c r="D24" i="70"/>
  <c r="F23" i="70"/>
  <c r="D23" i="70"/>
  <c r="D22" i="70"/>
  <c r="F21" i="70"/>
  <c r="M20" i="70"/>
  <c r="F20" i="70"/>
  <c r="M19" i="70"/>
  <c r="M18" i="70"/>
  <c r="F18" i="70"/>
  <c r="M17" i="70"/>
  <c r="F17" i="70"/>
  <c r="F15" i="70"/>
  <c r="G1" i="7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C57" i="10"/>
  <c r="C56" i="10"/>
  <c r="C55" i="10"/>
  <c r="C54" i="10"/>
  <c r="C53" i="10"/>
  <c r="D51" i="10"/>
  <c r="C51" i="10"/>
  <c r="B51" i="10"/>
  <c r="P75" i="74"/>
  <c r="Q73" i="74"/>
  <c r="P62" i="74"/>
  <c r="F61" i="74"/>
  <c r="Q60" i="74"/>
  <c r="F60" i="74"/>
  <c r="D60" i="74"/>
  <c r="Q59" i="74"/>
  <c r="K59" i="74"/>
  <c r="F59" i="74"/>
  <c r="F58" i="74"/>
  <c r="I54" i="74"/>
  <c r="Q52" i="74"/>
  <c r="J51" i="74"/>
  <c r="J50" i="74"/>
  <c r="M47" i="74"/>
  <c r="L46" i="74"/>
  <c r="F34" i="74"/>
  <c r="F33" i="74"/>
  <c r="F32" i="74"/>
  <c r="F31" i="74"/>
  <c r="F28" i="74"/>
  <c r="C28" i="74"/>
  <c r="D24" i="74"/>
  <c r="F23" i="74"/>
  <c r="D23" i="74"/>
  <c r="D22" i="74"/>
  <c r="F21" i="74"/>
  <c r="M20" i="74"/>
  <c r="F20" i="74"/>
  <c r="M19" i="74"/>
  <c r="M18" i="74"/>
  <c r="F18" i="74"/>
  <c r="M17" i="74"/>
  <c r="F17" i="74"/>
  <c r="F15" i="74"/>
  <c r="G1" i="74"/>
  <c r="D72" i="59"/>
  <c r="F71" i="59"/>
  <c r="E71" i="59"/>
  <c r="D71" i="59"/>
  <c r="C71" i="59"/>
  <c r="B71" i="59"/>
  <c r="F70" i="59"/>
  <c r="E70" i="59"/>
  <c r="D70" i="59"/>
  <c r="C70" i="59"/>
  <c r="B70" i="59"/>
  <c r="F69" i="59"/>
  <c r="E69" i="59"/>
  <c r="D69" i="59"/>
  <c r="C69" i="59"/>
  <c r="B69" i="59"/>
  <c r="D68" i="59"/>
  <c r="F67" i="59"/>
  <c r="E67" i="59"/>
  <c r="D67" i="59"/>
  <c r="C67" i="59"/>
  <c r="B67" i="59"/>
  <c r="F66" i="59"/>
  <c r="E66" i="59"/>
  <c r="D66" i="59"/>
  <c r="C66" i="59"/>
  <c r="B66" i="59"/>
  <c r="F65" i="59"/>
  <c r="E65" i="59"/>
  <c r="D65" i="59"/>
  <c r="C65" i="59"/>
  <c r="B65"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B31" i="59"/>
  <c r="Q30" i="59"/>
  <c r="P30" i="59"/>
  <c r="O30" i="59"/>
  <c r="N30" i="59"/>
  <c r="F30" i="59"/>
  <c r="E30" i="59"/>
  <c r="D30" i="59"/>
  <c r="C30" i="59"/>
  <c r="B30" i="59"/>
  <c r="Q29" i="59"/>
  <c r="P29" i="59"/>
  <c r="O29" i="59"/>
  <c r="N29" i="59"/>
  <c r="F29" i="59"/>
  <c r="E29" i="59"/>
  <c r="D29" i="59"/>
  <c r="C29" i="59"/>
  <c r="B29" i="59"/>
  <c r="Q28" i="59"/>
  <c r="P28" i="59"/>
  <c r="O28" i="59"/>
  <c r="N28" i="59"/>
  <c r="D28" i="59"/>
  <c r="V27" i="59"/>
  <c r="U27" i="59"/>
  <c r="T27" i="59"/>
  <c r="S27" i="59"/>
  <c r="Q27" i="59"/>
  <c r="P27" i="59"/>
  <c r="O27" i="59"/>
  <c r="N27" i="59"/>
  <c r="F27" i="59"/>
  <c r="E27" i="59"/>
  <c r="D27" i="59"/>
  <c r="C27" i="59"/>
  <c r="B27" i="59"/>
  <c r="Q26" i="59"/>
  <c r="P26" i="59"/>
  <c r="O26" i="59"/>
  <c r="N26" i="59"/>
  <c r="F26" i="59"/>
  <c r="E26" i="59"/>
  <c r="D26" i="59"/>
  <c r="C26" i="59"/>
  <c r="B26" i="59"/>
  <c r="Q25" i="59"/>
  <c r="P25" i="59"/>
  <c r="O25" i="59"/>
  <c r="N25" i="59"/>
  <c r="F25" i="59"/>
  <c r="E25" i="59"/>
  <c r="D25" i="59"/>
  <c r="C25" i="59"/>
  <c r="B25" i="59"/>
  <c r="Q24" i="59"/>
  <c r="P24" i="59"/>
  <c r="O24" i="59"/>
  <c r="N24" i="59"/>
  <c r="D24" i="59"/>
  <c r="AH23" i="59"/>
  <c r="AG23" i="59"/>
  <c r="AF23" i="59"/>
  <c r="AE23" i="59"/>
  <c r="AD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D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N104" i="45"/>
  <c r="H16" i="48"/>
  <c r="H15" i="48"/>
  <c r="H14" i="48"/>
  <c r="H13" i="48"/>
  <c r="H12" i="48"/>
  <c r="H11" i="48"/>
  <c r="H10" i="48"/>
  <c r="H9" i="48"/>
  <c r="H8" i="48"/>
  <c r="H7" i="48"/>
  <c r="H6" i="48"/>
  <c r="H5" i="48"/>
  <c r="H61"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I39" i="46"/>
  <c r="H39" i="46"/>
  <c r="G39" i="46"/>
  <c r="F39" i="46"/>
  <c r="E39" i="46"/>
  <c r="C39" i="46"/>
  <c r="I38" i="46"/>
  <c r="H38" i="46"/>
  <c r="G38" i="46"/>
  <c r="F38" i="46"/>
  <c r="E38" i="46"/>
  <c r="C38" i="46"/>
  <c r="I37" i="46"/>
  <c r="H37" i="46"/>
  <c r="G37" i="46"/>
  <c r="F37" i="46"/>
  <c r="E37" i="46"/>
  <c r="C37" i="46"/>
  <c r="I36" i="46"/>
  <c r="H36" i="46"/>
  <c r="G36" i="46"/>
  <c r="F36" i="46"/>
  <c r="E36" i="46"/>
  <c r="C36" i="46"/>
  <c r="I35" i="46"/>
  <c r="H35" i="46"/>
  <c r="G35" i="46"/>
  <c r="F35" i="46"/>
  <c r="E35" i="46"/>
  <c r="C35" i="46"/>
  <c r="I34" i="46"/>
  <c r="H34" i="46"/>
  <c r="G34" i="46"/>
  <c r="F34" i="46"/>
  <c r="E34" i="46"/>
  <c r="C34" i="46"/>
  <c r="I33" i="46"/>
  <c r="H33" i="46"/>
  <c r="G33" i="46"/>
  <c r="F33" i="46"/>
  <c r="E33" i="46"/>
  <c r="C33" i="46"/>
  <c r="E30" i="46"/>
  <c r="C30" i="46"/>
  <c r="E29" i="46"/>
  <c r="C29" i="46"/>
  <c r="C27" i="46"/>
  <c r="C26" i="46"/>
  <c r="P25" i="46"/>
  <c r="P24" i="46"/>
  <c r="C24" i="46"/>
  <c r="P23" i="46"/>
  <c r="C23" i="46"/>
  <c r="P22" i="46"/>
  <c r="J22" i="46"/>
  <c r="H22" i="46"/>
  <c r="G22" i="46"/>
  <c r="F22" i="46"/>
  <c r="E22" i="46"/>
  <c r="D22" i="46"/>
  <c r="P21" i="46"/>
  <c r="C21" i="46"/>
  <c r="M20" i="46"/>
  <c r="J20" i="46"/>
  <c r="I20" i="46"/>
  <c r="G20" i="46"/>
  <c r="C20" i="46"/>
  <c r="O19" i="46"/>
  <c r="M19" i="46"/>
  <c r="I19" i="46"/>
  <c r="G19" i="46"/>
  <c r="C19" i="46"/>
  <c r="C18" i="46"/>
  <c r="J17" i="46"/>
  <c r="I17" i="46"/>
  <c r="H17" i="46"/>
  <c r="G17" i="46"/>
  <c r="E17" i="46"/>
  <c r="C17" i="46"/>
  <c r="V16" i="46"/>
  <c r="T16" i="46"/>
  <c r="C16" i="46"/>
  <c r="V15" i="46"/>
  <c r="T15" i="46"/>
  <c r="F15" i="46"/>
  <c r="E15" i="46"/>
  <c r="D15" i="46"/>
  <c r="C15" i="46"/>
  <c r="V14" i="46"/>
  <c r="T14" i="46"/>
  <c r="AJ13" i="46"/>
  <c r="AI13" i="46"/>
  <c r="AH13" i="46"/>
  <c r="AG13" i="46"/>
  <c r="AF13" i="46"/>
  <c r="AE13" i="46"/>
  <c r="AD13" i="46"/>
  <c r="AC13" i="46"/>
  <c r="AB13" i="46"/>
  <c r="AA13" i="46"/>
  <c r="Z13" i="46"/>
  <c r="Y13" i="46"/>
  <c r="V13" i="46"/>
  <c r="T13" i="46"/>
  <c r="AJ12" i="46"/>
  <c r="AI12" i="46"/>
  <c r="AH12" i="46"/>
  <c r="AG12" i="46"/>
  <c r="AF12" i="46"/>
  <c r="AE12" i="46"/>
  <c r="AD12" i="46"/>
  <c r="AC12" i="46"/>
  <c r="AB12" i="46"/>
  <c r="AA12" i="46"/>
  <c r="Z12" i="46"/>
  <c r="Y12" i="46"/>
  <c r="V12" i="46"/>
  <c r="T12" i="46"/>
  <c r="N12" i="46"/>
  <c r="M12" i="46"/>
  <c r="C12" i="46"/>
  <c r="AJ11" i="46"/>
  <c r="AI11" i="46"/>
  <c r="AH11" i="46"/>
  <c r="AG11" i="46"/>
  <c r="AF11" i="46"/>
  <c r="AE11" i="46"/>
  <c r="AD11" i="46"/>
  <c r="AC11" i="46"/>
  <c r="AB11" i="46"/>
  <c r="AA11" i="46"/>
  <c r="Z11" i="46"/>
  <c r="Y11"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S7" i="46"/>
  <c r="N7" i="46"/>
  <c r="M7" i="46"/>
  <c r="C7" i="46"/>
  <c r="A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D42" i="12"/>
  <c r="C42" i="12"/>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I10" i="12"/>
  <c r="D10" i="12"/>
  <c r="C10" i="12"/>
  <c r="K9" i="12"/>
  <c r="J9" i="12"/>
  <c r="I9" i="12"/>
  <c r="H9" i="12"/>
  <c r="G9" i="12"/>
  <c r="F9" i="12"/>
  <c r="E9" i="12"/>
  <c r="D9" i="12"/>
  <c r="C9" i="12"/>
  <c r="I8" i="12"/>
  <c r="D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E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10" i="9"/>
  <c r="C109" i="9"/>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N73" i="9"/>
  <c r="I73" i="9"/>
  <c r="F73" i="9"/>
  <c r="D73" i="9"/>
  <c r="P72" i="9"/>
  <c r="O72" i="9"/>
  <c r="F72" i="9"/>
  <c r="F71" i="9"/>
  <c r="F70" i="9"/>
  <c r="N67" i="9"/>
  <c r="F66" i="9"/>
  <c r="E66" i="9"/>
  <c r="K47" i="9"/>
  <c r="F46" i="9"/>
  <c r="E46" i="9"/>
  <c r="D46" i="9"/>
  <c r="C46" i="9"/>
  <c r="A46" i="9"/>
  <c r="F45" i="9"/>
  <c r="E45" i="9"/>
  <c r="D45" i="9"/>
  <c r="C45" i="9"/>
  <c r="A45" i="9"/>
  <c r="M44" i="9"/>
  <c r="K44" i="9"/>
  <c r="A44" i="9"/>
  <c r="M43" i="9"/>
  <c r="K43" i="9"/>
  <c r="C43" i="9"/>
  <c r="O41" i="9"/>
  <c r="K41" i="9"/>
  <c r="O40" i="9"/>
  <c r="K40" i="9"/>
  <c r="K39" i="9"/>
  <c r="L38" i="9"/>
  <c r="K38" i="9"/>
  <c r="K34" i="9"/>
  <c r="K33"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7"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M11" i="1"/>
  <c r="AL11" i="1"/>
  <c r="AK11" i="1"/>
  <c r="AG11" i="1"/>
  <c r="W11" i="1"/>
  <c r="T11" i="1"/>
  <c r="S11" i="1"/>
  <c r="R11" i="1"/>
  <c r="P11" i="1"/>
  <c r="O11" i="1"/>
  <c r="M11" i="1"/>
  <c r="K11" i="1"/>
  <c r="G11" i="1"/>
  <c r="F11" i="1"/>
  <c r="E11" i="1"/>
  <c r="D11" i="1"/>
  <c r="B11" i="1"/>
  <c r="A11" i="1"/>
  <c r="AP10" i="1"/>
  <c r="AM10" i="1"/>
  <c r="AL10" i="1"/>
  <c r="AK10" i="1"/>
  <c r="AG10" i="1"/>
  <c r="W10" i="1"/>
  <c r="T10" i="1"/>
  <c r="S10" i="1"/>
  <c r="R10" i="1"/>
  <c r="Q10" i="1"/>
  <c r="P10" i="1"/>
  <c r="O10" i="1"/>
  <c r="M10" i="1"/>
  <c r="K10" i="1"/>
  <c r="G10" i="1"/>
  <c r="F10" i="1"/>
  <c r="E10" i="1"/>
  <c r="D10" i="1"/>
  <c r="B10" i="1"/>
  <c r="A10" i="1"/>
  <c r="AP9" i="1"/>
  <c r="AM9" i="1"/>
  <c r="AG9" i="1"/>
  <c r="T9" i="1"/>
  <c r="S9" i="1"/>
  <c r="R9" i="1"/>
  <c r="Q9" i="1"/>
  <c r="P9" i="1"/>
  <c r="O9" i="1"/>
  <c r="M9" i="1"/>
  <c r="L9" i="1"/>
  <c r="K9" i="1"/>
  <c r="G9" i="1"/>
  <c r="F9" i="1"/>
  <c r="E9" i="1"/>
  <c r="D9" i="1"/>
  <c r="B9" i="1"/>
  <c r="A9" i="1"/>
  <c r="AP8" i="1"/>
  <c r="AM8" i="1"/>
  <c r="AL8" i="1"/>
  <c r="AK8" i="1"/>
  <c r="AG8" i="1"/>
  <c r="W8" i="1"/>
  <c r="V8" i="1"/>
  <c r="U8" i="1"/>
  <c r="T8" i="1"/>
  <c r="S8" i="1"/>
  <c r="R8" i="1"/>
  <c r="Q8" i="1"/>
  <c r="P8" i="1"/>
  <c r="O8" i="1"/>
  <c r="M8" i="1"/>
  <c r="L8" i="1"/>
  <c r="K8" i="1"/>
  <c r="G8" i="1"/>
  <c r="F8" i="1"/>
  <c r="E8" i="1"/>
  <c r="D8" i="1"/>
  <c r="B8" i="1"/>
  <c r="A8" i="1"/>
  <c r="AP7" i="1"/>
  <c r="AG7" i="1"/>
  <c r="AE7" i="1"/>
  <c r="T7" i="1"/>
  <c r="S7" i="1"/>
  <c r="R7" i="1"/>
  <c r="Q7" i="1"/>
  <c r="P7" i="1"/>
  <c r="O7" i="1"/>
  <c r="M7" i="1"/>
  <c r="L7" i="1"/>
  <c r="K7" i="1"/>
  <c r="G7" i="1"/>
  <c r="F7" i="1"/>
  <c r="E7" i="1"/>
  <c r="D7" i="1"/>
  <c r="B7" i="1"/>
  <c r="A7" i="1"/>
  <c r="AP6" i="1"/>
  <c r="AG6" i="1"/>
  <c r="AE6" i="1"/>
  <c r="T6" i="1"/>
  <c r="S6" i="1"/>
  <c r="R6" i="1"/>
  <c r="Q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G25" i="6"/>
  <c r="E25" i="6"/>
  <c r="D25" i="6"/>
  <c r="S24" i="6"/>
  <c r="R24" i="6"/>
  <c r="P24" i="6"/>
  <c r="M24" i="6"/>
  <c r="L24" i="6"/>
  <c r="K24" i="6"/>
  <c r="I24" i="6"/>
  <c r="H24" i="6"/>
  <c r="G24" i="6"/>
  <c r="E24" i="6"/>
  <c r="D24" i="6"/>
  <c r="S23" i="6"/>
  <c r="R23" i="6"/>
  <c r="P23" i="6"/>
  <c r="M23" i="6"/>
  <c r="L23" i="6"/>
  <c r="K23" i="6"/>
  <c r="I23" i="6"/>
  <c r="H23" i="6"/>
  <c r="G23" i="6"/>
  <c r="E23" i="6"/>
  <c r="D23" i="6"/>
  <c r="S22" i="6"/>
  <c r="R22" i="6"/>
  <c r="P22" i="6"/>
  <c r="M22" i="6"/>
  <c r="L22" i="6"/>
  <c r="K22" i="6"/>
  <c r="I22" i="6"/>
  <c r="H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J209" i="69"/>
  <c r="I209" i="69"/>
  <c r="H209" i="69"/>
  <c r="G209" i="69"/>
  <c r="F209" i="69"/>
  <c r="E209" i="69"/>
  <c r="I208" i="69"/>
  <c r="H208" i="69"/>
  <c r="G208" i="69"/>
  <c r="F208" i="69"/>
  <c r="E208" i="69"/>
  <c r="I204" i="69"/>
  <c r="E204" i="69"/>
  <c r="I197" i="69"/>
  <c r="L194" i="69"/>
  <c r="K194" i="69"/>
  <c r="G194" i="69"/>
  <c r="F194" i="69"/>
  <c r="E194" i="69"/>
  <c r="D194" i="69"/>
  <c r="C194" i="69"/>
  <c r="G193" i="69"/>
  <c r="C193" i="69"/>
  <c r="C192" i="69"/>
  <c r="C191" i="69"/>
  <c r="K187" i="69"/>
  <c r="I187" i="69"/>
  <c r="H187" i="69"/>
  <c r="G187" i="69"/>
  <c r="F187" i="69"/>
  <c r="E187" i="69"/>
  <c r="D187" i="69"/>
  <c r="C187" i="69"/>
  <c r="B187" i="69"/>
  <c r="L186" i="69"/>
  <c r="I186" i="69"/>
  <c r="G186" i="69"/>
  <c r="F186" i="69"/>
  <c r="D186" i="69"/>
  <c r="C186" i="69"/>
  <c r="B186" i="69"/>
  <c r="M185" i="69"/>
  <c r="I185" i="69"/>
  <c r="H185" i="69"/>
  <c r="G185" i="69"/>
  <c r="C185" i="69"/>
  <c r="B185" i="69"/>
  <c r="F182" i="69"/>
  <c r="G181" i="69"/>
  <c r="K180" i="69"/>
  <c r="G180" i="69"/>
  <c r="F180" i="69"/>
  <c r="D180" i="69"/>
  <c r="C180" i="69"/>
  <c r="C179" i="69"/>
  <c r="C178" i="69"/>
  <c r="C177" i="69"/>
  <c r="C176" i="69"/>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35" i="69"/>
  <c r="C134" i="69"/>
  <c r="C133" i="69"/>
  <c r="C132" i="69"/>
  <c r="C131" i="69"/>
  <c r="C130" i="69"/>
  <c r="C129" i="69"/>
  <c r="C128" i="69"/>
  <c r="C127" i="69"/>
  <c r="C126" i="69"/>
  <c r="C125" i="69"/>
  <c r="C124" i="69"/>
  <c r="C123" i="69"/>
  <c r="C122" i="69"/>
  <c r="C119" i="69"/>
  <c r="F117" i="69"/>
  <c r="K116" i="69"/>
  <c r="M115" i="69"/>
  <c r="L115" i="69"/>
  <c r="I115" i="69"/>
  <c r="H115" i="69"/>
  <c r="G115" i="69"/>
  <c r="E115" i="69"/>
  <c r="C115" i="69"/>
  <c r="B115" i="69"/>
  <c r="P109" i="69"/>
  <c r="K109" i="69"/>
  <c r="J109" i="69"/>
  <c r="I109" i="69"/>
  <c r="H109" i="69"/>
  <c r="G109" i="69"/>
  <c r="F109" i="69"/>
  <c r="E109" i="69"/>
  <c r="D109" i="69"/>
  <c r="C109" i="69"/>
  <c r="C108" i="69"/>
  <c r="C107" i="69"/>
  <c r="C106" i="69"/>
  <c r="C105" i="69"/>
  <c r="F104" i="69"/>
  <c r="E104" i="69"/>
  <c r="C104" i="69"/>
  <c r="G103" i="69"/>
  <c r="F103" i="69"/>
  <c r="E103" i="69"/>
  <c r="C103" i="69"/>
  <c r="C102" i="69"/>
  <c r="C101" i="69"/>
  <c r="I100" i="69"/>
  <c r="C100" i="69"/>
  <c r="K96" i="69"/>
  <c r="J96" i="69"/>
  <c r="I96" i="69"/>
  <c r="H96" i="69"/>
  <c r="G96" i="69"/>
  <c r="F96" i="69"/>
  <c r="E96" i="69"/>
  <c r="D96" i="69"/>
  <c r="C96" i="69"/>
  <c r="B96" i="69"/>
  <c r="I95" i="69"/>
  <c r="G95" i="69"/>
  <c r="F95" i="69"/>
  <c r="E95" i="69"/>
  <c r="D95" i="69"/>
  <c r="C95" i="69"/>
  <c r="B95" i="69"/>
  <c r="O94" i="69"/>
  <c r="M94" i="69"/>
  <c r="I94" i="69"/>
  <c r="H94" i="69"/>
  <c r="G94" i="69"/>
  <c r="D94" i="69"/>
  <c r="C94" i="69"/>
  <c r="B94" i="69"/>
  <c r="M91" i="69"/>
  <c r="C89" i="69"/>
  <c r="G88" i="69"/>
  <c r="E88" i="69"/>
  <c r="C88" i="69"/>
  <c r="C87" i="69"/>
  <c r="K86" i="69"/>
  <c r="G86" i="69"/>
  <c r="F86" i="69"/>
  <c r="E86" i="69"/>
  <c r="D86" i="69"/>
  <c r="C86" i="69"/>
  <c r="C85" i="69"/>
  <c r="C84" i="69"/>
  <c r="C83" i="69"/>
  <c r="C82" i="69"/>
  <c r="C81" i="69"/>
  <c r="C80" i="69"/>
  <c r="C79" i="69"/>
  <c r="C78" i="69"/>
  <c r="C77" i="69"/>
  <c r="C76" i="69"/>
  <c r="C75" i="69"/>
  <c r="C74" i="69"/>
  <c r="C73" i="69"/>
  <c r="C72" i="69"/>
  <c r="C71" i="69"/>
  <c r="C70" i="69"/>
  <c r="C69" i="69"/>
  <c r="C68" i="69"/>
  <c r="C67" i="69"/>
  <c r="C66" i="69"/>
  <c r="C65" i="69"/>
  <c r="C64" i="69"/>
  <c r="C63" i="69"/>
  <c r="C62" i="69"/>
  <c r="C61" i="69"/>
  <c r="C60" i="69"/>
  <c r="C59" i="69"/>
  <c r="C58" i="69"/>
  <c r="C57" i="69"/>
  <c r="C56" i="69"/>
  <c r="C55" i="69"/>
  <c r="C54" i="69"/>
  <c r="C53" i="69"/>
  <c r="C52" i="69"/>
  <c r="C51" i="69"/>
  <c r="C50" i="69"/>
  <c r="C49"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2" i="69"/>
  <c r="C21" i="69"/>
  <c r="C20" i="69"/>
  <c r="C19" i="69"/>
  <c r="C18" i="69"/>
  <c r="C17" i="69"/>
  <c r="C16" i="69"/>
  <c r="C15" i="69"/>
  <c r="C14" i="69"/>
  <c r="C13" i="69"/>
  <c r="C12" i="69"/>
  <c r="C11" i="69"/>
  <c r="C10" i="69"/>
  <c r="C9" i="69"/>
  <c r="C8" i="69"/>
  <c r="C7" i="69"/>
  <c r="C6" i="69"/>
  <c r="C5" i="69"/>
  <c r="C4" i="69"/>
  <c r="C3" i="69"/>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T14" i="3"/>
  <c r="AN14" i="3"/>
  <c r="AL14" i="3"/>
  <c r="AF14" i="3"/>
  <c r="AC14" i="3"/>
  <c r="W14" i="3"/>
  <c r="U14" i="3"/>
  <c r="S14" i="3"/>
  <c r="M14" i="3"/>
  <c r="K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H17" i="4"/>
  <c r="U16" i="4"/>
  <c r="T16" i="4"/>
  <c r="S16" i="4"/>
  <c r="R16" i="4"/>
  <c r="Q16" i="4"/>
  <c r="P16" i="4"/>
  <c r="O16" i="4"/>
  <c r="N16" i="4"/>
  <c r="M16" i="4"/>
  <c r="L16" i="4"/>
  <c r="K16" i="4"/>
  <c r="D14" i="4"/>
  <c r="K6" i="4"/>
  <c r="K4" i="4"/>
  <c r="I4" i="4"/>
  <c r="G4" i="4"/>
  <c r="E4" i="4"/>
  <c r="D3" i="4"/>
  <c r="K2" i="4"/>
  <c r="K1" i="4"/>
  <c r="B1" i="4"/>
  <c r="B2" i="52"/>
  <c r="E22" i="52" s="1"/>
  <c r="B21" i="55"/>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C16" i="12" l="1"/>
  <c r="E4" i="52"/>
  <c r="E5" i="52"/>
  <c r="E6" i="52"/>
  <c r="E7" i="52"/>
  <c r="E8" i="52"/>
  <c r="E9" i="52"/>
  <c r="C4" i="4" s="1"/>
  <c r="B20" i="55" s="1"/>
  <c r="B70" i="63" s="1"/>
  <c r="E10" i="52"/>
  <c r="E11" i="52"/>
  <c r="B14" i="52"/>
  <c r="E16" i="52"/>
  <c r="B22" i="52"/>
  <c r="B23" i="52"/>
  <c r="B4" i="52"/>
  <c r="B5" i="52"/>
  <c r="B6" i="52"/>
  <c r="B7" i="52"/>
  <c r="B8" i="52"/>
  <c r="B9" i="52"/>
  <c r="B10" i="52"/>
  <c r="B11" i="52"/>
  <c r="B13" i="52"/>
  <c r="B16" i="52"/>
  <c r="E21" i="52"/>
  <c r="C20" i="12"/>
  <c r="C17" i="12"/>
  <c r="C17" i="43"/>
  <c r="C18" i="43" s="1"/>
  <c r="C18" i="12" l="1"/>
  <c r="C23" i="12" s="1"/>
  <c r="C19" i="43"/>
  <c r="J6" i="65"/>
  <c r="F40" i="71"/>
  <c r="F26" i="71"/>
  <c r="M8" i="71"/>
  <c r="F8" i="71"/>
  <c r="M29" i="72"/>
  <c r="C14" i="72"/>
  <c r="F36" i="70"/>
  <c r="I4" i="65"/>
  <c r="F9" i="72"/>
  <c r="J15" i="70"/>
  <c r="M24" i="15"/>
  <c r="F38" i="74"/>
  <c r="M23" i="74"/>
  <c r="M6" i="74"/>
  <c r="M24" i="44"/>
  <c r="F11" i="67"/>
  <c r="M28" i="71"/>
  <c r="C14" i="70"/>
  <c r="M23" i="15"/>
  <c r="F45" i="44"/>
  <c r="M8" i="44"/>
  <c r="L47" i="71"/>
  <c r="F40" i="15"/>
  <c r="F42" i="74"/>
  <c r="F8" i="67"/>
  <c r="F38" i="44"/>
  <c r="B10" i="67"/>
  <c r="J4" i="65"/>
  <c r="J36" i="71"/>
  <c r="F16" i="71"/>
  <c r="J7" i="65"/>
  <c r="F35" i="72"/>
  <c r="F42" i="70"/>
  <c r="M24" i="72"/>
  <c r="M28" i="15"/>
  <c r="F26" i="74"/>
  <c r="M26" i="44"/>
  <c r="J5" i="65"/>
  <c r="F26" i="15"/>
  <c r="M10" i="44"/>
  <c r="L48" i="15"/>
  <c r="E11" i="67"/>
  <c r="F12" i="67"/>
  <c r="M27" i="72"/>
  <c r="M28" i="70"/>
  <c r="F7" i="72"/>
  <c r="M22" i="15"/>
  <c r="M21" i="74"/>
  <c r="F11" i="44"/>
  <c r="F9" i="71"/>
  <c r="M21" i="15"/>
  <c r="F14" i="67"/>
  <c r="F38" i="15"/>
  <c r="D20" i="9"/>
  <c r="E7" i="67"/>
  <c r="I5" i="65"/>
  <c r="F37" i="71"/>
  <c r="M21" i="71"/>
  <c r="F6" i="71"/>
  <c r="F43" i="72"/>
  <c r="M26" i="72"/>
  <c r="M9" i="72"/>
  <c r="M24" i="70"/>
  <c r="M28" i="72"/>
  <c r="F36" i="15"/>
  <c r="M26" i="74"/>
  <c r="M30" i="44"/>
  <c r="B7" i="67"/>
  <c r="M27" i="15"/>
  <c r="F15" i="44"/>
  <c r="M21" i="70"/>
  <c r="B14" i="67"/>
  <c r="F8" i="44"/>
  <c r="F38" i="71"/>
  <c r="M6" i="71"/>
  <c r="M8" i="72"/>
  <c r="M6" i="70"/>
  <c r="L48" i="44"/>
  <c r="F43" i="15"/>
  <c r="F37" i="70"/>
  <c r="F18" i="44"/>
  <c r="F6" i="72"/>
  <c r="F42" i="15"/>
  <c r="F43" i="44"/>
  <c r="M29" i="15"/>
  <c r="F26" i="70"/>
  <c r="M11" i="44"/>
  <c r="L48" i="70"/>
  <c r="F9" i="15"/>
  <c r="F16" i="74"/>
  <c r="F10" i="44"/>
  <c r="M22" i="72"/>
  <c r="F16" i="15"/>
  <c r="E13" i="67"/>
  <c r="J36" i="15"/>
  <c r="M6" i="15"/>
  <c r="D21" i="9"/>
  <c r="M29" i="71"/>
  <c r="N4" i="65"/>
  <c r="M22" i="70"/>
  <c r="F8" i="15"/>
  <c r="F9" i="44"/>
  <c r="C14" i="15"/>
  <c r="F35" i="15"/>
  <c r="D19" i="9"/>
  <c r="F8" i="70"/>
  <c r="L48" i="74"/>
  <c r="F13" i="67"/>
  <c r="F6" i="15"/>
  <c r="J3" i="65"/>
  <c r="F35" i="71"/>
  <c r="J15" i="71"/>
  <c r="I6" i="65"/>
  <c r="F38" i="72"/>
  <c r="M23" i="72"/>
  <c r="M6" i="72"/>
  <c r="F9" i="70"/>
  <c r="F42" i="72"/>
  <c r="F38" i="70"/>
  <c r="L47" i="15"/>
  <c r="F7" i="15"/>
  <c r="M29" i="74"/>
  <c r="C14" i="74"/>
  <c r="F46" i="44"/>
  <c r="E14" i="67"/>
  <c r="B9" i="67"/>
  <c r="F43" i="70"/>
  <c r="F37" i="15"/>
  <c r="M9" i="15"/>
  <c r="C19" i="44"/>
  <c r="F10" i="67"/>
  <c r="M29" i="70"/>
  <c r="M26" i="15"/>
  <c r="F28" i="44"/>
  <c r="F36" i="74"/>
  <c r="C16" i="44"/>
  <c r="I7" i="65"/>
  <c r="F43" i="71"/>
  <c r="M26" i="71"/>
  <c r="M9" i="71"/>
  <c r="M22" i="71"/>
  <c r="J15" i="72"/>
  <c r="N6" i="65"/>
  <c r="M26" i="70"/>
  <c r="F40" i="74"/>
  <c r="M8" i="74"/>
  <c r="E12" i="67"/>
  <c r="F16" i="70"/>
  <c r="F8" i="74"/>
  <c r="I3" i="65"/>
  <c r="M8" i="15"/>
  <c r="F9" i="74"/>
  <c r="L48" i="72"/>
  <c r="F13" i="72"/>
  <c r="F42" i="71"/>
  <c r="F13" i="70"/>
  <c r="F37" i="74"/>
  <c r="F6" i="74"/>
  <c r="B11" i="67"/>
  <c r="M9" i="70"/>
  <c r="F39" i="44"/>
  <c r="F36" i="71"/>
  <c r="F7" i="74"/>
  <c r="M29" i="44"/>
  <c r="N7" i="65"/>
  <c r="L48" i="71"/>
  <c r="M27" i="71"/>
  <c r="F13" i="71"/>
  <c r="N3" i="65"/>
  <c r="J36" i="72"/>
  <c r="F16" i="72"/>
  <c r="L47" i="70"/>
  <c r="F7" i="70"/>
  <c r="F35" i="70"/>
  <c r="F43" i="74"/>
  <c r="M9" i="74"/>
  <c r="B13" i="67"/>
  <c r="M23" i="70"/>
  <c r="M22" i="74"/>
  <c r="B8" i="67"/>
  <c r="F13" i="15"/>
  <c r="M24" i="74"/>
  <c r="N5" i="65"/>
  <c r="M23" i="71"/>
  <c r="F40" i="72"/>
  <c r="L47" i="72"/>
  <c r="F35" i="74"/>
  <c r="F9" i="67"/>
  <c r="M28" i="44"/>
  <c r="M31" i="44"/>
  <c r="F37" i="72"/>
  <c r="F36" i="72"/>
  <c r="M27" i="74"/>
  <c r="E8" i="67"/>
  <c r="J17" i="44"/>
  <c r="M23" i="44"/>
  <c r="F7" i="71"/>
  <c r="M8" i="70"/>
  <c r="J36" i="74"/>
  <c r="L49" i="44"/>
  <c r="E10" i="67"/>
  <c r="F6" i="70"/>
  <c r="F37" i="44"/>
  <c r="M24" i="71"/>
  <c r="F40" i="44"/>
  <c r="M25" i="44"/>
  <c r="E2" i="65"/>
  <c r="C14" i="71"/>
  <c r="F26" i="72"/>
  <c r="F40" i="70"/>
  <c r="J15" i="74"/>
  <c r="F8" i="72"/>
  <c r="B12" i="67"/>
  <c r="L47" i="74"/>
  <c r="M21" i="72"/>
  <c r="J36" i="70"/>
  <c r="F13" i="74"/>
  <c r="M27" i="70"/>
  <c r="E9" i="67"/>
  <c r="M28" i="74"/>
  <c r="J15" i="15"/>
  <c r="C6" i="15" l="1"/>
  <c r="L60" i="74"/>
  <c r="J53" i="74"/>
  <c r="J57" i="74"/>
  <c r="J55" i="74" s="1"/>
  <c r="J58" i="74" s="1"/>
  <c r="Q51" i="74" s="1"/>
  <c r="J60" i="74"/>
  <c r="Q49" i="74" s="1"/>
  <c r="J59" i="74"/>
  <c r="L56" i="74"/>
  <c r="Q72" i="70"/>
  <c r="F50" i="70"/>
  <c r="J20" i="72"/>
  <c r="L44" i="9"/>
  <c r="L59" i="74"/>
  <c r="L58" i="74"/>
  <c r="Q61" i="74" s="1"/>
  <c r="C34" i="15"/>
  <c r="F62" i="15"/>
  <c r="C61" i="15" s="1"/>
  <c r="C15" i="15"/>
  <c r="C18" i="15"/>
  <c r="F50" i="72"/>
  <c r="M9" i="44"/>
  <c r="J8" i="44" s="1"/>
  <c r="F50" i="15"/>
  <c r="F67" i="70"/>
  <c r="C27" i="72"/>
  <c r="C4" i="65"/>
  <c r="B39" i="1" s="1"/>
  <c r="C15" i="71"/>
  <c r="C18" i="71"/>
  <c r="B40" i="1"/>
  <c r="F26" i="44" s="1"/>
  <c r="C26" i="44" s="1"/>
  <c r="Q72" i="15"/>
  <c r="C36" i="44"/>
  <c r="C6" i="70"/>
  <c r="L57" i="44"/>
  <c r="J58" i="44"/>
  <c r="J56" i="44" s="1"/>
  <c r="J59" i="44" s="1"/>
  <c r="Q52" i="44" s="1"/>
  <c r="J60" i="44"/>
  <c r="J54" i="44"/>
  <c r="J61" i="44"/>
  <c r="Q50" i="44" s="1"/>
  <c r="I55" i="44"/>
  <c r="Q72" i="74"/>
  <c r="J57" i="70"/>
  <c r="J55" i="70" s="1"/>
  <c r="J58" i="70" s="1"/>
  <c r="Q51" i="70" s="1"/>
  <c r="J53" i="70"/>
  <c r="Q53" i="70" s="1"/>
  <c r="L56" i="70"/>
  <c r="L57" i="70"/>
  <c r="L60" i="70"/>
  <c r="I54" i="70"/>
  <c r="F49" i="71"/>
  <c r="M7" i="71"/>
  <c r="J6" i="71" s="1"/>
  <c r="J22" i="44"/>
  <c r="C27" i="70"/>
  <c r="Q73" i="44"/>
  <c r="F63" i="72"/>
  <c r="C6" i="72"/>
  <c r="F64" i="72"/>
  <c r="F64" i="70"/>
  <c r="F70" i="15"/>
  <c r="L59" i="44"/>
  <c r="L60" i="44"/>
  <c r="Q76" i="44" s="1"/>
  <c r="F62" i="74"/>
  <c r="C61" i="74" s="1"/>
  <c r="C34" i="74"/>
  <c r="L58" i="72"/>
  <c r="L59" i="72"/>
  <c r="Q75" i="72" s="1"/>
  <c r="F67" i="72"/>
  <c r="F65" i="71"/>
  <c r="C8" i="44"/>
  <c r="J20" i="70"/>
  <c r="B2" i="67"/>
  <c r="F70" i="74"/>
  <c r="F63" i="15"/>
  <c r="F62" i="70"/>
  <c r="C61" i="70" s="1"/>
  <c r="C34" i="70"/>
  <c r="F49" i="70"/>
  <c r="M7" i="70"/>
  <c r="J6" i="70" s="1"/>
  <c r="L58" i="70"/>
  <c r="Q61" i="70" s="1"/>
  <c r="L59" i="70"/>
  <c r="Q72" i="72"/>
  <c r="F70" i="72"/>
  <c r="C6" i="71"/>
  <c r="J20" i="71"/>
  <c r="F64" i="71"/>
  <c r="L57" i="71"/>
  <c r="J57" i="71"/>
  <c r="J55" i="71" s="1"/>
  <c r="J58" i="71" s="1"/>
  <c r="Q51" i="71" s="1"/>
  <c r="J60" i="71"/>
  <c r="Q49" i="71" s="1"/>
  <c r="J59" i="71"/>
  <c r="L56" i="71"/>
  <c r="L60" i="71"/>
  <c r="J53" i="71"/>
  <c r="I54" i="71"/>
  <c r="E3" i="67"/>
  <c r="M7" i="74"/>
  <c r="J6" i="74" s="1"/>
  <c r="F49" i="74"/>
  <c r="F65" i="15"/>
  <c r="F63" i="71"/>
  <c r="J20" i="15"/>
  <c r="C6" i="74"/>
  <c r="J20" i="74"/>
  <c r="F64" i="74"/>
  <c r="M7" i="72"/>
  <c r="J6" i="72" s="1"/>
  <c r="F49" i="72"/>
  <c r="I54" i="72"/>
  <c r="J59" i="72"/>
  <c r="J53" i="72"/>
  <c r="J57" i="72"/>
  <c r="J55" i="72" s="1"/>
  <c r="J58" i="72" s="1"/>
  <c r="Q51" i="72" s="1"/>
  <c r="J60" i="72"/>
  <c r="Q49" i="72" s="1"/>
  <c r="L60" i="72"/>
  <c r="L57" i="72"/>
  <c r="L56" i="72"/>
  <c r="L60" i="15"/>
  <c r="J53" i="15"/>
  <c r="L56" i="15"/>
  <c r="J57" i="15"/>
  <c r="J55" i="15" s="1"/>
  <c r="J58" i="15" s="1"/>
  <c r="Q51" i="15" s="1"/>
  <c r="J59" i="15"/>
  <c r="J60" i="15"/>
  <c r="Q49" i="15" s="1"/>
  <c r="F50" i="74"/>
  <c r="C27" i="15"/>
  <c r="C27" i="74"/>
  <c r="F67" i="74"/>
  <c r="F62" i="72"/>
  <c r="C61" i="72" s="1"/>
  <c r="C34" i="72"/>
  <c r="Q72" i="71"/>
  <c r="F70" i="71"/>
  <c r="C20" i="44"/>
  <c r="C17" i="44"/>
  <c r="F63" i="74"/>
  <c r="C29" i="44"/>
  <c r="F67" i="15"/>
  <c r="L58" i="71"/>
  <c r="Q74" i="71" s="1"/>
  <c r="L59" i="71"/>
  <c r="F64" i="15"/>
  <c r="C18" i="70"/>
  <c r="C15" i="70"/>
  <c r="F70" i="70"/>
  <c r="C18" i="74"/>
  <c r="C15" i="74"/>
  <c r="F65" i="74"/>
  <c r="F49" i="15"/>
  <c r="M7" i="15"/>
  <c r="J6" i="15" s="1"/>
  <c r="L58" i="15"/>
  <c r="Q61" i="15" s="1"/>
  <c r="L59" i="15"/>
  <c r="F65" i="70"/>
  <c r="E20" i="46"/>
  <c r="M17" i="46" s="1"/>
  <c r="F63" i="70"/>
  <c r="C18" i="72"/>
  <c r="C15" i="72"/>
  <c r="F65" i="72"/>
  <c r="F50" i="71"/>
  <c r="C27" i="71"/>
  <c r="F62" i="71"/>
  <c r="C61" i="71" s="1"/>
  <c r="C34" i="71"/>
  <c r="F67" i="71"/>
  <c r="J1" i="65"/>
  <c r="Q74" i="15"/>
  <c r="C25" i="43"/>
  <c r="C24" i="43" s="1"/>
  <c r="C17" i="74"/>
  <c r="C16" i="71"/>
  <c r="E3" i="65"/>
  <c r="C18" i="44"/>
  <c r="C16" i="72"/>
  <c r="C17" i="70"/>
  <c r="C16" i="15"/>
  <c r="C17" i="72"/>
  <c r="C17" i="71"/>
  <c r="C16" i="74"/>
  <c r="C17" i="15"/>
  <c r="C16" i="70"/>
  <c r="F7" i="67"/>
  <c r="C48" i="71" l="1"/>
  <c r="F1" i="70"/>
  <c r="C48" i="15"/>
  <c r="Q63" i="44"/>
  <c r="F24" i="74"/>
  <c r="C24" i="74" s="1"/>
  <c r="Q62" i="72"/>
  <c r="Q74" i="74"/>
  <c r="B3" i="67"/>
  <c r="C48" i="74"/>
  <c r="C48" i="70"/>
  <c r="C48" i="72"/>
  <c r="E4" i="67"/>
  <c r="B4" i="67" s="1"/>
  <c r="C19" i="70"/>
  <c r="C20" i="70" s="1"/>
  <c r="C26" i="70" s="1"/>
  <c r="C19" i="72"/>
  <c r="C20" i="72" s="1"/>
  <c r="C19" i="74"/>
  <c r="C20" i="74" s="1"/>
  <c r="F17" i="11"/>
  <c r="C17" i="11" s="1"/>
  <c r="C19" i="11" s="1"/>
  <c r="C20" i="11" s="1"/>
  <c r="C21" i="11" s="1"/>
  <c r="C22" i="11" s="1"/>
  <c r="C23" i="11" s="1"/>
  <c r="B2" i="11" s="1"/>
  <c r="B3" i="11" s="1"/>
  <c r="C19" i="71"/>
  <c r="C20" i="71" s="1"/>
  <c r="C19" i="15"/>
  <c r="C20" i="15" s="1"/>
  <c r="C26" i="15" s="1"/>
  <c r="C21" i="44"/>
  <c r="C22" i="44" s="1"/>
  <c r="C28" i="44" s="1"/>
  <c r="P17" i="46"/>
  <c r="Q62" i="15"/>
  <c r="Q75" i="15"/>
  <c r="Q67" i="15"/>
  <c r="Q58" i="15"/>
  <c r="Q53" i="72"/>
  <c r="F1" i="72"/>
  <c r="Q58" i="71"/>
  <c r="Q67" i="71"/>
  <c r="Q61" i="72"/>
  <c r="Q74" i="72"/>
  <c r="Q62" i="44"/>
  <c r="Q75" i="44"/>
  <c r="Q67" i="70"/>
  <c r="Q58" i="70"/>
  <c r="L47" i="44"/>
  <c r="F24" i="71"/>
  <c r="C24" i="71" s="1"/>
  <c r="F24" i="72"/>
  <c r="C24" i="72" s="1"/>
  <c r="Q75" i="74"/>
  <c r="Q62" i="74"/>
  <c r="Q58" i="74"/>
  <c r="Q67" i="74"/>
  <c r="O17" i="46"/>
  <c r="N17" i="46"/>
  <c r="F24" i="15"/>
  <c r="C24" i="15" s="1"/>
  <c r="F21" i="43"/>
  <c r="C23" i="43" s="1"/>
  <c r="D21" i="43" s="1"/>
  <c r="Q74" i="70"/>
  <c r="Q61" i="71"/>
  <c r="F26" i="12"/>
  <c r="C27" i="12" s="1"/>
  <c r="D26" i="12" s="1"/>
  <c r="C32" i="12" s="1"/>
  <c r="D30" i="12" s="1"/>
  <c r="F24" i="70"/>
  <c r="C24" i="70" s="1"/>
  <c r="Q75" i="71"/>
  <c r="Q62" i="71"/>
  <c r="Q53" i="15"/>
  <c r="F1" i="15"/>
  <c r="Q58" i="72"/>
  <c r="Q67" i="72"/>
  <c r="F1" i="71"/>
  <c r="Q53" i="71"/>
  <c r="Q62" i="70"/>
  <c r="Q75" i="70"/>
  <c r="F1" i="44"/>
  <c r="Q54" i="44"/>
  <c r="M11" i="72"/>
  <c r="J10" i="72" s="1"/>
  <c r="J5" i="72" s="1"/>
  <c r="F11" i="71"/>
  <c r="F11" i="15"/>
  <c r="F13" i="44"/>
  <c r="C12" i="44" s="1"/>
  <c r="C7" i="44" s="1"/>
  <c r="M11" i="70"/>
  <c r="J10" i="70" s="1"/>
  <c r="J5" i="70" s="1"/>
  <c r="M13" i="44"/>
  <c r="J12" i="44" s="1"/>
  <c r="J7" i="44" s="1"/>
  <c r="M11" i="71"/>
  <c r="J10" i="71" s="1"/>
  <c r="J5" i="71" s="1"/>
  <c r="J26" i="71" s="1"/>
  <c r="F11" i="72"/>
  <c r="C52" i="72" s="1"/>
  <c r="C47" i="72" s="1"/>
  <c r="C65" i="72" s="1"/>
  <c r="M11" i="15"/>
  <c r="J10" i="15" s="1"/>
  <c r="J5" i="15" s="1"/>
  <c r="F11" i="70"/>
  <c r="C52" i="70" s="1"/>
  <c r="M11" i="74"/>
  <c r="J10" i="74" s="1"/>
  <c r="J5" i="74" s="1"/>
  <c r="F11" i="74"/>
  <c r="F1" i="74"/>
  <c r="Q53" i="74"/>
  <c r="AE8" i="1"/>
  <c r="AE10" i="1"/>
  <c r="F41" i="15"/>
  <c r="AE9" i="1"/>
  <c r="AE11" i="1"/>
  <c r="F41" i="74"/>
  <c r="C26" i="74" l="1"/>
  <c r="C60" i="72"/>
  <c r="C26" i="71"/>
  <c r="C23" i="74"/>
  <c r="B5" i="11"/>
  <c r="C47" i="70"/>
  <c r="C65" i="70" s="1"/>
  <c r="C59" i="72"/>
  <c r="B4" i="11"/>
  <c r="C22" i="43"/>
  <c r="C21" i="43" s="1"/>
  <c r="C28" i="43" s="1"/>
  <c r="C30" i="43" s="1"/>
  <c r="C32" i="43" s="1"/>
  <c r="B2" i="43" s="1"/>
  <c r="B3" i="43" s="1"/>
  <c r="C26" i="72"/>
  <c r="C10" i="70"/>
  <c r="C5" i="70" s="1"/>
  <c r="F68" i="15"/>
  <c r="F68" i="74"/>
  <c r="J24" i="74"/>
  <c r="J18" i="74"/>
  <c r="J26" i="74"/>
  <c r="J29" i="74" s="1"/>
  <c r="J26" i="15"/>
  <c r="J29" i="15" s="1"/>
  <c r="J18" i="15"/>
  <c r="J24" i="15"/>
  <c r="J24" i="71"/>
  <c r="J18" i="71"/>
  <c r="J26" i="70"/>
  <c r="J24" i="70"/>
  <c r="J18" i="70"/>
  <c r="C52" i="15"/>
  <c r="C47" i="15" s="1"/>
  <c r="C10" i="15"/>
  <c r="C5" i="15" s="1"/>
  <c r="J18" i="72"/>
  <c r="J24" i="72"/>
  <c r="C23" i="71"/>
  <c r="C25" i="44"/>
  <c r="C31" i="44" s="1"/>
  <c r="C38" i="44" s="1"/>
  <c r="C23" i="70"/>
  <c r="C29" i="70" s="1"/>
  <c r="J19" i="70" s="1"/>
  <c r="C23" i="15"/>
  <c r="C29" i="15" s="1"/>
  <c r="J19" i="15" s="1"/>
  <c r="J26" i="72"/>
  <c r="C52" i="74"/>
  <c r="C47" i="74" s="1"/>
  <c r="C10" i="74"/>
  <c r="C5" i="74" s="1"/>
  <c r="J20" i="44"/>
  <c r="J28" i="44"/>
  <c r="J31" i="44" s="1"/>
  <c r="J26" i="44"/>
  <c r="C40" i="44"/>
  <c r="C34" i="44"/>
  <c r="C10" i="71"/>
  <c r="C5" i="71" s="1"/>
  <c r="C52" i="71"/>
  <c r="C47" i="71" s="1"/>
  <c r="C10" i="72"/>
  <c r="C5" i="72" s="1"/>
  <c r="C23" i="72"/>
  <c r="C56" i="70"/>
  <c r="C63" i="70" s="1"/>
  <c r="F41" i="72"/>
  <c r="F41" i="71"/>
  <c r="F41" i="70"/>
  <c r="L52" i="44"/>
  <c r="C60" i="70" l="1"/>
  <c r="C29" i="71"/>
  <c r="C56" i="71" s="1"/>
  <c r="C63" i="71" s="1"/>
  <c r="C29" i="74"/>
  <c r="C56" i="74" s="1"/>
  <c r="C63" i="74" s="1"/>
  <c r="F68" i="70"/>
  <c r="J29" i="71"/>
  <c r="F68" i="71"/>
  <c r="F68" i="72"/>
  <c r="J29" i="72"/>
  <c r="J29" i="70"/>
  <c r="J59" i="70"/>
  <c r="J60" i="70" s="1"/>
  <c r="Q49" i="70" s="1"/>
  <c r="Q51" i="44"/>
  <c r="C15" i="44"/>
  <c r="Q72" i="44" s="1"/>
  <c r="C56" i="15"/>
  <c r="C63" i="15" s="1"/>
  <c r="C58" i="72"/>
  <c r="J14" i="70"/>
  <c r="J22" i="70" s="1"/>
  <c r="C13" i="74"/>
  <c r="C37" i="74" s="1"/>
  <c r="B5" i="43"/>
  <c r="B4" i="43"/>
  <c r="J17" i="15"/>
  <c r="J21" i="44"/>
  <c r="J19" i="44" s="1"/>
  <c r="J14" i="74"/>
  <c r="J13" i="74" s="1"/>
  <c r="J23" i="74" s="1"/>
  <c r="C36" i="74"/>
  <c r="C13" i="70"/>
  <c r="C55" i="70" s="1"/>
  <c r="C64" i="70" s="1"/>
  <c r="C59" i="70"/>
  <c r="C58" i="70" s="1"/>
  <c r="J14" i="15"/>
  <c r="J22" i="15" s="1"/>
  <c r="J17" i="70"/>
  <c r="Q50" i="70"/>
  <c r="C36" i="70"/>
  <c r="C29" i="72"/>
  <c r="C36" i="72" s="1"/>
  <c r="C33" i="70"/>
  <c r="C38" i="70"/>
  <c r="C32" i="70"/>
  <c r="C31" i="70" s="1"/>
  <c r="L58" i="44"/>
  <c r="L61" i="44" s="1"/>
  <c r="Q69" i="44"/>
  <c r="C56" i="72"/>
  <c r="C63" i="72" s="1"/>
  <c r="J19" i="71"/>
  <c r="J17" i="71" s="1"/>
  <c r="C60" i="71"/>
  <c r="C65" i="71"/>
  <c r="C59" i="71"/>
  <c r="C60" i="74"/>
  <c r="C65" i="74"/>
  <c r="C59" i="74"/>
  <c r="C58" i="74" s="1"/>
  <c r="C60" i="15"/>
  <c r="C59" i="15"/>
  <c r="C65" i="15"/>
  <c r="C35" i="44"/>
  <c r="C33" i="44" s="1"/>
  <c r="J16" i="44"/>
  <c r="J24" i="44" s="1"/>
  <c r="C13" i="15"/>
  <c r="C37" i="15" s="1"/>
  <c r="C36" i="15"/>
  <c r="Q50" i="15"/>
  <c r="C33" i="72"/>
  <c r="C38" i="72"/>
  <c r="C32" i="72"/>
  <c r="C31" i="72" s="1"/>
  <c r="C32" i="71"/>
  <c r="C33" i="71"/>
  <c r="C38" i="71"/>
  <c r="Q58" i="44"/>
  <c r="Q67" i="44"/>
  <c r="Q49" i="44"/>
  <c r="Q55" i="44" s="1"/>
  <c r="C33" i="74"/>
  <c r="C38" i="74"/>
  <c r="C32" i="74"/>
  <c r="C38" i="15"/>
  <c r="C33" i="15"/>
  <c r="C32" i="15"/>
  <c r="J13" i="70"/>
  <c r="J23" i="70" s="1"/>
  <c r="J16" i="70" s="1"/>
  <c r="J25" i="70" s="1"/>
  <c r="C39" i="44"/>
  <c r="J35" i="74"/>
  <c r="J19" i="74" l="1"/>
  <c r="J17" i="74" s="1"/>
  <c r="C43" i="44"/>
  <c r="J35" i="70"/>
  <c r="J13" i="15"/>
  <c r="J23" i="15" s="1"/>
  <c r="J16" i="15" s="1"/>
  <c r="J25" i="15" s="1"/>
  <c r="C36" i="71"/>
  <c r="Q50" i="71"/>
  <c r="Q50" i="74"/>
  <c r="C13" i="71"/>
  <c r="Q71" i="71" s="1"/>
  <c r="J14" i="71"/>
  <c r="J22" i="71" s="1"/>
  <c r="C31" i="74"/>
  <c r="C55" i="15"/>
  <c r="C64" i="15" s="1"/>
  <c r="C55" i="74"/>
  <c r="C64" i="74" s="1"/>
  <c r="C57" i="74" s="1"/>
  <c r="C66" i="74" s="1"/>
  <c r="C67" i="74" s="1"/>
  <c r="C70" i="74" s="1"/>
  <c r="J22" i="74"/>
  <c r="J16" i="74" s="1"/>
  <c r="J25" i="74" s="1"/>
  <c r="C58" i="71"/>
  <c r="J19" i="72"/>
  <c r="J17" i="72" s="1"/>
  <c r="Q71" i="74"/>
  <c r="Q71" i="15"/>
  <c r="C13" i="72"/>
  <c r="C37" i="72" s="1"/>
  <c r="C30" i="72" s="1"/>
  <c r="C39" i="72" s="1"/>
  <c r="C40" i="72" s="1"/>
  <c r="J15" i="44"/>
  <c r="J25" i="44" s="1"/>
  <c r="J18" i="44" s="1"/>
  <c r="J27" i="44" s="1"/>
  <c r="J35" i="71"/>
  <c r="C55" i="71"/>
  <c r="C64" i="71" s="1"/>
  <c r="C37" i="71"/>
  <c r="J14" i="72"/>
  <c r="Q50" i="72"/>
  <c r="C37" i="70"/>
  <c r="C30" i="70" s="1"/>
  <c r="C39" i="70" s="1"/>
  <c r="Q71" i="70"/>
  <c r="C57" i="70"/>
  <c r="C66" i="70" s="1"/>
  <c r="C67" i="70" s="1"/>
  <c r="C70" i="70" s="1"/>
  <c r="C31" i="15"/>
  <c r="C30" i="15" s="1"/>
  <c r="C39" i="15" s="1"/>
  <c r="C31" i="71"/>
  <c r="C58" i="15"/>
  <c r="C57" i="15" s="1"/>
  <c r="C66" i="15" s="1"/>
  <c r="C67" i="15" s="1"/>
  <c r="C70" i="15" s="1"/>
  <c r="C30" i="74"/>
  <c r="C39" i="74" s="1"/>
  <c r="Q70" i="74" s="1"/>
  <c r="Q69" i="74" s="1"/>
  <c r="C32" i="44"/>
  <c r="C42" i="44" s="1"/>
  <c r="C44" i="44" s="1"/>
  <c r="C45" i="44" s="1"/>
  <c r="B2" i="44" s="1"/>
  <c r="J35" i="15"/>
  <c r="Q59" i="44"/>
  <c r="Q64" i="44" s="1"/>
  <c r="Q68" i="44"/>
  <c r="Q77" i="44" s="1"/>
  <c r="L51" i="70"/>
  <c r="L51" i="74"/>
  <c r="L51" i="72"/>
  <c r="Q71" i="44" l="1"/>
  <c r="Q70" i="44" s="1"/>
  <c r="J13" i="71"/>
  <c r="J23" i="71" s="1"/>
  <c r="J16" i="71" s="1"/>
  <c r="J25" i="71" s="1"/>
  <c r="C30" i="71"/>
  <c r="C39" i="71" s="1"/>
  <c r="J39" i="71" s="1"/>
  <c r="J40" i="71" s="1"/>
  <c r="J39" i="74"/>
  <c r="J40" i="74" s="1"/>
  <c r="C40" i="74"/>
  <c r="C46" i="74" s="1"/>
  <c r="J35" i="72"/>
  <c r="J39" i="72" s="1"/>
  <c r="J40" i="72" s="1"/>
  <c r="C57" i="71"/>
  <c r="C66" i="71" s="1"/>
  <c r="C67" i="71" s="1"/>
  <c r="C70" i="71" s="1"/>
  <c r="C55" i="72"/>
  <c r="C64" i="72" s="1"/>
  <c r="C57" i="72" s="1"/>
  <c r="C66" i="72" s="1"/>
  <c r="C67" i="72" s="1"/>
  <c r="C70" i="72" s="1"/>
  <c r="Q71" i="72"/>
  <c r="Q70" i="72"/>
  <c r="J13" i="72"/>
  <c r="J23" i="72" s="1"/>
  <c r="J22" i="72"/>
  <c r="Q68" i="70"/>
  <c r="Q70" i="70"/>
  <c r="Q69" i="70" s="1"/>
  <c r="J39" i="70"/>
  <c r="J40" i="70" s="1"/>
  <c r="C40" i="70"/>
  <c r="C46" i="70" s="1"/>
  <c r="J39" i="15"/>
  <c r="J40" i="15" s="1"/>
  <c r="Q70" i="15"/>
  <c r="Q69" i="15" s="1"/>
  <c r="C40" i="15"/>
  <c r="Q68" i="74"/>
  <c r="L57" i="74"/>
  <c r="Q68" i="72"/>
  <c r="B4" i="44"/>
  <c r="B3" i="44"/>
  <c r="B5" i="44"/>
  <c r="C43" i="74"/>
  <c r="Q66" i="72"/>
  <c r="Q76" i="72" s="1"/>
  <c r="Q57" i="72"/>
  <c r="Q63" i="72" s="1"/>
  <c r="B2" i="72"/>
  <c r="Q48" i="72"/>
  <c r="Q54" i="72" s="1"/>
  <c r="C43" i="72"/>
  <c r="J42" i="72"/>
  <c r="J43" i="72" s="1"/>
  <c r="L51" i="71"/>
  <c r="L51" i="15"/>
  <c r="Q70" i="71" l="1"/>
  <c r="Q69" i="71" s="1"/>
  <c r="J42" i="74"/>
  <c r="J43" i="74" s="1"/>
  <c r="Q57" i="74"/>
  <c r="Q63" i="74" s="1"/>
  <c r="Q68" i="71"/>
  <c r="C40" i="71"/>
  <c r="B2" i="74"/>
  <c r="B3" i="74" s="1"/>
  <c r="Q48" i="74"/>
  <c r="Q54" i="74" s="1"/>
  <c r="Q66" i="74"/>
  <c r="Q76" i="74" s="1"/>
  <c r="C46" i="71"/>
  <c r="Q69" i="72"/>
  <c r="C46" i="72"/>
  <c r="J16" i="72"/>
  <c r="J25" i="72" s="1"/>
  <c r="Q66" i="70"/>
  <c r="Q76" i="70" s="1"/>
  <c r="Q48" i="70"/>
  <c r="Q54" i="70" s="1"/>
  <c r="B2" i="70"/>
  <c r="B3" i="70" s="1"/>
  <c r="Q57" i="70"/>
  <c r="Q63" i="70" s="1"/>
  <c r="C43" i="70"/>
  <c r="J42" i="70"/>
  <c r="J43" i="70" s="1"/>
  <c r="Q68" i="15"/>
  <c r="L57" i="15"/>
  <c r="Q57" i="15"/>
  <c r="Q63" i="15" s="1"/>
  <c r="C43" i="15"/>
  <c r="J42" i="15"/>
  <c r="J43" i="15" s="1"/>
  <c r="C46" i="15"/>
  <c r="Q66" i="15"/>
  <c r="Q76" i="15" s="1"/>
  <c r="Q48" i="15"/>
  <c r="Q54" i="15" s="1"/>
  <c r="B2" i="15"/>
  <c r="B3" i="72"/>
  <c r="H8" i="12" s="1"/>
  <c r="H10" i="12"/>
  <c r="Q48" i="71" l="1"/>
  <c r="Q54" i="71" s="1"/>
  <c r="Q66" i="71"/>
  <c r="Q76" i="71" s="1"/>
  <c r="J42" i="71"/>
  <c r="J43" i="71" s="1"/>
  <c r="C43" i="71"/>
  <c r="B2" i="71"/>
  <c r="Q57" i="71"/>
  <c r="Q63" i="71" s="1"/>
  <c r="B3" i="15"/>
  <c r="E8" i="12" s="1"/>
  <c r="E10" i="12"/>
  <c r="B3" i="71" l="1"/>
  <c r="G8" i="12" s="1"/>
  <c r="G10" i="12"/>
  <c r="L11" i="12" s="1"/>
  <c r="C6" i="12" l="1"/>
  <c r="C29" i="12" l="1"/>
  <c r="C24" i="12"/>
  <c r="C28" i="12" l="1"/>
  <c r="C26" i="12" s="1"/>
  <c r="C31" i="12" s="1"/>
  <c r="C30" i="12" s="1"/>
  <c r="C35" i="12"/>
  <c r="C33" i="12" s="1"/>
  <c r="C36" i="12" l="1"/>
  <c r="B2" i="12" s="1"/>
  <c r="C19" i="9"/>
  <c r="D22" i="9" l="1"/>
  <c r="L43" i="9"/>
  <c r="G19" i="9"/>
  <c r="B4" i="12"/>
  <c r="B3" i="12"/>
  <c r="B5" i="12"/>
  <c r="C20" i="9"/>
  <c r="C21" i="9"/>
  <c r="G21" i="9" l="1"/>
  <c r="G20" i="9"/>
  <c r="C32" i="9"/>
  <c r="N43" i="9"/>
  <c r="G22" i="9"/>
  <c r="O43" i="9" l="1"/>
  <c r="C35" i="9"/>
  <c r="F42" i="9" s="1"/>
  <c r="C33" i="9"/>
  <c r="C42" i="9"/>
  <c r="C34" i="9"/>
  <c r="O38" i="9"/>
  <c r="K25" i="9" l="1"/>
  <c r="K26" i="9"/>
  <c r="C44" i="9"/>
  <c r="R5" i="54"/>
  <c r="B48" i="63" s="1"/>
  <c r="D63" i="9"/>
  <c r="N68" i="9"/>
  <c r="D14" i="66"/>
  <c r="M38" i="9"/>
  <c r="K27" i="9" s="1"/>
  <c r="E42" i="9"/>
  <c r="P5" i="54" s="1"/>
  <c r="B46" i="63" s="1"/>
  <c r="N38" i="9"/>
  <c r="K28" i="9" s="1"/>
  <c r="D42" i="9"/>
  <c r="Q5" i="54" s="1"/>
  <c r="B47" i="63" s="1"/>
  <c r="E14" i="66" l="1"/>
  <c r="B5" i="66"/>
  <c r="F14" i="66"/>
  <c r="C103" i="9"/>
  <c r="C82" i="9"/>
  <c r="C81" i="9" s="1"/>
  <c r="C85" i="9" s="1"/>
  <c r="C86" i="9" s="1"/>
  <c r="D72" i="9" s="1"/>
  <c r="D77" i="9"/>
  <c r="N75" i="9" s="1"/>
  <c r="D70" i="9"/>
  <c r="C111" i="9"/>
  <c r="C104" i="9" s="1"/>
  <c r="C90" i="9"/>
  <c r="C96" i="9"/>
  <c r="C91" i="9" s="1"/>
  <c r="D71" i="9"/>
  <c r="D66" i="9" s="1"/>
  <c r="N72" i="9" s="1"/>
  <c r="E44" i="9"/>
  <c r="G14" i="66"/>
  <c r="B6" i="66" s="1"/>
  <c r="O39" i="9"/>
  <c r="N69" i="9"/>
  <c r="D44" i="9"/>
  <c r="F44" i="9"/>
  <c r="R6" i="54" l="1"/>
  <c r="B50" i="63" s="1"/>
  <c r="K29" i="9"/>
  <c r="K30" i="9" s="1"/>
  <c r="C113" i="9"/>
  <c r="D5" i="66"/>
  <c r="C5" i="66"/>
  <c r="M87" i="9"/>
  <c r="N87" i="9" s="1"/>
  <c r="M85" i="9"/>
  <c r="N85" i="9" s="1"/>
  <c r="M83" i="9"/>
  <c r="N83" i="9" s="1"/>
  <c r="M88" i="9"/>
  <c r="N88" i="9" s="1"/>
  <c r="M86" i="9"/>
  <c r="N86" i="9" s="1"/>
  <c r="M84" i="9"/>
  <c r="N84" i="9" s="1"/>
  <c r="D6" i="66"/>
  <c r="C6" i="66"/>
  <c r="C97" i="9"/>
  <c r="C98" i="9" l="1"/>
  <c r="E98" i="9" s="1"/>
  <c r="E99" i="9" s="1"/>
  <c r="N89" i="9"/>
  <c r="O8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shape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<sst xmlns="http://schemas.openxmlformats.org/spreadsheetml/2006/main" count="9193" uniqueCount="3402">
  <si>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</si>
  <si>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</si>
  <si>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</si>
  <si>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</si>
  <si>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</si>
  <si>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</si>
  <si>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</si>
  <si>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</si>
  <si>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</si>
  <si>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</si>
  <si>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</si>
  <si>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</si>
  <si>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</si>
  <si>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</si>
  <si>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</si>
  <si>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</si>
  <si>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</si>
  <si>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</si>
  <si>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</si>
  <si>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</si>
  <si>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</si>
  <si>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</si>
  <si>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</si>
  <si>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</si>
  <si>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</si>
  <si>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</si>
  <si>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</si>
  <si>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</si>
  <si>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</si>
  <si>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</si>
  <si>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</si>
  <si>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</si>
  <si>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</si>
  <si>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</si>
  <si>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</si>
  <si>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</si>
  <si>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</si>
  <si>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</si>
  <si>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</si>
  <si>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</si>
  <si>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</si>
  <si>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</si>
  <si>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</si>
  <si>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</si>
  <si>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</si>
  <si>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</si>
  <si>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</si>
  <si>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</si>
  <si>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</si>
  <si>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</si>
  <si>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</si>
  <si>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</si>
  <si>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</si>
  <si>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</si>
  <si>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</si>
  <si>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</si>
  <si>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</si>
  <si>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</si>
  <si>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</si>
  <si>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</si>
  <si>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</si>
  <si>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</si>
  <si>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</si>
  <si>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</si>
  <si>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</si>
  <si>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</si>
  <si>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</si>
  <si>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</si>
  <si>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</si>
  <si>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</si>
  <si>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</si>
  <si>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</si>
  <si>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</si>
  <si>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</si>
  <si>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</si>
  <si>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</si>
  <si>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</si>
  <si>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</si>
  <si>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</si>
  <si>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</si>
  <si>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</si>
  <si>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</si>
  <si>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</si>
  <si>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</si>
  <si>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</si>
  <si>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</si>
  <si>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</si>
  <si>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</si>
  <si>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</si>
  <si>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</si>
  <si>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</si>
  <si>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</si>
  <si>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</si>
  <si>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</si>
  <si>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</si>
  <si>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</si>
  <si>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</si>
  <si>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</si>
  <si>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</si>
  <si>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</si>
  <si>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</si>
  <si>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</si>
  <si>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</si>
  <si>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</si>
  <si>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</si>
  <si>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</si>
  <si>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</si>
  <si>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</si>
  <si>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</si>
  <si>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</si>
  <si>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</si>
  <si>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</si>
  <si>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</si>
  <si>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</si>
  <si>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</si>
  <si>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</si>
  <si>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</si>
  <si>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</si>
  <si>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</si>
  <si>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</si>
  <si>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</si>
  <si>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</si>
  <si>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</si>
  <si>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</si>
  <si>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</si>
  <si>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</si>
  <si>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</si>
  <si>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</si>
  <si>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</si>
  <si>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</si>
  <si>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</si>
  <si>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</si>
  <si>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</si>
  <si>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</si>
  <si>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</si>
  <si>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</si>
  <si>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</si>
  <si>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</si>
  <si>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</si>
  <si>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</si>
  <si>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</si>
  <si>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</si>
  <si>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</si>
  <si>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</si>
  <si>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</si>
  <si>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</si>
  <si>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</si>
  <si>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</si>
  <si>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</si>
  <si>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</si>
  <si>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</si>
  <si>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</si>
  <si>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</si>
  <si>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</si>
  <si>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</si>
  <si>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</si>
  <si>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</si>
  <si>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</si>
  <si>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</si>
  <si>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</si>
  <si>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</si>
  <si>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</si>
  <si>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</si>
  <si>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</si>
  <si>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</si>
  <si>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</si>
  <si>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</si>
  <si>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</si>
  <si>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</si>
  <si>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</si>
  <si>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</si>
  <si>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</si>
  <si>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</si>
  <si>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</si>
  <si>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</si>
  <si>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</si>
  <si>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</si>
  <si>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</si>
  <si>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</si>
  <si>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</si>
  <si>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</si>
  <si>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</si>
  <si>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</si>
  <si>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</si>
  <si>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</si>
  <si>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</si>
  <si>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</si>
  <si>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</si>
  <si>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</si>
  <si>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</si>
  <si>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</si>
  <si>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</si>
  <si>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</si>
  <si>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</si>
  <si>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</si>
  <si>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</si>
  <si>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</si>
  <si>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</si>
  <si>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</si>
  <si>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</si>
  <si>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</si>
  <si>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</si>
  <si>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</si>
  <si>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</si>
  <si>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</si>
  <si>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</si>
  <si>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</si>
  <si>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</si>
  <si>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</si>
  <si>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</si>
  <si>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</si>
  <si>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</si>
  <si>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</si>
  <si>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</si>
  <si>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</si>
  <si>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</si>
  <si>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</si>
  <si>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</si>
  <si>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</si>
  <si>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</si>
  <si>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</si>
  <si>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</si>
  <si>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</si>
  <si>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</si>
  <si>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</si>
  <si>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</si>
  <si>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</si>
  <si>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</si>
  <si>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</si>
  <si>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</si>
  <si>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</si>
  <si>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</si>
  <si>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</si>
  <si>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</si>
  <si>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</si>
  <si>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</si>
  <si>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</si>
  <si>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</si>
  <si>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</si>
  <si>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</si>
  <si>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</si>
  <si>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</si>
  <si>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</si>
  <si>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</si>
  <si>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</si>
  <si>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</si>
  <si>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</si>
  <si>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</si>
  <si>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</si>
  <si>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</si>
  <si>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</si>
  <si>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</si>
  <si>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</si>
  <si>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</si>
  <si>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</si>
  <si>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</si>
  <si>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</si>
  <si>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</si>
  <si>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</si>
  <si>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</si>
  <si>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</si>
  <si>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</si>
  <si>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</si>
  <si>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</si>
  <si>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</si>
  <si>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</si>
  <si>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</si>
  <si>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</si>
  <si>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</si>
  <si>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</si>
  <si>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</si>
  <si>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</si>
  <si>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</si>
  <si>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</si>
  <si>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</si>
  <si>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</si>
  <si>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</si>
  <si>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</si>
  <si>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</si>
  <si>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</si>
  <si>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</si>
  <si>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</si>
  <si>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</si>
  <si>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</si>
  <si>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</si>
  <si>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</si>
  <si>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</si>
  <si>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</si>
  <si>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</si>
  <si>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</si>
  <si>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</si>
  <si>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</si>
  <si>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</si>
  <si>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</si>
  <si>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</si>
  <si>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</si>
  <si>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</si>
  <si>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</si>
  <si>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</si>
  <si>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</si>
  <si>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</si>
  <si>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</si>
  <si>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</si>
  <si>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</si>
  <si>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</si>
  <si>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</si>
  <si>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</si>
  <si>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</si>
  <si>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</si>
  <si>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</si>
  <si>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</si>
  <si>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</si>
  <si>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</si>
  <si>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</si>
  <si>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</si>
  <si>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</si>
  <si>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</si>
  <si>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</si>
  <si>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</si>
  <si>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</si>
  <si>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</si>
  <si>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</si>
  <si>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</si>
  <si>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</si>
  <si>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</si>
  <si>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</si>
  <si>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</si>
  <si>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</si>
  <si>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</si>
  <si>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</si>
  <si>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</si>
  <si>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</si>
  <si>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</si>
  <si>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</si>
  <si>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</si>
  <si>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</si>
  <si>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</si>
  <si>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</si>
  <si>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</si>
  <si>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</si>
  <si>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</si>
  <si>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</si>
  <si>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</si>
  <si>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</si>
  <si>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</si>
  <si>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</si>
  <si>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</si>
  <si>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</si>
  <si>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</si>
  <si>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</si>
  <si>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</si>
  <si>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</si>
  <si>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</si>
  <si>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</si>
  <si>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</si>
  <si>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</si>
  <si>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</si>
  <si>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</si>
  <si>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</si>
  <si>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</si>
  <si>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</si>
  <si>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</si>
  <si>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</si>
  <si>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</si>
  <si>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</si>
  <si>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</si>
  <si>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</si>
  <si>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</si>
  <si>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</si>
  <si>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</si>
  <si>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</si>
  <si>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</si>
  <si>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</si>
  <si>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</si>
  <si>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</si>
  <si>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</si>
  <si>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</si>
  <si>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</si>
  <si>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</si>
  <si>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</si>
  <si>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</si>
  <si>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</si>
  <si>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</si>
  <si>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</si>
  <si>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</si>
  <si>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</si>
  <si>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</si>
  <si>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</si>
  <si>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</si>
  <si>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</si>
  <si>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</si>
  <si>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</si>
  <si>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</si>
  <si>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</si>
  <si>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</si>
  <si>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</si>
  <si>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</si>
  <si>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</si>
  <si>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</si>
  <si>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</si>
  <si>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</si>
  <si>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</si>
  <si>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</si>
  <si>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</si>
  <si>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</si>
  <si>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</si>
  <si>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</si>
  <si>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</si>
  <si>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</si>
  <si>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</si>
  <si>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</si>
  <si>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</si>
  <si>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</si>
  <si>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</si>
  <si>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</si>
  <si>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</si>
  <si>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</si>
  <si>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</si>
  <si>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</si>
  <si>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</si>
  <si>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</si>
  <si>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</si>
  <si>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</si>
  <si>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</si>
  <si>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</si>
  <si>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</si>
  <si>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</si>
  <si>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</si>
  <si>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</si>
  <si>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</si>
  <si>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</si>
  <si>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</si>
  <si>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</si>
  <si>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</si>
  <si>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</si>
  <si>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</si>
  <si>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</si>
  <si>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</si>
  <si>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</si>
  <si>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</si>
  <si>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</si>
  <si>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</si>
  <si>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</si>
  <si>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</si>
  <si>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</si>
  <si>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</si>
  <si>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</si>
  <si>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</si>
  <si>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</si>
  <si>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</si>
  <si>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</si>
  <si>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</si>
  <si>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</si>
  <si>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</si>
  <si>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</si>
  <si>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</si>
  <si>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</si>
  <si>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</si>
  <si>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</si>
  <si>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</si>
  <si>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</si>
  <si>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</si>
  <si>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</si>
  <si>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</si>
  <si>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</si>
  <si>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</si>
  <si>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</si>
  <si>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</si>
  <si>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</si>
  <si>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</si>
  <si>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</si>
  <si>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</si>
  <si>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</si>
  <si>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</si>
  <si>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</si>
  <si>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</si>
  <si>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</si>
  <si>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</si>
  <si>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</si>
  <si>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</si>
  <si>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</si>
  <si>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</si>
  <si>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</si>
  <si>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</si>
  <si>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</si>
  <si>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</si>
  <si>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</si>
  <si>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</si>
  <si>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</si>
  <si>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</si>
  <si>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</si>
  <si>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</si>
  <si>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</si>
  <si>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</si>
  <si>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</si>
  <si>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</si>
  <si>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</si>
  <si>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</si>
  <si>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</si>
  <si>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</si>
  <si>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</si>
  <si>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</si>
  <si>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</si>
  <si>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</si>
  <si>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</si>
  <si>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</si>
  <si>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</si>
  <si>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</si>
  <si>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</si>
  <si>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</si>
  <si>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</si>
  <si>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</si>
  <si>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</si>
  <si>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</si>
  <si>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</si>
  <si>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</si>
  <si>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</si>
  <si>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</si>
  <si>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</si>
  <si>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</si>
  <si>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</si>
  <si>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</si>
  <si>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</si>
  <si>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</si>
  <si>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</si>
  <si>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</si>
  <si>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</si>
  <si>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</si>
  <si>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</si>
  <si>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</si>
  <si>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</si>
  <si>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</si>
  <si>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</si>
  <si>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</si>
  <si>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</si>
  <si>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</si>
  <si>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</si>
  <si>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</si>
  <si>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</si>
  <si>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</si>
  <si>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</si>
  <si>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</si>
  <si>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</si>
  <si>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</si>
  <si>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</si>
  <si>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</si>
  <si>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</si>
  <si>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</si>
  <si>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</si>
  <si>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</si>
  <si>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</si>
  <si>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</si>
  <si>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</si>
  <si>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</si>
  <si>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</si>
  <si>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</si>
  <si>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</si>
  <si>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</si>
  <si>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</si>
  <si>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</si>
  <si>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</si>
  <si>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</si>
  <si>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</si>
  <si>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</si>
  <si>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</si>
  <si>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</si>
  <si>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</si>
  <si>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</si>
  <si>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</si>
  <si>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</si>
  <si>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</si>
  <si>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</si>
  <si>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</si>
  <si>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</si>
  <si>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</si>
  <si>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</si>
  <si>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</si>
  <si>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</si>
  <si>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</si>
  <si>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</si>
  <si>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</si>
  <si>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</si>
  <si>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</si>
  <si>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</si>
  <si>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</si>
  <si>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</si>
  <si>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</si>
  <si>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</si>
  <si>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</si>
  <si>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</si>
  <si>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</si>
  <si>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</si>
  <si>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</si>
  <si>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</si>
  <si>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</si>
  <si>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</si>
  <si>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</si>
  <si>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</si>
  <si>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</si>
  <si>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</si>
  <si>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</si>
  <si>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</si>
  <si>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</si>
  <si>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</si>
  <si>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</si>
  <si>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</si>
  <si>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</si>
  <si>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</si>
  <si>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</si>
  <si>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</si>
  <si>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</si>
  <si>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</si>
  <si>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</si>
  <si>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</si>
  <si>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</si>
  <si>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</si>
  <si>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</si>
  <si>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</si>
  <si>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</si>
  <si>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</si>
  <si>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</si>
  <si>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</si>
  <si>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</si>
  <si>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</si>
  <si>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</si>
  <si>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</si>
  <si>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</si>
  <si>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</si>
  <si>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</si>
  <si>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</si>
  <si>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</si>
  <si>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</si>
  <si>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</si>
  <si>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</si>
  <si>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</si>
  <si>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</si>
  <si>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</si>
  <si>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</si>
  <si>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</si>
  <si>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</si>
  <si>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</si>
  <si>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</si>
  <si>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</si>
  <si>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</si>
  <si>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</si>
  <si>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</si>
  <si>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</si>
  <si>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</si>
  <si>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</si>
  <si>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</si>
  <si>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</si>
  <si>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</si>
  <si>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</si>
  <si>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</si>
  <si>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</si>
  <si>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</si>
  <si>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</si>
  <si>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</si>
  <si>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</si>
  <si>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</si>
  <si>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</si>
  <si>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</si>
  <si>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</si>
  <si>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</si>
  <si>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</si>
  <si>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</si>
  <si>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</si>
  <si>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</si>
  <si>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</si>
  <si>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</si>
  <si>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</si>
  <si>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</si>
  <si>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</si>
  <si>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</si>
  <si>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</si>
  <si>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</si>
  <si>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</si>
  <si>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</si>
  <si>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</si>
  <si>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</si>
  <si>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</si>
  <si>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</si>
  <si>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</si>
  <si>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</si>
  <si>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</si>
  <si>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</si>
  <si>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</si>
  <si>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</si>
  <si>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</si>
  <si>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</si>
  <si>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</si>
  <si>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</si>
  <si>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</si>
  <si>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</si>
  <si>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</si>
  <si>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</si>
  <si>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</si>
  <si>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</si>
  <si>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</si>
  <si>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</si>
  <si>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</si>
  <si>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</si>
  <si>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</si>
  <si>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</si>
  <si>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</si>
  <si>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</si>
  <si>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</si>
  <si>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</si>
  <si>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</si>
  <si>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</si>
  <si>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</si>
  <si>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</si>
  <si>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</si>
  <si>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</si>
  <si>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</si>
  <si>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</si>
  <si>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</si>
  <si>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</si>
  <si>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</si>
  <si>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</si>
  <si>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</si>
  <si>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</si>
  <si>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</si>
  <si>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</si>
  <si>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</si>
  <si>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</si>
  <si>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</si>
  <si>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</si>
  <si>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</si>
  <si>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</si>
  <si>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</si>
  <si>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</si>
  <si>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</si>
  <si>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</si>
  <si>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</si>
  <si>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</si>
  <si>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</si>
  <si>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</si>
  <si>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</si>
  <si>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</si>
  <si>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</si>
  <si>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</si>
  <si>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</si>
  <si>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</si>
  <si>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</si>
  <si>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</si>
  <si>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</si>
  <si>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</si>
  <si>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</si>
  <si>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</si>
  <si>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</si>
  <si>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</si>
  <si>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</si>
  <si>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</si>
  <si>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</si>
  <si>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</si>
  <si>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</si>
  <si>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</si>
  <si>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</si>
  <si>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</si>
  <si>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</si>
  <si>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</si>
  <si>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</si>
  <si>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</si>
  <si>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</si>
  <si>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</si>
  <si>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</si>
  <si>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</si>
  <si>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</si>
  <si>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</si>
  <si>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</si>
  <si>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</si>
  <si>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</si>
  <si>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</si>
  <si>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</si>
  <si>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</si>
  <si>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</si>
  <si>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</si>
  <si>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</si>
  <si>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</si>
  <si>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</si>
  <si>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</si>
  <si>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</si>
  <si>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</si>
  <si>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</si>
  <si>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</si>
  <si>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</si>
  <si>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</si>
  <si>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</si>
  <si>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</si>
  <si>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</si>
  <si>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</si>
  <si>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</si>
  <si>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</si>
  <si>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</si>
  <si>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</si>
  <si>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</si>
  <si>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</si>
  <si>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</si>
  <si>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</si>
  <si>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</si>
  <si>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</si>
  <si>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</si>
  <si>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</si>
  <si>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</si>
  <si>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</si>
  <si>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</si>
  <si>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</si>
  <si>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</si>
  <si>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</si>
  <si>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</si>
  <si>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</si>
  <si>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</si>
  <si>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</si>
  <si>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</si>
  <si>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</si>
  <si>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</si>
  <si>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</si>
  <si>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</si>
  <si>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</si>
  <si>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</si>
  <si>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</si>
  <si>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</si>
  <si>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</si>
  <si>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</si>
  <si>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</si>
  <si>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</si>
  <si>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</si>
  <si>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</si>
  <si>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</si>
  <si>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</si>
  <si>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</si>
  <si>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</si>
  <si>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</si>
  <si>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</si>
  <si>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</si>
  <si>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</si>
  <si>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</si>
  <si>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</si>
  <si>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</si>
  <si>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</si>
  <si>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</si>
  <si>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</si>
  <si>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</si>
  <si>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</si>
  <si>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</si>
  <si>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</si>
  <si>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</si>
  <si>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</si>
  <si>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</si>
  <si>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</si>
  <si>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</si>
  <si>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</si>
  <si>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</si>
  <si>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</si>
  <si>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</si>
  <si>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</si>
  <si>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</si>
  <si>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</si>
  <si>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</si>
  <si>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</si>
  <si>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</si>
  <si>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</si>
  <si>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</si>
  <si>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</si>
  <si>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</si>
  <si>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</si>
  <si>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</si>
  <si>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</si>
  <si>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</si>
  <si>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</si>
  <si>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</si>
  <si>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</si>
  <si>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</si>
  <si>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</si>
  <si>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</si>
  <si>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</si>
  <si>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</si>
  <si>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</si>
  <si>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</si>
  <si>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</si>
  <si>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</si>
  <si>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</si>
  <si>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</si>
  <si>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</si>
  <si>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</si>
  <si>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</si>
  <si>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</si>
  <si>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</si>
  <si>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</si>
  <si>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</si>
  <si>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</si>
  <si>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</si>
  <si>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</si>
  <si>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</si>
  <si>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</si>
  <si>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</si>
  <si>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</si>
  <si>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</si>
  <si>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</si>
  <si>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</si>
  <si>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</si>
  <si>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</si>
  <si>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</si>
  <si>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</si>
  <si>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</si>
  <si>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</si>
  <si>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</si>
  <si>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</si>
  <si>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</si>
  <si>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</si>
  <si>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</si>
  <si>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</si>
  <si>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</si>
  <si>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</si>
  <si>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</si>
  <si>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</si>
  <si>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</si>
  <si>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</si>
  <si>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</si>
  <si>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</si>
  <si>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</si>
  <si>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</si>
  <si>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</si>
  <si>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</si>
  <si>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</si>
  <si>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</si>
  <si>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</si>
  <si>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</si>
  <si>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</si>
  <si>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</si>
  <si>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</si>
  <si>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</si>
  <si>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</si>
  <si>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</si>
  <si>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</si>
  <si>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</si>
  <si>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</si>
  <si>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</si>
  <si>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</si>
  <si>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</si>
  <si>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</si>
  <si>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</si>
  <si>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</si>
  <si>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</si>
  <si>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</si>
  <si>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</si>
  <si>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</si>
  <si>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</si>
  <si>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</si>
  <si>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</si>
  <si>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</si>
  <si>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</si>
  <si>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</si>
  <si>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</si>
  <si>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</si>
  <si>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</si>
  <si>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</si>
  <si>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</si>
  <si>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</si>
  <si>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</si>
  <si>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</si>
  <si>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</si>
  <si>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</si>
  <si>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</si>
  <si>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</si>
  <si>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</si>
  <si>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</si>
  <si>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</si>
  <si>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</si>
  <si>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</si>
  <si>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</si>
  <si>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</si>
  <si>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</si>
  <si>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</si>
  <si>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</si>
  <si>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</si>
  <si>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</si>
  <si>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</si>
  <si>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</si>
  <si>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</si>
  <si>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</si>
  <si>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</si>
  <si>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</si>
  <si>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</si>
  <si>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</si>
  <si>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</si>
  <si>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</si>
  <si>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</si>
  <si>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</si>
  <si>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</si>
  <si>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</si>
  <si>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</si>
  <si>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</si>
  <si>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</si>
  <si>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</si>
  <si>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</si>
  <si>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</si>
  <si>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</si>
  <si>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</si>
  <si>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</si>
  <si>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</si>
  <si>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</si>
  <si>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</si>
  <si>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</si>
  <si>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</si>
  <si>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</si>
  <si>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</si>
  <si>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</si>
  <si>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</si>
  <si>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</si>
  <si>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</si>
  <si>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</si>
  <si>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</si>
  <si>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</si>
  <si>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</si>
  <si>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</si>
  <si>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</si>
  <si>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</si>
  <si>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</si>
  <si>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</si>
  <si>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</si>
  <si>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</si>
  <si>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</si>
  <si>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</si>
  <si>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</si>
  <si>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</si>
  <si>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</si>
  <si>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</si>
  <si>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</si>
  <si>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</si>
  <si>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</si>
  <si>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</si>
  <si>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</si>
  <si>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</si>
  <si>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</si>
  <si>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</si>
  <si>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</si>
  <si>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</si>
  <si>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</si>
  <si>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</si>
  <si>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</si>
  <si>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</si>
  <si>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</si>
  <si>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</si>
  <si>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</si>
  <si>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</si>
  <si>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</si>
  <si>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</si>
  <si>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</si>
  <si>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</si>
  <si>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</si>
  <si>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</si>
  <si>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</si>
  <si>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</si>
  <si>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</si>
  <si>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</si>
  <si>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</si>
  <si>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</si>
  <si>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</si>
  <si>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</si>
  <si>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</si>
  <si>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</si>
  <si>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</si>
  <si>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</si>
  <si>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</si>
  <si>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</si>
  <si>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</si>
  <si>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</si>
  <si>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</si>
  <si>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</si>
  <si>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</si>
  <si>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</si>
  <si>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</si>
  <si>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</si>
  <si>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</si>
  <si>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</si>
  <si>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</si>
  <si>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</si>
  <si>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</si>
  <si>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</si>
  <si>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</si>
  <si>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</si>
  <si>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</si>
  <si>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</si>
  <si>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</si>
  <si>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</si>
  <si>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</si>
  <si>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</si>
  <si>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</si>
  <si>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</si>
  <si>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</si>
  <si>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</si>
  <si>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</si>
  <si>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</si>
  <si>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</si>
  <si>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</si>
  <si>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</si>
  <si>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</si>
  <si>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</si>
  <si>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</si>
  <si>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</si>
  <si>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</si>
  <si>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</si>
  <si>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</si>
  <si>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</si>
  <si>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</si>
  <si>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</si>
  <si>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</si>
  <si>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</si>
  <si>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</si>
  <si>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</si>
  <si>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</si>
  <si>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</si>
  <si>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</si>
  <si>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</si>
  <si>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</si>
  <si>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</si>
  <si>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</si>
  <si>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</si>
  <si>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</si>
  <si>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</si>
  <si>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</si>
  <si>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</si>
  <si>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</si>
  <si>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</si>
  <si>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</si>
  <si>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</si>
  <si>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</si>
  <si>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</si>
  <si>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</si>
  <si>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</si>
  <si>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</si>
  <si>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</si>
  <si>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</si>
  <si>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</si>
  <si>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</si>
  <si>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</si>
  <si>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</si>
  <si>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</si>
  <si>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</si>
  <si>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</si>
  <si>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</si>
  <si>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</si>
  <si>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</si>
  <si>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</si>
  <si>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</si>
  <si>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</si>
  <si>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</si>
  <si>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</si>
  <si>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</si>
  <si>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</si>
  <si>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</si>
  <si>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</si>
  <si>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</si>
  <si>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</si>
  <si>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</si>
  <si>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</si>
  <si>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</si>
  <si>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</si>
  <si>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</si>
  <si>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</si>
  <si>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</si>
  <si>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</si>
  <si>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</si>
  <si>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</si>
  <si>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</si>
  <si>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</si>
  <si>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</si>
  <si>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</si>
  <si>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</si>
  <si>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</si>
  <si>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</si>
  <si>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</si>
  <si>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</si>
  <si>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</si>
  <si>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</si>
  <si>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</si>
  <si>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</si>
  <si>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</si>
  <si>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</si>
  <si>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</si>
  <si>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</si>
  <si>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</si>
  <si>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</si>
  <si>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</si>
  <si>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</si>
  <si>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</si>
  <si>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</si>
  <si>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</si>
  <si>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</si>
  <si>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</si>
  <si>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</si>
  <si>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</si>
  <si>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</si>
  <si>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</si>
  <si>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</si>
  <si>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</si>
  <si>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</si>
  <si>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</si>
  <si>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</si>
  <si>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</si>
  <si>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</si>
  <si>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</si>
  <si>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</si>
  <si>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</si>
  <si>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</si>
  <si>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</si>
  <si>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</si>
  <si>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</si>
  <si>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</si>
  <si>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</si>
  <si>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</si>
  <si>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</si>
  <si>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</si>
  <si>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</si>
  <si>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</si>
  <si>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</si>
  <si>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</si>
  <si>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</si>
  <si>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</si>
  <si>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</si>
  <si>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</si>
  <si>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</si>
  <si>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</si>
  <si>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</si>
  <si>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</si>
  <si>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</si>
  <si>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</si>
  <si>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</si>
  <si>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</si>
  <si>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</si>
  <si>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</si>
  <si>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</si>
  <si>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</si>
  <si>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</si>
  <si>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</si>
  <si>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</si>
  <si>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</si>
  <si>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</si>
  <si>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</si>
  <si>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</si>
  <si>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</si>
  <si>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</si>
  <si>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</si>
  <si>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</si>
  <si>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</si>
  <si>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</si>
  <si>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</si>
  <si>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</si>
  <si>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</si>
  <si>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</si>
  <si>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</si>
  <si>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</si>
  <si>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</si>
  <si>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</si>
  <si>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</si>
  <si>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</si>
  <si>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</si>
  <si>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</si>
  <si>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</si>
  <si>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</si>
  <si>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</si>
  <si>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</si>
  <si>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</si>
  <si>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</si>
  <si>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</si>
  <si>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</si>
  <si>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</si>
  <si>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</si>
  <si>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</si>
  <si>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</si>
  <si>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</si>
  <si>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</si>
  <si>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</si>
  <si>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</si>
  <si>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</si>
  <si>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</si>
  <si>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</si>
  <si>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</si>
  <si>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</si>
  <si>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</si>
  <si>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</si>
  <si>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</si>
  <si>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</si>
  <si>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</si>
  <si>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</si>
  <si>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</si>
  <si>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</si>
  <si>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</si>
  <si>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</si>
  <si>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</si>
  <si>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</si>
  <si>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</si>
  <si>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</si>
  <si>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</si>
  <si>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</si>
  <si>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</si>
  <si>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</si>
  <si>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</si>
  <si>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</si>
  <si>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</si>
  <si>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</si>
  <si>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</si>
  <si>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</si>
  <si>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</si>
  <si>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</si>
  <si>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</si>
  <si>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</si>
  <si>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</si>
  <si>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</si>
  <si>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</si>
  <si>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</si>
  <si>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</si>
  <si>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</si>
  <si>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</si>
  <si>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</si>
  <si>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</si>
  <si>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</si>
  <si>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</si>
  <si>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</si>
  <si>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</si>
  <si>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</si>
  <si>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</si>
  <si>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</si>
  <si>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</si>
  <si>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</si>
  <si>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</si>
  <si>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</si>
  <si>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</si>
  <si>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</si>
  <si>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</si>
  <si>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</si>
  <si>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</si>
  <si>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</si>
  <si>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</si>
  <si>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</si>
  <si>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</si>
  <si>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</si>
  <si>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</si>
  <si>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</si>
  <si>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</si>
  <si>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</si>
  <si>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</si>
  <si>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</si>
  <si>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</si>
  <si>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</si>
  <si>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</si>
  <si>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</si>
  <si>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</si>
  <si>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</si>
  <si>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</si>
  <si>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</si>
  <si>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</si>
  <si>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</si>
  <si>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</si>
  <si>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</si>
  <si>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</si>
  <si>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</si>
  <si>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</si>
  <si>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</si>
  <si>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</si>
  <si>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</si>
  <si>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</si>
  <si>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</si>
  <si>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</si>
  <si>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</si>
  <si>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</si>
  <si>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</si>
  <si>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</si>
  <si>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</si>
  <si>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</si>
  <si>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</si>
  <si>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</si>
  <si>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</si>
  <si>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</si>
  <si>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</si>
  <si>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</si>
  <si>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</si>
  <si>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</si>
  <si>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</si>
  <si>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</si>
  <si>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</si>
  <si>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</si>
  <si>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</si>
  <si>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</si>
  <si>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</si>
  <si>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</si>
  <si>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</si>
  <si>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</si>
  <si>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</si>
  <si>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</si>
  <si>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</si>
  <si>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</si>
  <si>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</si>
  <si>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</si>
  <si>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</si>
  <si>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</si>
  <si>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</si>
  <si>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</si>
  <si>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</si>
  <si>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</si>
  <si>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</si>
  <si>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</si>
  <si>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</si>
  <si>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</si>
  <si>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</si>
  <si>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</si>
  <si>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</si>
  <si>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</si>
  <si>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</si>
  <si>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</si>
  <si>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</si>
  <si>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</si>
  <si>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</si>
  <si>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</si>
  <si>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</si>
  <si>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</si>
  <si>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</si>
  <si>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</si>
  <si>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</si>
  <si>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</si>
  <si>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</si>
  <si>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</si>
  <si>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</si>
  <si>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</si>
  <si>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</si>
  <si>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</si>
  <si>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</si>
  <si>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</si>
  <si>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</si>
  <si>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</si>
  <si>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</si>
  <si>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</si>
  <si>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</si>
  <si>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</si>
  <si>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</si>
  <si>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</si>
  <si>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</si>
  <si>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</si>
  <si>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</si>
  <si>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</si>
  <si>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</si>
  <si>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</si>
  <si>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</si>
  <si>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</si>
  <si>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</si>
  <si>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</si>
  <si>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</si>
  <si>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</si>
  <si>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</si>
  <si>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</si>
  <si>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</si>
  <si>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</si>
  <si>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</si>
  <si>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</si>
  <si>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</si>
  <si>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</si>
  <si>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</si>
  <si>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</si>
  <si>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</si>
  <si>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</si>
  <si>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</si>
  <si>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</si>
  <si>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</si>
  <si>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</si>
  <si>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</si>
  <si>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</si>
  <si>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</si>
  <si>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</si>
  <si>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</si>
  <si>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</si>
  <si>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</si>
  <si>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</si>
  <si>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</si>
  <si>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</si>
  <si>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</si>
  <si>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</si>
  <si>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</si>
  <si>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</si>
  <si>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</si>
  <si>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</si>
  <si>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</si>
  <si>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</si>
  <si>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</si>
  <si>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</si>
  <si>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</si>
  <si>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</si>
  <si>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</si>
  <si>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</si>
  <si>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</si>
  <si>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</si>
  <si>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</si>
  <si>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</si>
  <si>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</si>
  <si>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</si>
  <si>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</si>
  <si>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</si>
  <si>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</si>
  <si>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</si>
  <si>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</si>
  <si>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</si>
  <si>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</si>
  <si>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</si>
  <si>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</si>
  <si>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</si>
  <si>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</si>
  <si>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</si>
  <si>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</si>
  <si>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</si>
  <si>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</si>
  <si>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</si>
  <si>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</si>
  <si>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</si>
  <si>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</si>
  <si>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</si>
  <si>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</si>
  <si>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</si>
  <si>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</si>
  <si>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</si>
  <si>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</si>
  <si>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</si>
  <si>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</si>
  <si>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</si>
  <si>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</si>
  <si>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</si>
  <si>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</si>
  <si>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</si>
  <si>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</si>
  <si>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</si>
  <si>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</si>
  <si>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</si>
  <si>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</si>
  <si>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</si>
  <si>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</si>
  <si>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</si>
  <si>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</si>
  <si>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</si>
  <si>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</si>
  <si>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</si>
  <si>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</si>
  <si>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</si>
  <si>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</si>
  <si>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</si>
  <si>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</si>
  <si>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</si>
  <si>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</si>
  <si>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</si>
  <si>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</si>
  <si>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</si>
  <si>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</si>
  <si>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</si>
  <si>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</si>
  <si>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</si>
  <si>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</si>
  <si>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</si>
  <si>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</si>
  <si>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</si>
  <si>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</si>
  <si>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</si>
  <si>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</si>
  <si>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</si>
  <si>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</si>
  <si>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</si>
  <si>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</si>
  <si>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</si>
  <si>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</si>
  <si>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</si>
  <si>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</si>
  <si>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</si>
  <si>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</si>
  <si>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</si>
  <si>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</si>
  <si>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</si>
  <si>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</si>
  <si>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</si>
  <si>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</si>
  <si>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</si>
  <si>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</si>
  <si>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</si>
  <si>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</si>
  <si>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</si>
  <si>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</si>
  <si>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</si>
  <si>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</si>
  <si>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</si>
  <si>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</si>
  <si>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</si>
  <si>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</si>
  <si>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</si>
  <si>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</si>
  <si>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</si>
  <si>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</si>
  <si>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</si>
  <si>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</si>
  <si>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</si>
  <si>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</si>
  <si>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</si>
  <si>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</si>
  <si>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</si>
  <si>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</si>
  <si>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</si>
  <si>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</si>
  <si>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</si>
  <si>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</si>
  <si>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</si>
  <si>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</si>
  <si>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</si>
  <si>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</si>
  <si>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</si>
  <si>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</si>
  <si>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</si>
  <si>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</si>
  <si>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</si>
  <si>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</si>
  <si>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</si>
  <si>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</si>
  <si>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</si>
  <si>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</si>
  <si>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</si>
  <si>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</si>
  <si>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</si>
  <si>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</si>
  <si>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</si>
  <si>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</si>
  <si>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</si>
  <si>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</si>
  <si>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</si>
  <si>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</si>
  <si>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</si>
  <si>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</si>
  <si>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</si>
  <si>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</si>
  <si>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</si>
  <si>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</si>
  <si>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</si>
  <si>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</si>
  <si>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</si>
  <si>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</si>
  <si>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</si>
  <si>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</si>
  <si>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</si>
  <si>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</si>
  <si>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</si>
  <si>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</si>
  <si>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</si>
  <si>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</si>
  <si>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</si>
  <si>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</si>
  <si>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</si>
  <si>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</si>
  <si>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</si>
  <si>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</si>
  <si>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</si>
  <si>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</si>
  <si>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</si>
  <si>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</si>
  <si>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</si>
  <si>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</si>
  <si>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</si>
  <si>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</si>
  <si>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</si>
  <si>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</si>
  <si>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</si>
  <si>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</si>
  <si>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</si>
  <si>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</si>
  <si>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</si>
  <si>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</si>
  <si>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</si>
  <si>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</si>
  <si>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</si>
  <si>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</si>
  <si>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</si>
  <si>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</si>
  <si>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</si>
  <si>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</si>
  <si>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</si>
  <si>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</si>
  <si>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</si>
  <si>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</si>
  <si>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</si>
  <si>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</si>
  <si>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</si>
  <si>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</si>
  <si>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</si>
  <si>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</si>
  <si>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</si>
  <si>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</si>
  <si>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</si>
  <si>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</si>
  <si>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</si>
  <si>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</si>
  <si>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</si>
  <si>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</si>
  <si>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</si>
  <si>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</si>
  <si>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</si>
  <si>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</si>
  <si>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</si>
  <si>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</si>
  <si>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</si>
  <si>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</si>
  <si>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</si>
  <si>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</si>
  <si>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</si>
  <si>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</si>
  <si>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</si>
  <si>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</si>
  <si>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</si>
  <si>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</si>
  <si>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</si>
  <si>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</si>
  <si>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</si>
  <si>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</si>
  <si>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</si>
  <si>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</si>
  <si>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</si>
  <si>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</si>
  <si>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</si>
  <si>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</si>
  <si>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</si>
  <si>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</si>
  <si>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</si>
  <si>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</si>
  <si>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</si>
  <si>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</si>
  <si>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</si>
  <si>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</si>
  <si>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</si>
  <si>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</si>
  <si>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</si>
  <si>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</si>
  <si>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</si>
  <si>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</si>
  <si>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</si>
  <si>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</si>
  <si>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</si>
  <si>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</si>
  <si>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</si>
  <si>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</si>
  <si>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</si>
  <si>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</si>
  <si>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</si>
  <si>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</si>
  <si>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</si>
  <si>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</si>
  <si>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</si>
  <si>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</si>
  <si>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</si>
  <si>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</si>
  <si>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</si>
  <si>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</si>
  <si>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</si>
  <si>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</si>
  <si>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</si>
  <si>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</si>
  <si>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</si>
  <si>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</si>
  <si>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</si>
  <si>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</si>
  <si>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</si>
  <si>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</si>
  <si>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</si>
  <si>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</si>
  <si>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</si>
  <si>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</si>
  <si>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</si>
  <si>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</si>
  <si>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</si>
  <si>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</si>
  <si>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</si>
  <si>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</si>
  <si>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</si>
  <si>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</si>
  <si>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</si>
  <si>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</si>
  <si>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</si>
  <si>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</si>
  <si>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</si>
  <si>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</si>
  <si>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</si>
  <si>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</si>
  <si>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</si>
  <si>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</si>
  <si>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</si>
  <si>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</si>
  <si>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</si>
  <si>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</si>
  <si>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</si>
  <si>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</si>
  <si>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</si>
  <si>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</si>
  <si>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</si>
  <si>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</si>
  <si>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</si>
  <si>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</si>
  <si>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</si>
  <si>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</si>
  <si>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</si>
  <si>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</si>
  <si>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</si>
  <si>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</si>
  <si>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</si>
  <si>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</si>
  <si>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</si>
  <si>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</si>
  <si>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</si>
  <si>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</si>
  <si>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</si>
  <si>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</si>
  <si>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</si>
  <si>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</si>
  <si>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</si>
  <si>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</si>
  <si>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</si>
  <si>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</si>
  <si>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</si>
  <si>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</si>
  <si>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</si>
  <si>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</si>
  <si>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</si>
  <si>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</si>
  <si>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</si>
  <si>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</si>
  <si>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</si>
  <si>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</si>
  <si>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</si>
  <si>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</si>
  <si>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</si>
  <si>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</si>
  <si>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</si>
  <si>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</si>
  <si>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</si>
  <si>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</si>
  <si>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</si>
  <si>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</si>
  <si>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</si>
  <si>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</si>
  <si>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</si>
  <si>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</si>
  <si>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</si>
  <si>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</si>
  <si>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</si>
  <si>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</si>
  <si>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</si>
  <si>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</si>
  <si>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</si>
  <si>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</si>
  <si>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</si>
  <si>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</si>
  <si>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</si>
  <si>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</si>
  <si>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</si>
  <si>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</si>
  <si>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</si>
  <si>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</si>
  <si>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</si>
  <si>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</si>
  <si>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</si>
  <si>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</si>
  <si>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</si>
  <si>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</si>
  <si>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</si>
  <si>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</si>
  <si>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</si>
  <si>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</si>
  <si>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</si>
  <si>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</si>
  <si>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</si>
  <si>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</si>
  <si>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</si>
  <si>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</si>
  <si>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</si>
  <si>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</si>
  <si>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</si>
  <si>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</si>
  <si>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</si>
  <si>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</si>
  <si>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</si>
  <si>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</si>
  <si>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</si>
  <si>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</si>
  <si>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</si>
  <si>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</si>
  <si>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</si>
  <si>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</si>
  <si>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</si>
  <si>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</si>
  <si>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</si>
  <si>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</si>
  <si>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</si>
  <si>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</si>
  <si>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</si>
  <si>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</si>
  <si>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</si>
  <si>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</si>
  <si>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</si>
  <si>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</si>
  <si>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</si>
  <si>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</si>
  <si>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</si>
  <si>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</si>
  <si>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</si>
  <si>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</si>
  <si>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</si>
  <si>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</si>
  <si>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</si>
  <si>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</si>
  <si>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</si>
  <si>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</si>
  <si>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</si>
  <si>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</si>
  <si>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</si>
  <si>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</si>
  <si>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</si>
  <si>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</si>
  <si>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</si>
  <si>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</si>
  <si>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</si>
  <si>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</si>
  <si>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</si>
  <si>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</si>
  <si>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</si>
  <si>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</si>
  <si>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</si>
  <si>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</si>
  <si>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</si>
  <si>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</si>
  <si>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</si>
  <si>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</si>
  <si>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</si>
  <si>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</si>
  <si>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</si>
  <si>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</si>
  <si>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</si>
  <si>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</si>
  <si>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</si>
  <si>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</si>
  <si>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</si>
  <si>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</si>
  <si>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</si>
  <si>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</si>
  <si>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</si>
  <si>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</si>
  <si>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</si>
  <si>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</si>
  <si>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</si>
  <si>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</si>
  <si>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</si>
  <si>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</si>
  <si>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</si>
  <si>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</si>
  <si>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</si>
  <si>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</si>
  <si>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</si>
  <si>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</si>
  <si>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</si>
  <si>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</si>
  <si>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</si>
  <si>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</si>
  <si>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</si>
  <si>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</si>
  <si>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</si>
  <si>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</si>
  <si>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</si>
  <si>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</si>
  <si>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</si>
  <si>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</si>
  <si>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</si>
  <si>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</si>
  <si>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</si>
  <si>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</si>
  <si>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</si>
  <si>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</si>
  <si>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</si>
  <si>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</si>
  <si>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</si>
  <si>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</si>
  <si>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</si>
  <si>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</si>
  <si>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</si>
  <si>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</si>
  <si>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</si>
  <si>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</si>
  <si>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</si>
  <si>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</si>
  <si>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</si>
  <si>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</si>
  <si>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</si>
  <si>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</si>
  <si>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</si>
  <si>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</si>
  <si>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</si>
  <si>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</si>
  <si>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</si>
  <si>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</si>
  <si>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</si>
  <si>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</si>
  <si>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</si>
  <si>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</si>
  <si>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</si>
  <si>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</si>
  <si>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</si>
  <si>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</si>
  <si>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</si>
  <si>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</si>
  <si>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</si>
  <si>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</si>
  <si>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</si>
  <si>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</si>
  <si>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</si>
  <si>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</si>
  <si>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</si>
  <si>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</si>
  <si>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</si>
  <si>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</si>
  <si>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</si>
  <si>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</si>
  <si>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</si>
  <si>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</si>
  <si>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</si>
  <si>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</si>
  <si>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</si>
  <si>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</si>
  <si>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</si>
  <si>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</si>
  <si>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</si>
  <si>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</si>
  <si>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</si>
  <si>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</si>
  <si>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</si>
  <si>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</si>
  <si>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</si>
  <si>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</si>
  <si>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</si>
  <si>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</si>
  <si>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</si>
  <si>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</si>
  <si>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</si>
  <si>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</si>
  <si>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</si>
  <si>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</si>
  <si>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</si>
  <si>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</si>
  <si>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</si>
  <si>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</si>
  <si>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</si>
  <si>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</si>
  <si>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</si>
  <si>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</si>
  <si>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</si>
  <si>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</si>
  <si>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</si>
  <si>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</si>
  <si>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</si>
  <si>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</si>
  <si>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</si>
  <si>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</si>
  <si>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</si>
  <si>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</si>
  <si>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</si>
  <si>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</si>
  <si>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</si>
  <si>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</si>
  <si>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</si>
  <si>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</si>
  <si>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</si>
  <si>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</si>
  <si>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</si>
  <si>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</si>
  <si>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</si>
  <si>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</si>
  <si>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</si>
  <si>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</si>
  <si>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</si>
  <si>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</si>
  <si>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</si>
  <si>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</si>
  <si>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</si>
  <si>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</si>
  <si>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</si>
  <si>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</si>
  <si>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</si>
  <si>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</si>
  <si>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</si>
  <si>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</si>
  <si>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</si>
  <si>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</si>
  <si>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</si>
  <si>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</si>
  <si>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</si>
  <si>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</si>
  <si>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</si>
  <si>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</si>
  <si>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</si>
  <si>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</si>
  <si>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</si>
  <si>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</si>
  <si>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</si>
  <si>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</si>
  <si>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</si>
  <si>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</si>
  <si>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</si>
  <si>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</si>
  <si>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</si>
  <si>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</si>
  <si>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</si>
  <si>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</si>
  <si>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</si>
  <si>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</si>
  <si>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</si>
  <si>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</si>
  <si>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</si>
  <si>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</si>
  <si>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</si>
  <si>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</si>
  <si>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</si>
  <si>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</si>
  <si>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</si>
  <si>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</si>
  <si>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</si>
  <si>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</si>
  <si>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</si>
  <si>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</si>
  <si>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</si>
  <si>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</si>
  <si>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</si>
  <si>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</si>
  <si>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</si>
  <si>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</si>
  <si>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</si>
  <si>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</si>
  <si>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</si>
  <si>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</si>
  <si>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</si>
  <si>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</si>
  <si>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</si>
  <si>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</si>
  <si>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</si>
  <si>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</si>
  <si>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</si>
  <si>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</si>
  <si>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</si>
  <si>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</si>
  <si>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</si>
  <si>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</si>
  <si>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</si>
  <si>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</si>
  <si>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</si>
  <si>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</si>
  <si>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</si>
  <si>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</si>
  <si>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</si>
  <si>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</si>
  <si>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</si>
  <si>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</si>
  <si>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</si>
  <si>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</si>
  <si>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</si>
  <si>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</si>
  <si>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</si>
  <si>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</si>
  <si>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</si>
  <si>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</si>
  <si>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</si>
  <si>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</si>
  <si>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</si>
  <si>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</si>
  <si>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</si>
  <si>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</si>
  <si>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</si>
  <si>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</si>
  <si>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</si>
  <si>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</si>
  <si>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</si>
  <si>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</si>
  <si>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</si>
  <si>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</si>
  <si>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</si>
  <si>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</si>
  <si>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</si>
  <si>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</si>
  <si>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</si>
  <si>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</si>
  <si>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</si>
  <si>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</si>
  <si>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</si>
  <si>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</si>
  <si>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</si>
  <si>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</si>
  <si>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</si>
  <si>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</si>
  <si>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</si>
  <si>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</si>
  <si>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</si>
  <si>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</si>
  <si>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</si>
  <si>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</si>
  <si>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</si>
  <si>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</si>
  <si>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</si>
  <si>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</si>
  <si>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</si>
  <si>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</si>
  <si>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</si>
  <si>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</si>
  <si>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</si>
  <si>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</si>
  <si>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</si>
  <si>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</si>
  <si>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</si>
  <si>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</si>
  <si>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</si>
  <si>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</si>
  <si>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</si>
  <si>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</si>
  <si>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</si>
  <si>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</si>
  <si>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</si>
  <si>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</si>
  <si>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</si>
  <si>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</si>
  <si>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</si>
  <si>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</si>
  <si>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</si>
  <si>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</si>
  <si>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</si>
  <si>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</si>
  <si>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</si>
  <si>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</si>
  <si>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</si>
  <si>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</si>
  <si>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</si>
  <si>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</si>
  <si>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</si>
  <si>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</si>
  <si>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</si>
  <si>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</si>
  <si>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</si>
  <si>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</si>
  <si>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</si>
  <si>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</si>
  <si>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</si>
  <si>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</si>
  <si>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</si>
  <si>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</si>
  <si>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</si>
  <si>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</si>
  <si>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</si>
  <si>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</si>
  <si>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</si>
  <si>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</si>
  <si>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</si>
  <si>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</si>
  <si>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</si>
  <si>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</si>
  <si>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</si>
  <si>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</si>
  <si>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</si>
  <si>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</si>
  <si>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</si>
  <si>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</si>
  <si>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</si>
  <si>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</si>
  <si>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</si>
  <si>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</si>
  <si>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</si>
  <si>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</si>
  <si>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</si>
  <si>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</si>
  <si>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</si>
  <si>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</si>
  <si>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</si>
  <si>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</si>
  <si>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</si>
  <si>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</si>
  <si>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</si>
  <si>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</si>
  <si>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</si>
  <si>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</si>
  <si>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</si>
  <si>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</si>
  <si>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</si>
  <si>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</si>
  <si>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</si>
  <si>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</si>
  <si>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</si>
  <si>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</si>
  <si>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</si>
  <si>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</si>
  <si>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</si>
  <si>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</si>
  <si>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</si>
  <si>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</si>
  <si>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</si>
  <si>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</si>
  <si>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</si>
  <si>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</si>
  <si>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</si>
  <si>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</si>
  <si>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</si>
  <si>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</si>
  <si>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</si>
  <si>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</si>
  <si>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</si>
  <si>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</si>
  <si>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</si>
  <si>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</si>
  <si>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</si>
  <si>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</si>
  <si>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</si>
  <si>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</si>
  <si>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</si>
  <si>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</si>
  <si>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</si>
  <si>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</si>
  <si>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</si>
  <si>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</si>
  <si>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</si>
  <si>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</si>
  <si>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</si>
  <si>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</si>
  <si>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</si>
  <si>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</si>
  <si>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</si>
  <si>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</si>
  <si>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</si>
  <si>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</si>
  <si>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</si>
  <si>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</si>
  <si>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</si>
  <si>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</si>
  <si>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</si>
  <si>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</si>
  <si>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</si>
  <si>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</si>
  <si>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</si>
  <si>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</si>
  <si>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</si>
  <si>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</si>
  <si>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</si>
  <si>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</si>
  <si>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</si>
  <si>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</si>
  <si>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</si>
  <si>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</si>
  <si>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</si>
  <si>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</si>
  <si>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</si>
  <si>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</si>
  <si>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</si>
  <si>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</si>
  <si>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</si>
  <si>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</si>
  <si>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</si>
  <si>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</si>
  <si>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</si>
  <si>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</si>
  <si>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</si>
  <si>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</si>
  <si>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</si>
  <si>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</si>
  <si>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</si>
  <si>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</si>
  <si>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</si>
  <si>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</si>
  <si>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</si>
  <si>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</si>
  <si>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</si>
  <si>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</si>
  <si>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</si>
  <si>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</si>
  <si>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</si>
  <si>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</si>
  <si>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</si>
  <si>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</si>
  <si>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</si>
  <si>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</si>
  <si>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</si>
  <si>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</si>
  <si>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</si>
  <si>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</si>
  <si>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</si>
  <si>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</si>
  <si>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</si>
  <si>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</si>
  <si>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</si>
  <si>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</si>
  <si>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</si>
  <si>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</si>
  <si>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</si>
  <si>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</si>
  <si>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</si>
  <si>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</si>
  <si>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</si>
  <si>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</si>
  <si>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</si>
  <si>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</si>
  <si>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</si>
  <si>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</si>
  <si>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</si>
  <si>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</si>
  <si>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</si>
  <si>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</si>
  <si>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</si>
  <si>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</si>
  <si>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</si>
  <si>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</si>
  <si>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</si>
  <si>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</si>
  <si>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</si>
  <si>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</si>
  <si>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</si>
  <si>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</si>
  <si>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</si>
  <si>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</si>
  <si>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</si>
  <si>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</si>
  <si>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</si>
  <si>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</si>
  <si>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</si>
  <si>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</si>
  <si>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</si>
  <si>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</si>
  <si>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</si>
  <si>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</si>
  <si>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</si>
  <si>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</si>
  <si>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</si>
  <si>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</si>
  <si>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</si>
  <si>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</si>
  <si>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</si>
  <si>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</si>
  <si>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</si>
  <si>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</si>
  <si>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</si>
  <si>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</si>
  <si>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</si>
  <si>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</si>
  <si>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</si>
  <si>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</si>
  <si>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</si>
  <si>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</si>
  <si>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</si>
  <si>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</si>
  <si>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</si>
  <si>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</si>
  <si>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</si>
  <si>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</si>
  <si>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</si>
  <si>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</si>
  <si>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</si>
  <si>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</si>
  <si>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</si>
  <si>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</si>
  <si>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</si>
  <si>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</si>
  <si>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</si>
  <si>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</si>
  <si>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</si>
  <si>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</si>
  <si>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</si>
  <si>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</si>
  <si>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</si>
  <si>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</si>
  <si>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</si>
  <si>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</si>
  <si>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</si>
  <si>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</si>
  <si>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</si>
  <si>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</si>
  <si>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</si>
  <si>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</si>
  <si>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</si>
  <si>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</si>
  <si>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</si>
  <si>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</si>
  <si>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</si>
  <si>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</si>
  <si>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</si>
  <si>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</si>
  <si>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</si>
  <si>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</si>
  <si>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</si>
  <si>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</si>
  <si>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</si>
  <si>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</si>
  <si>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</si>
  <si>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</si>
  <si>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</si>
  <si>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</si>
  <si>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</si>
  <si>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</si>
  <si>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</si>
  <si>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</si>
  <si>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</si>
  <si>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</si>
  <si>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</si>
  <si>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</si>
  <si>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</si>
  <si>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</si>
  <si>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</si>
  <si>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</si>
  <si>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</si>
  <si>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</si>
  <si>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</si>
  <si>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</si>
  <si>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</si>
  <si>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</si>
  <si>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</si>
  <si>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</si>
  <si>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</si>
  <si>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</si>
  <si>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</si>
  <si>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</si>
  <si>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</si>
  <si>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</si>
  <si>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</si>
  <si>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</si>
  <si>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</si>
  <si>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</si>
  <si>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</si>
  <si>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</si>
  <si>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</si>
  <si>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</si>
  <si>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</si>
  <si>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</si>
  <si>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</si>
  <si>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</si>
  <si>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</si>
  <si>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</si>
  <si>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</si>
  <si>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</si>
  <si>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</si>
  <si>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</si>
  <si>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</si>
  <si>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</si>
  <si>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</si>
  <si>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</si>
  <si>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</si>
  <si>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</si>
  <si>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</si>
  <si>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</si>
  <si>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</si>
  <si>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</si>
  <si>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</si>
  <si>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</si>
  <si>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</si>
  <si>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</si>
  <si>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</si>
  <si>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</si>
  <si>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</si>
  <si>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</si>
  <si>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</si>
  <si>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</si>
  <si>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</si>
  <si>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</si>
  <si>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</si>
  <si>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</si>
  <si>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</si>
  <si>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</si>
  <si>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</si>
  <si>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</si>
  <si>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</si>
  <si>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</si>
  <si>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</si>
  <si>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</si>
  <si>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</si>
  <si>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</si>
  <si>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</si>
  <si>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</si>
  <si>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</si>
  <si>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</si>
  <si>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</si>
  <si>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</si>
  <si>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</si>
  <si>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</si>
  <si>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</si>
  <si>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</si>
  <si>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</si>
  <si>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</si>
  <si>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</si>
  <si>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</si>
  <si>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</si>
  <si>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</si>
  <si>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</si>
  <si>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</si>
  <si>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</si>
  <si>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</si>
  <si>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</si>
  <si>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</si>
  <si>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</si>
  <si>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</si>
  <si>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</si>
  <si>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</si>
  <si>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</si>
  <si>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</si>
  <si>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</si>
  <si>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</si>
  <si>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</si>
  <si>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</si>
  <si>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</si>
  <si>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</si>
  <si>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</si>
  <si>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</si>
  <si>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</si>
  <si>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</si>
  <si>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</si>
  <si>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</si>
  <si>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</si>
  <si>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</si>
  <si>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</si>
  <si>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</si>
  <si>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</si>
  <si>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</si>
  <si>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</si>
  <si>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</si>
  <si>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</si>
  <si>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</si>
  <si>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</si>
  <si>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</si>
  <si>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</si>
  <si>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</si>
  <si>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</si>
  <si>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</si>
  <si>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</si>
  <si>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</si>
  <si>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</si>
  <si>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</si>
  <si>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</si>
  <si>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</si>
  <si>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</si>
  <si>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</si>
  <si>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</si>
  <si>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</si>
  <si>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</si>
  <si>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</si>
  <si>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</si>
  <si>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</si>
  <si>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</si>
  <si>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</si>
  <si>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</si>
  <si>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</si>
  <si>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</si>
  <si>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</si>
  <si>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</si>
  <si>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</si>
  <si>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</si>
  <si>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</si>
  <si>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</si>
  <si>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</si>
  <si>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</si>
  <si>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</si>
  <si>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</si>
  <si>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</si>
  <si>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</si>
  <si>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</si>
  <si>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</si>
  <si>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</si>
  <si>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</si>
  <si>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</si>
  <si>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</si>
  <si>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</si>
  <si>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</si>
  <si>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</si>
  <si>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</si>
  <si>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</si>
  <si>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</si>
  <si>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</si>
  <si>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</si>
  <si>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</si>
  <si>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</si>
  <si>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</si>
  <si>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</si>
  <si>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</si>
  <si>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</si>
  <si>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</si>
  <si>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</si>
  <si>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</si>
  <si>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</si>
  <si>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</si>
  <si>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</si>
  <si>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</si>
  <si>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</si>
  <si>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</si>
  <si>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</si>
  <si>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</si>
  <si>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</si>
  <si>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</si>
  <si>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</si>
  <si>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</si>
  <si>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</si>
  <si>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</si>
  <si>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</si>
  <si>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</si>
  <si>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</si>
  <si>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</si>
  <si>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</si>
  <si>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</si>
  <si>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</si>
  <si>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</si>
  <si>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</si>
  <si>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</si>
  <si>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</si>
  <si>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</si>
  <si>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</si>
  <si>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</si>
  <si>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</si>
  <si>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</si>
  <si>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</si>
  <si>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</si>
  <si>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</si>
  <si>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</si>
  <si>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</si>
  <si>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</si>
  <si>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</si>
  <si>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</si>
  <si>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</si>
  <si>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</si>
  <si>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</si>
  <si>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</si>
  <si>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</si>
  <si>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</si>
  <si>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</si>
  <si>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</si>
  <si>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</si>
  <si>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</si>
  <si>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</si>
  <si>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</si>
  <si>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</si>
  <si>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</si>
  <si>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</si>
  <si>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</si>
  <si>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</si>
  <si>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</si>
  <si>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</si>
  <si>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</si>
  <si>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</si>
  <si>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</si>
  <si>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</si>
  <si>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</si>
  <si>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</si>
  <si>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</si>
  <si>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</si>
  <si>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</si>
  <si>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</si>
  <si>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</si>
  <si>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</si>
  <si>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</si>
  <si>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</si>
  <si>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</si>
  <si>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</si>
  <si>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</si>
  <si>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</si>
  <si>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</si>
  <si>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</si>
  <si>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</si>
  <si>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</si>
  <si>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</si>
  <si>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</si>
  <si>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</si>
  <si>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</si>
  <si>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</si>
  <si>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</si>
  <si>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</si>
  <si>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</si>
  <si>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</si>
  <si>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</si>
  <si>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</si>
  <si>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</si>
  <si>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</si>
  <si>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</si>
  <si>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</si>
  <si>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</si>
  <si>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</si>
  <si>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</si>
  <si>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</si>
  <si>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</si>
  <si>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</si>
  <si>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</si>
  <si>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</si>
  <si>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</si>
  <si>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</si>
  <si>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</si>
  <si>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</si>
  <si>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</si>
  <si>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</si>
  <si>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</si>
  <si>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</si>
  <si>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</si>
  <si>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</si>
  <si>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</si>
  <si>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</si>
  <si>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</si>
  <si>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</si>
  <si>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</si>
  <si>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</si>
  <si>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</si>
  <si>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</si>
  <si>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</si>
  <si>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</si>
  <si>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</si>
  <si>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</si>
  <si>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</si>
  <si>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</si>
  <si>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</si>
  <si>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</si>
  <si>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</si>
  <si>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</si>
  <si>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</si>
  <si>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</si>
  <si>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</si>
  <si>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</si>
  <si>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</si>
  <si>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</si>
  <si>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</si>
  <si>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</si>
  <si>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</si>
  <si>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</si>
  <si>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</si>
  <si>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</si>
  <si>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</si>
  <si>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</si>
  <si>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</si>
  <si>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</si>
  <si>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</si>
  <si>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</si>
  <si>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</si>
  <si>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</si>
  <si>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</si>
  <si>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</si>
  <si>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</si>
  <si>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</si>
  <si>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</si>
  <si>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</si>
  <si>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</si>
  <si>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</si>
  <si>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</si>
  <si>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</si>
  <si>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</si>
  <si>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</si>
  <si>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</si>
  <si>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</si>
  <si>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</si>
  <si>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</si>
  <si>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</si>
  <si>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</si>
  <si>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</si>
  <si>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</si>
  <si>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</si>
  <si>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</si>
  <si>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</si>
  <si>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</si>
  <si>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</si>
  <si>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</si>
  <si>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</si>
  <si>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</si>
  <si>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</si>
  <si>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</si>
  <si>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</si>
  <si>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</si>
  <si>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</si>
  <si>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</si>
  <si>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</si>
  <si>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</si>
  <si>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</si>
  <si>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</si>
  <si>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</si>
  <si>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</si>
  <si>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</si>
  <si>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</si>
  <si>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</si>
  <si>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</si>
  <si>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</si>
  <si>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</si>
  <si>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</si>
  <si>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</si>
  <si>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</si>
  <si>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</si>
  <si>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</si>
  <si>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</si>
  <si>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</si>
  <si>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</si>
  <si>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</si>
  <si>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</si>
  <si>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</si>
  <si>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</si>
  <si>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</si>
  <si>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</si>
  <si>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</si>
  <si>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</si>
  <si>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</si>
  <si>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</si>
  <si>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</si>
  <si>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</si>
  <si>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</si>
  <si>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</si>
  <si>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</si>
  <si>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</si>
  <si>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</si>
  <si>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</si>
  <si>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</si>
  <si>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</si>
  <si>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</si>
  <si>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</si>
  <si>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</si>
  <si>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</si>
  <si>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</si>
  <si>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</si>
  <si>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</si>
  <si>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</si>
  <si>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</si>
  <si>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</si>
  <si>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</si>
  <si>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</si>
  <si>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</si>
  <si>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</si>
  <si>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</si>
  <si>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</si>
  <si>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</si>
  <si>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</si>
  <si>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</si>
  <si>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</si>
  <si>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</si>
  <si>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</si>
  <si>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</si>
  <si>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</si>
  <si>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</si>
  <si>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</si>
  <si>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</si>
  <si>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</si>
  <si>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</si>
  <si>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</si>
  <si>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</si>
  <si>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</si>
  <si>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</si>
  <si>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</si>
  <si>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</si>
  <si>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</si>
  <si>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</si>
  <si>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</si>
  <si>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</si>
  <si>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</si>
  <si>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</si>
  <si>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</si>
  <si>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</si>
  <si>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</si>
  <si>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</si>
  <si>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</si>
  <si>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</si>
  <si>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</si>
  <si>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</si>
  <si>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</si>
  <si>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</si>
  <si>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</si>
  <si>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</si>
  <si>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</si>
  <si>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</si>
  <si>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</si>
  <si>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</si>
  <si>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</si>
  <si>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</si>
  <si>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</si>
  <si>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</si>
  <si>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</si>
  <si>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</si>
  <si>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</si>
  <si>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</si>
  <si>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</si>
  <si>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</si>
  <si>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</si>
  <si>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</si>
  <si>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</si>
  <si>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</si>
  <si>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</si>
  <si>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</si>
  <si>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</si>
  <si>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</si>
  <si>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</si>
  <si>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</si>
  <si>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住宅用地</t>
  </si>
  <si>
    <t>挂牌</t>
  </si>
  <si>
    <t>北京建工地产有限责任公司</t>
  </si>
  <si>
    <t>综合用地(含住宅)</t>
  </si>
  <si>
    <t>中铁置业集团北京有限公司</t>
  </si>
  <si>
    <t>北京市顺义区牛栏山镇SY00-0017-6001等地块B1商业用地、R2二类居住用地、F1住宅混合公建用地</t>
  </si>
  <si>
    <t>2017-12-14</t>
  </si>
  <si>
    <t>北京亚通房地产开发有限责任公司(石榴)</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</si>
  <si>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</si>
  <si>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</si>
  <si>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</si>
  <si>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</si>
  <si>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</si>
  <si>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</si>
  <si>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</si>
  <si>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</si>
  <si>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</si>
  <si>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</si>
  <si>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</si>
  <si>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</si>
  <si>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</si>
  <si>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</si>
  <si>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</si>
  <si>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</si>
  <si>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</si>
  <si>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</si>
  <si>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</si>
  <si>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</si>
  <si>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</si>
  <si>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</si>
  <si>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</si>
  <si>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</si>
  <si>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</si>
  <si>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顺义新城第17街区17-12-09、SY-1713-L02R2二类居住用地、SY-1713-L01A61机构养老设施用地</t>
  </si>
  <si>
    <t>2015-02-03</t>
  </si>
  <si>
    <t>北京朗园置业有限公司</t>
  </si>
  <si>
    <t>顺义区后沙峪镇SY00-0022-6012R2二类居住用地限价商品住房项目</t>
  </si>
  <si>
    <t>2014-11-02</t>
  </si>
  <si>
    <t>北京紫乔房地产开发有限公司</t>
  </si>
  <si>
    <t>自持</t>
    <phoneticPr fontId="234"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</si>
  <si>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234" type="noConversion"/>
  </si>
  <si>
    <r>
      <rPr>
        <sz val="11"/>
        <rFont val="仿宋_GB2312"/>
        <family val="3"/>
        <charset val="134"/>
      </rPr>
      <t>项目位置</t>
    </r>
    <phoneticPr fontId="4" type="noConversion"/>
  </si>
  <si>
    <r>
      <rPr>
        <sz val="11"/>
        <rFont val="仿宋_GB2312"/>
        <family val="3"/>
        <charset val="134"/>
      </rPr>
      <t>系数</t>
    </r>
    <r>
      <rPr>
        <sz val="11"/>
        <rFont val="Arial"/>
        <family val="2"/>
      </rPr>
      <t>%</t>
    </r>
    <phoneticPr fontId="4" type="noConversion"/>
  </si>
  <si>
    <r>
      <rPr>
        <sz val="11"/>
        <rFont val="仿宋_GB2312"/>
        <family val="3"/>
        <charset val="134"/>
      </rPr>
      <t>估价对象名称</t>
    </r>
    <phoneticPr fontId="4" type="noConversion"/>
  </si>
  <si>
    <r>
      <rPr>
        <sz val="11"/>
        <rFont val="仿宋_GB2312"/>
        <family val="3"/>
        <charset val="134"/>
      </rPr>
      <t>项目位置</t>
    </r>
    <phoneticPr fontId="4" type="noConversion"/>
  </si>
  <si>
    <t>正常</t>
  </si>
  <si>
    <t>抵押</t>
  </si>
  <si>
    <t>抵押价格</t>
  </si>
  <si>
    <t>企业</t>
  </si>
  <si>
    <t>一致</t>
  </si>
  <si>
    <t>出让</t>
  </si>
  <si>
    <t>商业</t>
  </si>
  <si>
    <t>否</t>
    <phoneticPr fontId="27" type="noConversion"/>
  </si>
  <si>
    <t>是</t>
    <phoneticPr fontId="27" type="noConversion"/>
  </si>
  <si>
    <t>综合用地（含住宅）</t>
  </si>
  <si>
    <t>综合用地（含住宅）</t>
    <phoneticPr fontId="27" type="noConversion"/>
  </si>
  <si>
    <t>是否自持</t>
    <phoneticPr fontId="27" type="noConversion"/>
  </si>
  <si>
    <t>否</t>
    <phoneticPr fontId="27" type="noConversion"/>
  </si>
  <si>
    <t>快速</t>
    <phoneticPr fontId="27" type="noConversion"/>
  </si>
  <si>
    <t>主干道</t>
    <phoneticPr fontId="27" type="noConversion"/>
  </si>
  <si>
    <t>次干道</t>
    <phoneticPr fontId="27" type="noConversion"/>
  </si>
  <si>
    <t>支路</t>
    <phoneticPr fontId="27" type="noConversion"/>
  </si>
  <si>
    <t>规则</t>
    <phoneticPr fontId="27" type="noConversion"/>
  </si>
  <si>
    <t>较规则</t>
    <phoneticPr fontId="27" type="noConversion"/>
  </si>
  <si>
    <t>较不规则</t>
    <phoneticPr fontId="27" type="noConversion"/>
  </si>
  <si>
    <t>不规则</t>
    <phoneticPr fontId="27" type="noConversion"/>
  </si>
  <si>
    <t>七通</t>
    <phoneticPr fontId="27" type="noConversion"/>
  </si>
  <si>
    <t>六通</t>
  </si>
  <si>
    <t>六通</t>
    <phoneticPr fontId="27" type="noConversion"/>
  </si>
  <si>
    <t>五通</t>
    <phoneticPr fontId="27" type="noConversion"/>
  </si>
  <si>
    <t>四通</t>
    <phoneticPr fontId="27" type="noConversion"/>
  </si>
  <si>
    <t>三通</t>
    <phoneticPr fontId="27" type="noConversion"/>
  </si>
  <si>
    <t>临三通</t>
  </si>
  <si>
    <t>临三通</t>
    <phoneticPr fontId="27" type="noConversion"/>
  </si>
  <si>
    <t>良好</t>
    <phoneticPr fontId="27" type="noConversion"/>
  </si>
  <si>
    <t>一般</t>
    <phoneticPr fontId="27" type="noConversion"/>
  </si>
  <si>
    <t>规证一</t>
    <phoneticPr fontId="234" type="noConversion"/>
  </si>
  <si>
    <r>
      <t>1</t>
    </r>
    <r>
      <rPr>
        <sz val="11"/>
        <color theme="1"/>
        <rFont val="宋体"/>
        <family val="3"/>
        <charset val="134"/>
        <scheme val="minor"/>
      </rPr>
      <t>-1#</t>
    </r>
    <phoneticPr fontId="234" type="noConversion"/>
  </si>
  <si>
    <t>住宅楼</t>
    <phoneticPr fontId="234" type="noConversion"/>
  </si>
  <si>
    <t>地上</t>
  </si>
  <si>
    <t>地上</t>
    <phoneticPr fontId="234" type="noConversion"/>
  </si>
  <si>
    <t>地下</t>
  </si>
  <si>
    <t>地下</t>
    <phoneticPr fontId="234" type="noConversion"/>
  </si>
  <si>
    <t>地上楼层</t>
    <phoneticPr fontId="234" type="noConversion"/>
  </si>
  <si>
    <t>地下楼层</t>
    <phoneticPr fontId="234" type="noConversion"/>
  </si>
  <si>
    <t>栋数</t>
    <phoneticPr fontId="234" type="noConversion"/>
  </si>
  <si>
    <t>户数</t>
    <phoneticPr fontId="234" type="noConversion"/>
  </si>
  <si>
    <t>住宅</t>
    <phoneticPr fontId="234" type="noConversion"/>
  </si>
  <si>
    <t>其他</t>
    <phoneticPr fontId="234" type="noConversion"/>
  </si>
  <si>
    <t>设备</t>
    <phoneticPr fontId="234" type="noConversion"/>
  </si>
  <si>
    <t>库房</t>
  </si>
  <si>
    <t>库房</t>
    <phoneticPr fontId="234" type="noConversion"/>
  </si>
  <si>
    <t>装配式建筑</t>
    <phoneticPr fontId="234" type="noConversion"/>
  </si>
  <si>
    <r>
      <t>1</t>
    </r>
    <r>
      <rPr>
        <sz val="11"/>
        <color theme="1"/>
        <rFont val="宋体"/>
        <family val="3"/>
        <charset val="134"/>
        <scheme val="minor"/>
      </rPr>
      <t>-2#</t>
    </r>
    <phoneticPr fontId="234" type="noConversion"/>
  </si>
  <si>
    <t>住宅楼</t>
    <phoneticPr fontId="234" type="noConversion"/>
  </si>
  <si>
    <t>1-3#</t>
    <phoneticPr fontId="234" type="noConversion"/>
  </si>
  <si>
    <r>
      <t>1</t>
    </r>
    <r>
      <rPr>
        <sz val="11"/>
        <color theme="1"/>
        <rFont val="宋体"/>
        <family val="3"/>
        <charset val="134"/>
        <scheme val="minor"/>
      </rPr>
      <t>-4#</t>
    </r>
    <r>
      <rPr>
        <sz val="11"/>
        <color theme="1"/>
        <rFont val="宋体"/>
        <family val="2"/>
        <charset val="134"/>
        <scheme val="minor"/>
      </rPr>
      <t/>
    </r>
  </si>
  <si>
    <r>
      <t>1</t>
    </r>
    <r>
      <rPr>
        <sz val="11"/>
        <color theme="1"/>
        <rFont val="宋体"/>
        <family val="3"/>
        <charset val="134"/>
        <scheme val="minor"/>
      </rPr>
      <t>-5#</t>
    </r>
    <r>
      <rPr>
        <sz val="11"/>
        <color theme="1"/>
        <rFont val="宋体"/>
        <family val="2"/>
        <charset val="134"/>
        <scheme val="minor"/>
      </rPr>
      <t/>
    </r>
  </si>
  <si>
    <t>1-6#</t>
  </si>
  <si>
    <r>
      <t>1</t>
    </r>
    <r>
      <rPr>
        <sz val="11"/>
        <color theme="1"/>
        <rFont val="宋体"/>
        <family val="3"/>
        <charset val="134"/>
        <scheme val="minor"/>
      </rPr>
      <t>-7#</t>
    </r>
    <r>
      <rPr>
        <sz val="11"/>
        <color theme="1"/>
        <rFont val="宋体"/>
        <family val="2"/>
        <charset val="134"/>
        <scheme val="minor"/>
      </rPr>
      <t/>
    </r>
  </si>
  <si>
    <r>
      <t>1</t>
    </r>
    <r>
      <rPr>
        <sz val="11"/>
        <color theme="1"/>
        <rFont val="宋体"/>
        <family val="3"/>
        <charset val="134"/>
        <scheme val="minor"/>
      </rPr>
      <t>-8#</t>
    </r>
    <r>
      <rPr>
        <sz val="11"/>
        <color theme="1"/>
        <rFont val="宋体"/>
        <family val="2"/>
        <charset val="134"/>
        <scheme val="minor"/>
      </rPr>
      <t/>
    </r>
  </si>
  <si>
    <t>1-9#</t>
  </si>
  <si>
    <r>
      <t>1</t>
    </r>
    <r>
      <rPr>
        <sz val="11"/>
        <color theme="1"/>
        <rFont val="宋体"/>
        <family val="3"/>
        <charset val="134"/>
        <scheme val="minor"/>
      </rPr>
      <t>-10#</t>
    </r>
    <r>
      <rPr>
        <sz val="11"/>
        <color theme="1"/>
        <rFont val="宋体"/>
        <family val="2"/>
        <charset val="134"/>
        <scheme val="minor"/>
      </rPr>
      <t/>
    </r>
  </si>
  <si>
    <r>
      <t>1</t>
    </r>
    <r>
      <rPr>
        <sz val="11"/>
        <color theme="1"/>
        <rFont val="宋体"/>
        <family val="3"/>
        <charset val="134"/>
        <scheme val="minor"/>
      </rPr>
      <t>-11#</t>
    </r>
    <r>
      <rPr>
        <sz val="11"/>
        <color theme="1"/>
        <rFont val="宋体"/>
        <family val="2"/>
        <charset val="134"/>
        <scheme val="minor"/>
      </rPr>
      <t/>
    </r>
  </si>
  <si>
    <t>1-12#</t>
  </si>
  <si>
    <r>
      <t>1</t>
    </r>
    <r>
      <rPr>
        <sz val="11"/>
        <color theme="1"/>
        <rFont val="宋体"/>
        <family val="3"/>
        <charset val="134"/>
        <scheme val="minor"/>
      </rPr>
      <t>-13#</t>
    </r>
    <r>
      <rPr>
        <sz val="11"/>
        <color theme="1"/>
        <rFont val="宋体"/>
        <family val="2"/>
        <charset val="134"/>
        <scheme val="minor"/>
      </rPr>
      <t/>
    </r>
  </si>
  <si>
    <r>
      <t>1</t>
    </r>
    <r>
      <rPr>
        <sz val="11"/>
        <color theme="1"/>
        <rFont val="宋体"/>
        <family val="3"/>
        <charset val="134"/>
        <scheme val="minor"/>
      </rPr>
      <t>-14#</t>
    </r>
    <r>
      <rPr>
        <sz val="11"/>
        <color theme="1"/>
        <rFont val="宋体"/>
        <family val="2"/>
        <charset val="134"/>
        <scheme val="minor"/>
      </rPr>
      <t/>
    </r>
  </si>
  <si>
    <t>1-15#</t>
  </si>
  <si>
    <r>
      <t>1</t>
    </r>
    <r>
      <rPr>
        <sz val="11"/>
        <color theme="1"/>
        <rFont val="宋体"/>
        <family val="3"/>
        <charset val="134"/>
        <scheme val="minor"/>
      </rPr>
      <t>-16#</t>
    </r>
    <r>
      <rPr>
        <sz val="11"/>
        <color theme="1"/>
        <rFont val="宋体"/>
        <family val="2"/>
        <charset val="134"/>
        <scheme val="minor"/>
      </rPr>
      <t/>
    </r>
  </si>
  <si>
    <r>
      <t>1</t>
    </r>
    <r>
      <rPr>
        <sz val="11"/>
        <color theme="1"/>
        <rFont val="宋体"/>
        <family val="3"/>
        <charset val="134"/>
        <scheme val="minor"/>
      </rPr>
      <t>-17#</t>
    </r>
    <r>
      <rPr>
        <sz val="11"/>
        <color theme="1"/>
        <rFont val="宋体"/>
        <family val="2"/>
        <charset val="134"/>
        <scheme val="minor"/>
      </rPr>
      <t/>
    </r>
  </si>
  <si>
    <t>1-18#</t>
  </si>
  <si>
    <r>
      <t>1</t>
    </r>
    <r>
      <rPr>
        <sz val="11"/>
        <color theme="1"/>
        <rFont val="宋体"/>
        <family val="3"/>
        <charset val="134"/>
        <scheme val="minor"/>
      </rPr>
      <t>-19#</t>
    </r>
    <r>
      <rPr>
        <sz val="11"/>
        <color theme="1"/>
        <rFont val="宋体"/>
        <family val="2"/>
        <charset val="134"/>
        <scheme val="minor"/>
      </rPr>
      <t/>
    </r>
  </si>
  <si>
    <r>
      <t>1</t>
    </r>
    <r>
      <rPr>
        <sz val="11"/>
        <color theme="1"/>
        <rFont val="宋体"/>
        <family val="3"/>
        <charset val="134"/>
        <scheme val="minor"/>
      </rPr>
      <t>-20#</t>
    </r>
    <r>
      <rPr>
        <sz val="11"/>
        <color theme="1"/>
        <rFont val="宋体"/>
        <family val="2"/>
        <charset val="134"/>
        <scheme val="minor"/>
      </rPr>
      <t/>
    </r>
  </si>
  <si>
    <t>1-21#</t>
  </si>
  <si>
    <r>
      <t>1</t>
    </r>
    <r>
      <rPr>
        <sz val="11"/>
        <color theme="1"/>
        <rFont val="宋体"/>
        <family val="3"/>
        <charset val="134"/>
        <scheme val="minor"/>
      </rPr>
      <t>-22#</t>
    </r>
    <r>
      <rPr>
        <sz val="11"/>
        <color theme="1"/>
        <rFont val="宋体"/>
        <family val="2"/>
        <charset val="134"/>
        <scheme val="minor"/>
      </rPr>
      <t/>
    </r>
  </si>
  <si>
    <r>
      <t>1</t>
    </r>
    <r>
      <rPr>
        <sz val="11"/>
        <color theme="1"/>
        <rFont val="宋体"/>
        <family val="3"/>
        <charset val="134"/>
        <scheme val="minor"/>
      </rPr>
      <t>-23#</t>
    </r>
    <r>
      <rPr>
        <sz val="11"/>
        <color theme="1"/>
        <rFont val="宋体"/>
        <family val="2"/>
        <charset val="134"/>
        <scheme val="minor"/>
      </rPr>
      <t/>
    </r>
  </si>
  <si>
    <t>1-24#</t>
  </si>
  <si>
    <r>
      <t>1</t>
    </r>
    <r>
      <rPr>
        <sz val="11"/>
        <color theme="1"/>
        <rFont val="宋体"/>
        <family val="3"/>
        <charset val="134"/>
        <scheme val="minor"/>
      </rPr>
      <t>-25#</t>
    </r>
    <r>
      <rPr>
        <sz val="11"/>
        <color theme="1"/>
        <rFont val="宋体"/>
        <family val="2"/>
        <charset val="134"/>
        <scheme val="minor"/>
      </rPr>
      <t/>
    </r>
  </si>
  <si>
    <t>1-26#</t>
  </si>
  <si>
    <r>
      <t>1</t>
    </r>
    <r>
      <rPr>
        <sz val="11"/>
        <color theme="1"/>
        <rFont val="宋体"/>
        <family val="3"/>
        <charset val="134"/>
        <scheme val="minor"/>
      </rPr>
      <t>-27#</t>
    </r>
    <r>
      <rPr>
        <sz val="11"/>
        <color theme="1"/>
        <rFont val="宋体"/>
        <family val="2"/>
        <charset val="134"/>
        <scheme val="minor"/>
      </rPr>
      <t/>
    </r>
  </si>
  <si>
    <t>1-28#</t>
  </si>
  <si>
    <r>
      <t>1</t>
    </r>
    <r>
      <rPr>
        <sz val="11"/>
        <color theme="1"/>
        <rFont val="宋体"/>
        <family val="3"/>
        <charset val="134"/>
        <scheme val="minor"/>
      </rPr>
      <t>-29#</t>
    </r>
    <r>
      <rPr>
        <sz val="11"/>
        <color theme="1"/>
        <rFont val="宋体"/>
        <family val="2"/>
        <charset val="134"/>
        <scheme val="minor"/>
      </rPr>
      <t/>
    </r>
  </si>
  <si>
    <t>1-30#</t>
  </si>
  <si>
    <r>
      <t>1</t>
    </r>
    <r>
      <rPr>
        <sz val="11"/>
        <color theme="1"/>
        <rFont val="宋体"/>
        <family val="3"/>
        <charset val="134"/>
        <scheme val="minor"/>
      </rPr>
      <t>-31#</t>
    </r>
    <r>
      <rPr>
        <sz val="11"/>
        <color theme="1"/>
        <rFont val="宋体"/>
        <family val="2"/>
        <charset val="134"/>
        <scheme val="minor"/>
      </rPr>
      <t/>
    </r>
  </si>
  <si>
    <r>
      <t>1</t>
    </r>
    <r>
      <rPr>
        <sz val="11"/>
        <color theme="1"/>
        <rFont val="宋体"/>
        <family val="3"/>
        <charset val="134"/>
        <scheme val="minor"/>
      </rPr>
      <t>-32#</t>
    </r>
    <r>
      <rPr>
        <sz val="11"/>
        <color theme="1"/>
        <rFont val="宋体"/>
        <family val="2"/>
        <charset val="134"/>
        <scheme val="minor"/>
      </rPr>
      <t/>
    </r>
  </si>
  <si>
    <t>1-33#</t>
  </si>
  <si>
    <r>
      <t>1</t>
    </r>
    <r>
      <rPr>
        <sz val="11"/>
        <color theme="1"/>
        <rFont val="宋体"/>
        <family val="3"/>
        <charset val="134"/>
        <scheme val="minor"/>
      </rPr>
      <t>-34#</t>
    </r>
    <r>
      <rPr>
        <sz val="11"/>
        <color theme="1"/>
        <rFont val="宋体"/>
        <family val="2"/>
        <charset val="134"/>
        <scheme val="minor"/>
      </rPr>
      <t/>
    </r>
  </si>
  <si>
    <r>
      <t>1</t>
    </r>
    <r>
      <rPr>
        <sz val="11"/>
        <color theme="1"/>
        <rFont val="宋体"/>
        <family val="3"/>
        <charset val="134"/>
        <scheme val="minor"/>
      </rPr>
      <t>-35#</t>
    </r>
    <r>
      <rPr>
        <sz val="11"/>
        <color theme="1"/>
        <rFont val="宋体"/>
        <family val="2"/>
        <charset val="134"/>
        <scheme val="minor"/>
      </rPr>
      <t/>
    </r>
  </si>
  <si>
    <t>1-36#</t>
  </si>
  <si>
    <r>
      <t>1</t>
    </r>
    <r>
      <rPr>
        <sz val="11"/>
        <color theme="1"/>
        <rFont val="宋体"/>
        <family val="3"/>
        <charset val="134"/>
        <scheme val="minor"/>
      </rPr>
      <t>-37#</t>
    </r>
    <r>
      <rPr>
        <sz val="11"/>
        <color theme="1"/>
        <rFont val="宋体"/>
        <family val="2"/>
        <charset val="134"/>
        <scheme val="minor"/>
      </rPr>
      <t/>
    </r>
  </si>
  <si>
    <r>
      <t>1</t>
    </r>
    <r>
      <rPr>
        <sz val="11"/>
        <color theme="1"/>
        <rFont val="宋体"/>
        <family val="3"/>
        <charset val="134"/>
        <scheme val="minor"/>
      </rPr>
      <t>-38#</t>
    </r>
    <r>
      <rPr>
        <sz val="11"/>
        <color theme="1"/>
        <rFont val="宋体"/>
        <family val="2"/>
        <charset val="134"/>
        <scheme val="minor"/>
      </rPr>
      <t/>
    </r>
  </si>
  <si>
    <t>1-39#</t>
  </si>
  <si>
    <r>
      <t>1</t>
    </r>
    <r>
      <rPr>
        <sz val="11"/>
        <color theme="1"/>
        <rFont val="宋体"/>
        <family val="3"/>
        <charset val="134"/>
        <scheme val="minor"/>
      </rPr>
      <t>-40#</t>
    </r>
    <r>
      <rPr>
        <sz val="11"/>
        <color theme="1"/>
        <rFont val="宋体"/>
        <family val="2"/>
        <charset val="134"/>
        <scheme val="minor"/>
      </rPr>
      <t/>
    </r>
  </si>
  <si>
    <r>
      <t>1</t>
    </r>
    <r>
      <rPr>
        <sz val="11"/>
        <color theme="1"/>
        <rFont val="宋体"/>
        <family val="3"/>
        <charset val="134"/>
        <scheme val="minor"/>
      </rPr>
      <t>-41#</t>
    </r>
    <r>
      <rPr>
        <sz val="11"/>
        <color theme="1"/>
        <rFont val="宋体"/>
        <family val="2"/>
        <charset val="134"/>
        <scheme val="minor"/>
      </rPr>
      <t/>
    </r>
  </si>
  <si>
    <r>
      <t>1</t>
    </r>
    <r>
      <rPr>
        <sz val="11"/>
        <color theme="1"/>
        <rFont val="宋体"/>
        <family val="3"/>
        <charset val="134"/>
        <scheme val="minor"/>
      </rPr>
      <t>-42#</t>
    </r>
    <r>
      <rPr>
        <sz val="11"/>
        <color theme="1"/>
        <rFont val="宋体"/>
        <family val="2"/>
        <charset val="134"/>
        <scheme val="minor"/>
      </rPr>
      <t/>
    </r>
  </si>
  <si>
    <r>
      <t>1</t>
    </r>
    <r>
      <rPr>
        <sz val="11"/>
        <color theme="1"/>
        <rFont val="宋体"/>
        <family val="3"/>
        <charset val="134"/>
        <scheme val="minor"/>
      </rPr>
      <t>-43#</t>
    </r>
    <r>
      <rPr>
        <sz val="11"/>
        <color theme="1"/>
        <rFont val="宋体"/>
        <family val="2"/>
        <charset val="134"/>
        <scheme val="minor"/>
      </rPr>
      <t/>
    </r>
  </si>
  <si>
    <r>
      <t>1</t>
    </r>
    <r>
      <rPr>
        <sz val="11"/>
        <color theme="1"/>
        <rFont val="宋体"/>
        <family val="3"/>
        <charset val="134"/>
        <scheme val="minor"/>
      </rPr>
      <t>-44#</t>
    </r>
    <r>
      <rPr>
        <sz val="11"/>
        <color theme="1"/>
        <rFont val="宋体"/>
        <family val="2"/>
        <charset val="134"/>
        <scheme val="minor"/>
      </rPr>
      <t/>
    </r>
  </si>
  <si>
    <r>
      <t>1</t>
    </r>
    <r>
      <rPr>
        <sz val="11"/>
        <color theme="1"/>
        <rFont val="宋体"/>
        <family val="3"/>
        <charset val="134"/>
        <scheme val="minor"/>
      </rPr>
      <t>-45#</t>
    </r>
    <r>
      <rPr>
        <sz val="11"/>
        <color theme="1"/>
        <rFont val="宋体"/>
        <family val="2"/>
        <charset val="134"/>
        <scheme val="minor"/>
      </rPr>
      <t/>
    </r>
  </si>
  <si>
    <r>
      <t>1</t>
    </r>
    <r>
      <rPr>
        <sz val="11"/>
        <color theme="1"/>
        <rFont val="宋体"/>
        <family val="3"/>
        <charset val="134"/>
        <scheme val="minor"/>
      </rPr>
      <t>-46#</t>
    </r>
    <r>
      <rPr>
        <sz val="11"/>
        <color theme="1"/>
        <rFont val="宋体"/>
        <family val="2"/>
        <charset val="134"/>
        <scheme val="minor"/>
      </rPr>
      <t/>
    </r>
  </si>
  <si>
    <r>
      <t>1</t>
    </r>
    <r>
      <rPr>
        <sz val="11"/>
        <color theme="1"/>
        <rFont val="宋体"/>
        <family val="3"/>
        <charset val="134"/>
        <scheme val="minor"/>
      </rPr>
      <t>-47#</t>
    </r>
    <r>
      <rPr>
        <sz val="11"/>
        <color theme="1"/>
        <rFont val="宋体"/>
        <family val="2"/>
        <charset val="134"/>
        <scheme val="minor"/>
      </rPr>
      <t/>
    </r>
  </si>
  <si>
    <r>
      <t>1</t>
    </r>
    <r>
      <rPr>
        <sz val="11"/>
        <color theme="1"/>
        <rFont val="宋体"/>
        <family val="3"/>
        <charset val="134"/>
        <scheme val="minor"/>
      </rPr>
      <t>-48#</t>
    </r>
    <r>
      <rPr>
        <sz val="11"/>
        <color theme="1"/>
        <rFont val="宋体"/>
        <family val="2"/>
        <charset val="134"/>
        <scheme val="minor"/>
      </rPr>
      <t/>
    </r>
  </si>
  <si>
    <r>
      <t>1</t>
    </r>
    <r>
      <rPr>
        <sz val="11"/>
        <color theme="1"/>
        <rFont val="宋体"/>
        <family val="3"/>
        <charset val="134"/>
        <scheme val="minor"/>
      </rPr>
      <t>-49#</t>
    </r>
    <r>
      <rPr>
        <sz val="11"/>
        <color theme="1"/>
        <rFont val="宋体"/>
        <family val="2"/>
        <charset val="134"/>
        <scheme val="minor"/>
      </rPr>
      <t/>
    </r>
  </si>
  <si>
    <r>
      <t>1</t>
    </r>
    <r>
      <rPr>
        <sz val="11"/>
        <color theme="1"/>
        <rFont val="宋体"/>
        <family val="3"/>
        <charset val="134"/>
        <scheme val="minor"/>
      </rPr>
      <t>-50#</t>
    </r>
    <r>
      <rPr>
        <sz val="11"/>
        <color theme="1"/>
        <rFont val="宋体"/>
        <family val="2"/>
        <charset val="134"/>
        <scheme val="minor"/>
      </rPr>
      <t/>
    </r>
  </si>
  <si>
    <r>
      <t>1</t>
    </r>
    <r>
      <rPr>
        <sz val="11"/>
        <color theme="1"/>
        <rFont val="宋体"/>
        <family val="3"/>
        <charset val="134"/>
        <scheme val="minor"/>
      </rPr>
      <t>-51#</t>
    </r>
    <r>
      <rPr>
        <sz val="11"/>
        <color theme="1"/>
        <rFont val="宋体"/>
        <family val="2"/>
        <charset val="134"/>
        <scheme val="minor"/>
      </rPr>
      <t/>
    </r>
  </si>
  <si>
    <r>
      <t>1</t>
    </r>
    <r>
      <rPr>
        <sz val="11"/>
        <color theme="1"/>
        <rFont val="宋体"/>
        <family val="3"/>
        <charset val="134"/>
        <scheme val="minor"/>
      </rPr>
      <t>-52#</t>
    </r>
    <r>
      <rPr>
        <sz val="11"/>
        <color theme="1"/>
        <rFont val="宋体"/>
        <family val="2"/>
        <charset val="134"/>
        <scheme val="minor"/>
      </rPr>
      <t/>
    </r>
  </si>
  <si>
    <r>
      <t>1</t>
    </r>
    <r>
      <rPr>
        <sz val="11"/>
        <color theme="1"/>
        <rFont val="宋体"/>
        <family val="3"/>
        <charset val="134"/>
        <scheme val="minor"/>
      </rPr>
      <t>-53#</t>
    </r>
    <r>
      <rPr>
        <sz val="11"/>
        <color theme="1"/>
        <rFont val="宋体"/>
        <family val="2"/>
        <charset val="134"/>
        <scheme val="minor"/>
      </rPr>
      <t/>
    </r>
  </si>
  <si>
    <r>
      <t>1</t>
    </r>
    <r>
      <rPr>
        <sz val="11"/>
        <color theme="1"/>
        <rFont val="宋体"/>
        <family val="3"/>
        <charset val="134"/>
        <scheme val="minor"/>
      </rPr>
      <t>-54#</t>
    </r>
    <r>
      <rPr>
        <sz val="11"/>
        <color theme="1"/>
        <rFont val="宋体"/>
        <family val="2"/>
        <charset val="134"/>
        <scheme val="minor"/>
      </rPr>
      <t/>
    </r>
  </si>
  <si>
    <r>
      <t>1</t>
    </r>
    <r>
      <rPr>
        <sz val="11"/>
        <color theme="1"/>
        <rFont val="宋体"/>
        <family val="3"/>
        <charset val="134"/>
        <scheme val="minor"/>
      </rPr>
      <t>-55#</t>
    </r>
    <r>
      <rPr>
        <sz val="11"/>
        <color theme="1"/>
        <rFont val="宋体"/>
        <family val="2"/>
        <charset val="134"/>
        <scheme val="minor"/>
      </rPr>
      <t/>
    </r>
  </si>
  <si>
    <r>
      <t>1</t>
    </r>
    <r>
      <rPr>
        <sz val="11"/>
        <color theme="1"/>
        <rFont val="宋体"/>
        <family val="3"/>
        <charset val="134"/>
        <scheme val="minor"/>
      </rPr>
      <t>-56#</t>
    </r>
    <r>
      <rPr>
        <sz val="11"/>
        <color theme="1"/>
        <rFont val="宋体"/>
        <family val="2"/>
        <charset val="134"/>
        <scheme val="minor"/>
      </rPr>
      <t/>
    </r>
  </si>
  <si>
    <r>
      <t>1</t>
    </r>
    <r>
      <rPr>
        <sz val="11"/>
        <color theme="1"/>
        <rFont val="宋体"/>
        <family val="3"/>
        <charset val="134"/>
        <scheme val="minor"/>
      </rPr>
      <t>-57#</t>
    </r>
    <r>
      <rPr>
        <sz val="11"/>
        <color theme="1"/>
        <rFont val="宋体"/>
        <family val="2"/>
        <charset val="134"/>
        <scheme val="minor"/>
      </rPr>
      <t/>
    </r>
  </si>
  <si>
    <r>
      <t>1</t>
    </r>
    <r>
      <rPr>
        <sz val="11"/>
        <color theme="1"/>
        <rFont val="宋体"/>
        <family val="3"/>
        <charset val="134"/>
        <scheme val="minor"/>
      </rPr>
      <t>-58#</t>
    </r>
    <r>
      <rPr>
        <sz val="11"/>
        <color theme="1"/>
        <rFont val="宋体"/>
        <family val="2"/>
        <charset val="134"/>
        <scheme val="minor"/>
      </rPr>
      <t/>
    </r>
  </si>
  <si>
    <r>
      <t>1</t>
    </r>
    <r>
      <rPr>
        <sz val="11"/>
        <color theme="1"/>
        <rFont val="宋体"/>
        <family val="3"/>
        <charset val="134"/>
        <scheme val="minor"/>
      </rPr>
      <t>-59#</t>
    </r>
    <r>
      <rPr>
        <sz val="11"/>
        <color theme="1"/>
        <rFont val="宋体"/>
        <family val="2"/>
        <charset val="134"/>
        <scheme val="minor"/>
      </rPr>
      <t/>
    </r>
  </si>
  <si>
    <r>
      <t>1</t>
    </r>
    <r>
      <rPr>
        <sz val="11"/>
        <color theme="1"/>
        <rFont val="宋体"/>
        <family val="3"/>
        <charset val="134"/>
        <scheme val="minor"/>
      </rPr>
      <t>-60#</t>
    </r>
    <r>
      <rPr>
        <sz val="11"/>
        <color theme="1"/>
        <rFont val="宋体"/>
        <family val="2"/>
        <charset val="134"/>
        <scheme val="minor"/>
      </rPr>
      <t/>
    </r>
  </si>
  <si>
    <r>
      <t>1</t>
    </r>
    <r>
      <rPr>
        <sz val="11"/>
        <color theme="1"/>
        <rFont val="宋体"/>
        <family val="3"/>
        <charset val="134"/>
        <scheme val="minor"/>
      </rPr>
      <t>-61#</t>
    </r>
    <r>
      <rPr>
        <sz val="11"/>
        <color theme="1"/>
        <rFont val="宋体"/>
        <family val="2"/>
        <charset val="134"/>
        <scheme val="minor"/>
      </rPr>
      <t/>
    </r>
  </si>
  <si>
    <r>
      <t>1</t>
    </r>
    <r>
      <rPr>
        <sz val="11"/>
        <color theme="1"/>
        <rFont val="宋体"/>
        <family val="3"/>
        <charset val="134"/>
        <scheme val="minor"/>
      </rPr>
      <t>-62#</t>
    </r>
    <r>
      <rPr>
        <sz val="11"/>
        <color theme="1"/>
        <rFont val="宋体"/>
        <family val="2"/>
        <charset val="134"/>
        <scheme val="minor"/>
      </rPr>
      <t/>
    </r>
  </si>
  <si>
    <r>
      <t>1</t>
    </r>
    <r>
      <rPr>
        <sz val="11"/>
        <color theme="1"/>
        <rFont val="宋体"/>
        <family val="3"/>
        <charset val="134"/>
        <scheme val="minor"/>
      </rPr>
      <t>-63#</t>
    </r>
    <r>
      <rPr>
        <sz val="11"/>
        <color theme="1"/>
        <rFont val="宋体"/>
        <family val="2"/>
        <charset val="134"/>
        <scheme val="minor"/>
      </rPr>
      <t/>
    </r>
  </si>
  <si>
    <r>
      <t>1</t>
    </r>
    <r>
      <rPr>
        <sz val="11"/>
        <color theme="1"/>
        <rFont val="宋体"/>
        <family val="3"/>
        <charset val="134"/>
        <scheme val="minor"/>
      </rPr>
      <t>-64#</t>
    </r>
    <r>
      <rPr>
        <sz val="11"/>
        <color theme="1"/>
        <rFont val="宋体"/>
        <family val="2"/>
        <charset val="134"/>
        <scheme val="minor"/>
      </rPr>
      <t/>
    </r>
  </si>
  <si>
    <r>
      <t>1</t>
    </r>
    <r>
      <rPr>
        <sz val="11"/>
        <color theme="1"/>
        <rFont val="宋体"/>
        <family val="3"/>
        <charset val="134"/>
        <scheme val="minor"/>
      </rPr>
      <t>-65#</t>
    </r>
    <r>
      <rPr>
        <sz val="11"/>
        <color theme="1"/>
        <rFont val="宋体"/>
        <family val="2"/>
        <charset val="134"/>
        <scheme val="minor"/>
      </rPr>
      <t/>
    </r>
  </si>
  <si>
    <r>
      <t>1</t>
    </r>
    <r>
      <rPr>
        <sz val="11"/>
        <color theme="1"/>
        <rFont val="宋体"/>
        <family val="3"/>
        <charset val="134"/>
        <scheme val="minor"/>
      </rPr>
      <t>-66#</t>
    </r>
    <r>
      <rPr>
        <sz val="11"/>
        <color theme="1"/>
        <rFont val="宋体"/>
        <family val="2"/>
        <charset val="134"/>
        <scheme val="minor"/>
      </rPr>
      <t/>
    </r>
  </si>
  <si>
    <r>
      <t>1</t>
    </r>
    <r>
      <rPr>
        <sz val="11"/>
        <color theme="1"/>
        <rFont val="宋体"/>
        <family val="3"/>
        <charset val="134"/>
        <scheme val="minor"/>
      </rPr>
      <t>-67#</t>
    </r>
    <r>
      <rPr>
        <sz val="11"/>
        <color theme="1"/>
        <rFont val="宋体"/>
        <family val="2"/>
        <charset val="134"/>
        <scheme val="minor"/>
      </rPr>
      <t/>
    </r>
  </si>
  <si>
    <r>
      <t>1</t>
    </r>
    <r>
      <rPr>
        <sz val="11"/>
        <color theme="1"/>
        <rFont val="宋体"/>
        <family val="3"/>
        <charset val="134"/>
        <scheme val="minor"/>
      </rPr>
      <t>-68#</t>
    </r>
    <r>
      <rPr>
        <sz val="11"/>
        <color theme="1"/>
        <rFont val="宋体"/>
        <family val="2"/>
        <charset val="134"/>
        <scheme val="minor"/>
      </rPr>
      <t/>
    </r>
  </si>
  <si>
    <r>
      <t>1</t>
    </r>
    <r>
      <rPr>
        <sz val="11"/>
        <color theme="1"/>
        <rFont val="宋体"/>
        <family val="3"/>
        <charset val="134"/>
        <scheme val="minor"/>
      </rPr>
      <t>-69#</t>
    </r>
    <r>
      <rPr>
        <sz val="11"/>
        <color theme="1"/>
        <rFont val="宋体"/>
        <family val="2"/>
        <charset val="134"/>
        <scheme val="minor"/>
      </rPr>
      <t/>
    </r>
  </si>
  <si>
    <r>
      <t>1</t>
    </r>
    <r>
      <rPr>
        <sz val="11"/>
        <color theme="1"/>
        <rFont val="宋体"/>
        <family val="3"/>
        <charset val="134"/>
        <scheme val="minor"/>
      </rPr>
      <t>-70#</t>
    </r>
    <r>
      <rPr>
        <sz val="11"/>
        <color theme="1"/>
        <rFont val="宋体"/>
        <family val="2"/>
        <charset val="134"/>
        <scheme val="minor"/>
      </rPr>
      <t/>
    </r>
  </si>
  <si>
    <r>
      <t>1</t>
    </r>
    <r>
      <rPr>
        <sz val="11"/>
        <color theme="1"/>
        <rFont val="宋体"/>
        <family val="3"/>
        <charset val="134"/>
        <scheme val="minor"/>
      </rPr>
      <t>-71#</t>
    </r>
    <r>
      <rPr>
        <sz val="11"/>
        <color theme="1"/>
        <rFont val="宋体"/>
        <family val="2"/>
        <charset val="134"/>
        <scheme val="minor"/>
      </rPr>
      <t/>
    </r>
  </si>
  <si>
    <r>
      <t>1</t>
    </r>
    <r>
      <rPr>
        <sz val="11"/>
        <color theme="1"/>
        <rFont val="宋体"/>
        <family val="3"/>
        <charset val="134"/>
        <scheme val="minor"/>
      </rPr>
      <t>-72#</t>
    </r>
    <r>
      <rPr>
        <sz val="11"/>
        <color theme="1"/>
        <rFont val="宋体"/>
        <family val="2"/>
        <charset val="134"/>
        <scheme val="minor"/>
      </rPr>
      <t/>
    </r>
  </si>
  <si>
    <r>
      <t>1</t>
    </r>
    <r>
      <rPr>
        <sz val="11"/>
        <color theme="1"/>
        <rFont val="宋体"/>
        <family val="3"/>
        <charset val="134"/>
        <scheme val="minor"/>
      </rPr>
      <t>-73#</t>
    </r>
    <r>
      <rPr>
        <sz val="11"/>
        <color theme="1"/>
        <rFont val="宋体"/>
        <family val="2"/>
        <charset val="134"/>
        <scheme val="minor"/>
      </rPr>
      <t/>
    </r>
  </si>
  <si>
    <r>
      <t>1</t>
    </r>
    <r>
      <rPr>
        <sz val="11"/>
        <color theme="1"/>
        <rFont val="宋体"/>
        <family val="3"/>
        <charset val="134"/>
        <scheme val="minor"/>
      </rPr>
      <t>-74#</t>
    </r>
    <r>
      <rPr>
        <sz val="11"/>
        <color theme="1"/>
        <rFont val="宋体"/>
        <family val="2"/>
        <charset val="134"/>
        <scheme val="minor"/>
      </rPr>
      <t/>
    </r>
  </si>
  <si>
    <r>
      <t>1</t>
    </r>
    <r>
      <rPr>
        <sz val="11"/>
        <color theme="1"/>
        <rFont val="宋体"/>
        <family val="3"/>
        <charset val="134"/>
        <scheme val="minor"/>
      </rPr>
      <t>-75#</t>
    </r>
    <r>
      <rPr>
        <sz val="11"/>
        <color theme="1"/>
        <rFont val="宋体"/>
        <family val="2"/>
        <charset val="134"/>
        <scheme val="minor"/>
      </rPr>
      <t/>
    </r>
  </si>
  <si>
    <r>
      <t>1</t>
    </r>
    <r>
      <rPr>
        <sz val="11"/>
        <color theme="1"/>
        <rFont val="宋体"/>
        <family val="3"/>
        <charset val="134"/>
        <scheme val="minor"/>
      </rPr>
      <t>-76#</t>
    </r>
    <r>
      <rPr>
        <sz val="11"/>
        <color theme="1"/>
        <rFont val="宋体"/>
        <family val="2"/>
        <charset val="134"/>
        <scheme val="minor"/>
      </rPr>
      <t/>
    </r>
  </si>
  <si>
    <r>
      <t>1</t>
    </r>
    <r>
      <rPr>
        <sz val="11"/>
        <color theme="1"/>
        <rFont val="宋体"/>
        <family val="3"/>
        <charset val="134"/>
        <scheme val="minor"/>
      </rPr>
      <t>-77#</t>
    </r>
    <r>
      <rPr>
        <sz val="11"/>
        <color theme="1"/>
        <rFont val="宋体"/>
        <family val="2"/>
        <charset val="134"/>
        <scheme val="minor"/>
      </rPr>
      <t/>
    </r>
  </si>
  <si>
    <r>
      <t>1</t>
    </r>
    <r>
      <rPr>
        <sz val="11"/>
        <color theme="1"/>
        <rFont val="宋体"/>
        <family val="3"/>
        <charset val="134"/>
        <scheme val="minor"/>
      </rPr>
      <t>-78#</t>
    </r>
    <r>
      <rPr>
        <sz val="11"/>
        <color theme="1"/>
        <rFont val="宋体"/>
        <family val="2"/>
        <charset val="134"/>
        <scheme val="minor"/>
      </rPr>
      <t/>
    </r>
  </si>
  <si>
    <r>
      <t>1</t>
    </r>
    <r>
      <rPr>
        <sz val="11"/>
        <color theme="1"/>
        <rFont val="宋体"/>
        <family val="3"/>
        <charset val="134"/>
        <scheme val="minor"/>
      </rPr>
      <t>-79#</t>
    </r>
    <r>
      <rPr>
        <sz val="11"/>
        <color theme="1"/>
        <rFont val="宋体"/>
        <family val="2"/>
        <charset val="134"/>
        <scheme val="minor"/>
      </rPr>
      <t/>
    </r>
  </si>
  <si>
    <r>
      <t>1</t>
    </r>
    <r>
      <rPr>
        <sz val="11"/>
        <color theme="1"/>
        <rFont val="宋体"/>
        <family val="3"/>
        <charset val="134"/>
        <scheme val="minor"/>
      </rPr>
      <t>-80#</t>
    </r>
    <r>
      <rPr>
        <sz val="11"/>
        <color theme="1"/>
        <rFont val="宋体"/>
        <family val="2"/>
        <charset val="134"/>
        <scheme val="minor"/>
      </rPr>
      <t/>
    </r>
  </si>
  <si>
    <r>
      <t>1</t>
    </r>
    <r>
      <rPr>
        <sz val="11"/>
        <color theme="1"/>
        <rFont val="宋体"/>
        <family val="3"/>
        <charset val="134"/>
        <scheme val="minor"/>
      </rPr>
      <t>-81#</t>
    </r>
    <r>
      <rPr>
        <sz val="11"/>
        <color theme="1"/>
        <rFont val="宋体"/>
        <family val="2"/>
        <charset val="134"/>
        <scheme val="minor"/>
      </rPr>
      <t/>
    </r>
  </si>
  <si>
    <r>
      <t>1</t>
    </r>
    <r>
      <rPr>
        <sz val="11"/>
        <color theme="1"/>
        <rFont val="宋体"/>
        <family val="3"/>
        <charset val="134"/>
        <scheme val="minor"/>
      </rPr>
      <t>-82#</t>
    </r>
    <r>
      <rPr>
        <sz val="11"/>
        <color theme="1"/>
        <rFont val="宋体"/>
        <family val="2"/>
        <charset val="134"/>
        <scheme val="minor"/>
      </rPr>
      <t/>
    </r>
  </si>
  <si>
    <r>
      <t>1</t>
    </r>
    <r>
      <rPr>
        <sz val="11"/>
        <color theme="1"/>
        <rFont val="宋体"/>
        <family val="3"/>
        <charset val="134"/>
        <scheme val="minor"/>
      </rPr>
      <t>-85#</t>
    </r>
    <r>
      <rPr>
        <sz val="11"/>
        <color theme="1"/>
        <rFont val="宋体"/>
        <family val="2"/>
        <charset val="134"/>
        <scheme val="minor"/>
      </rPr>
      <t/>
    </r>
  </si>
  <si>
    <r>
      <t>1</t>
    </r>
    <r>
      <rPr>
        <sz val="11"/>
        <color theme="1"/>
        <rFont val="宋体"/>
        <family val="3"/>
        <charset val="134"/>
        <scheme val="minor"/>
      </rPr>
      <t>-86#</t>
    </r>
    <r>
      <rPr>
        <sz val="11"/>
        <color theme="1"/>
        <rFont val="宋体"/>
        <family val="2"/>
        <charset val="134"/>
        <scheme val="minor"/>
      </rPr>
      <t/>
    </r>
  </si>
  <si>
    <r>
      <t>1</t>
    </r>
    <r>
      <rPr>
        <sz val="11"/>
        <color theme="1"/>
        <rFont val="宋体"/>
        <family val="3"/>
        <charset val="134"/>
        <scheme val="minor"/>
      </rPr>
      <t>-87#</t>
    </r>
    <r>
      <rPr>
        <sz val="11"/>
        <color theme="1"/>
        <rFont val="宋体"/>
        <family val="2"/>
        <charset val="134"/>
        <scheme val="minor"/>
      </rPr>
      <t/>
    </r>
  </si>
  <si>
    <r>
      <t>1</t>
    </r>
    <r>
      <rPr>
        <sz val="11"/>
        <color theme="1"/>
        <rFont val="宋体"/>
        <family val="3"/>
        <charset val="134"/>
        <scheme val="minor"/>
      </rPr>
      <t>-88#</t>
    </r>
    <r>
      <rPr>
        <sz val="11"/>
        <color theme="1"/>
        <rFont val="宋体"/>
        <family val="2"/>
        <charset val="134"/>
        <scheme val="minor"/>
      </rPr>
      <t/>
    </r>
  </si>
  <si>
    <r>
      <t>1</t>
    </r>
    <r>
      <rPr>
        <sz val="11"/>
        <color theme="1"/>
        <rFont val="宋体"/>
        <family val="3"/>
        <charset val="134"/>
        <scheme val="minor"/>
      </rPr>
      <t>-89#</t>
    </r>
    <r>
      <rPr>
        <sz val="11"/>
        <color theme="1"/>
        <rFont val="宋体"/>
        <family val="2"/>
        <charset val="134"/>
        <scheme val="minor"/>
      </rPr>
      <t/>
    </r>
  </si>
  <si>
    <r>
      <t>1</t>
    </r>
    <r>
      <rPr>
        <sz val="11"/>
        <color theme="1"/>
        <rFont val="宋体"/>
        <family val="3"/>
        <charset val="134"/>
        <scheme val="minor"/>
      </rPr>
      <t>-90#</t>
    </r>
    <r>
      <rPr>
        <sz val="11"/>
        <color theme="1"/>
        <rFont val="宋体"/>
        <family val="2"/>
        <charset val="134"/>
        <scheme val="minor"/>
      </rPr>
      <t/>
    </r>
  </si>
  <si>
    <t>合计</t>
    <phoneticPr fontId="234" type="noConversion"/>
  </si>
  <si>
    <t>P-2#</t>
    <phoneticPr fontId="234" type="noConversion"/>
  </si>
  <si>
    <t>开闭站</t>
    <phoneticPr fontId="234" type="noConversion"/>
  </si>
  <si>
    <t>地下车库</t>
    <phoneticPr fontId="234" type="noConversion"/>
  </si>
  <si>
    <t>住宅</t>
    <phoneticPr fontId="234" type="noConversion"/>
  </si>
  <si>
    <t>设备</t>
    <phoneticPr fontId="234" type="noConversion"/>
  </si>
  <si>
    <t>车库</t>
  </si>
  <si>
    <t>车库</t>
    <phoneticPr fontId="234" type="noConversion"/>
  </si>
  <si>
    <t>人防</t>
    <phoneticPr fontId="234" type="noConversion"/>
  </si>
  <si>
    <r>
      <t>1</t>
    </r>
    <r>
      <rPr>
        <sz val="11"/>
        <color theme="1"/>
        <rFont val="宋体"/>
        <family val="3"/>
        <charset val="134"/>
        <scheme val="minor"/>
      </rPr>
      <t>-83#</t>
    </r>
    <r>
      <rPr>
        <sz val="11"/>
        <color theme="1"/>
        <rFont val="宋体"/>
        <family val="2"/>
        <charset val="134"/>
        <scheme val="minor"/>
      </rPr>
      <t/>
    </r>
    <phoneticPr fontId="234" type="noConversion"/>
  </si>
  <si>
    <t>规证二</t>
    <phoneticPr fontId="234" type="noConversion"/>
  </si>
  <si>
    <r>
      <t>1</t>
    </r>
    <r>
      <rPr>
        <sz val="11"/>
        <color theme="1"/>
        <rFont val="宋体"/>
        <family val="3"/>
        <charset val="134"/>
        <scheme val="minor"/>
      </rPr>
      <t>-84#</t>
    </r>
    <phoneticPr fontId="234" type="noConversion"/>
  </si>
  <si>
    <r>
      <t>1</t>
    </r>
    <r>
      <rPr>
        <sz val="11"/>
        <color theme="1"/>
        <rFont val="宋体"/>
        <family val="3"/>
        <charset val="134"/>
        <scheme val="minor"/>
      </rPr>
      <t>-91#</t>
    </r>
    <r>
      <rPr>
        <sz val="11"/>
        <color theme="1"/>
        <rFont val="宋体"/>
        <family val="2"/>
        <charset val="134"/>
        <scheme val="minor"/>
      </rPr>
      <t/>
    </r>
  </si>
  <si>
    <t>住宅楼</t>
    <phoneticPr fontId="234" type="noConversion"/>
  </si>
  <si>
    <t>设备</t>
    <phoneticPr fontId="234" type="noConversion"/>
  </si>
  <si>
    <t>配套用房</t>
    <phoneticPr fontId="234" type="noConversion"/>
  </si>
  <si>
    <t>商业</t>
    <phoneticPr fontId="234" type="noConversion"/>
  </si>
  <si>
    <t>商业</t>
    <phoneticPr fontId="234" type="noConversion"/>
  </si>
  <si>
    <t>配套用房</t>
    <phoneticPr fontId="234" type="noConversion"/>
  </si>
  <si>
    <t>p-1#</t>
    <phoneticPr fontId="234" type="noConversion"/>
  </si>
  <si>
    <t>托老所</t>
    <phoneticPr fontId="234" type="noConversion"/>
  </si>
  <si>
    <t>配套用房</t>
    <phoneticPr fontId="234" type="noConversion"/>
  </si>
  <si>
    <t>商业</t>
    <phoneticPr fontId="234" type="noConversion"/>
  </si>
  <si>
    <t>配套用房</t>
    <phoneticPr fontId="234" type="noConversion"/>
  </si>
  <si>
    <t>洋房</t>
  </si>
  <si>
    <t>自持住房</t>
  </si>
  <si>
    <t>自持住房</t>
    <phoneticPr fontId="15" type="noConversion"/>
  </si>
  <si>
    <t>配套商业</t>
  </si>
  <si>
    <t>配套商业</t>
    <phoneticPr fontId="15" type="noConversion"/>
  </si>
  <si>
    <t>商业</t>
    <phoneticPr fontId="8" type="noConversion"/>
  </si>
  <si>
    <t>地下车库</t>
    <phoneticPr fontId="8" type="noConversion"/>
  </si>
  <si>
    <t>仓储</t>
  </si>
  <si>
    <t>戊类库房</t>
  </si>
  <si>
    <t>库房</t>
    <phoneticPr fontId="8" type="noConversion"/>
  </si>
  <si>
    <t>低密度住宅</t>
  </si>
  <si>
    <t>低密度住宅</t>
    <phoneticPr fontId="8" type="noConversion"/>
  </si>
  <si>
    <t>多层住宅</t>
  </si>
  <si>
    <t>多层住宅</t>
    <phoneticPr fontId="8" type="noConversion"/>
  </si>
  <si>
    <t>自持住宅</t>
  </si>
  <si>
    <t>自持住宅</t>
    <phoneticPr fontId="8" type="noConversion"/>
  </si>
  <si>
    <t>多面临街</t>
  </si>
  <si>
    <t>一般</t>
    <phoneticPr fontId="22" type="noConversion"/>
  </si>
  <si>
    <t>较差</t>
    <phoneticPr fontId="22" type="noConversion"/>
  </si>
  <si>
    <t>七通</t>
    <phoneticPr fontId="22" type="noConversion"/>
  </si>
  <si>
    <t>较好</t>
    <phoneticPr fontId="22" type="noConversion"/>
  </si>
  <si>
    <t>项目全部</t>
  </si>
  <si>
    <t>土地</t>
  </si>
  <si>
    <t>剩余法-待开发</t>
  </si>
  <si>
    <t>比较法-住宅、综合</t>
  </si>
  <si>
    <t>是</t>
    <phoneticPr fontId="27" type="noConversion"/>
  </si>
  <si>
    <t>是</t>
    <phoneticPr fontId="27" type="noConversion"/>
  </si>
  <si>
    <t>楼面地价</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</si>
  <si>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</si>
  <si>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单面临街</t>
  </si>
  <si>
    <t>住宅</t>
    <phoneticPr fontId="234" type="noConversion"/>
  </si>
  <si>
    <t>自持住宅</t>
    <phoneticPr fontId="234" type="noConversion"/>
  </si>
  <si>
    <r>
      <t>2</t>
    </r>
    <r>
      <rPr>
        <sz val="11"/>
        <color theme="1"/>
        <rFont val="宋体"/>
        <family val="3"/>
        <charset val="134"/>
        <scheme val="minor"/>
      </rPr>
      <t>1地块</t>
    </r>
    <phoneticPr fontId="234" type="noConversion"/>
  </si>
  <si>
    <r>
      <t>3</t>
    </r>
    <r>
      <rPr>
        <sz val="11"/>
        <color theme="1"/>
        <rFont val="宋体"/>
        <family val="3"/>
        <charset val="134"/>
        <scheme val="minor"/>
      </rPr>
      <t>1地块</t>
    </r>
    <phoneticPr fontId="234" type="noConversion"/>
  </si>
  <si>
    <r>
      <t>9</t>
    </r>
    <r>
      <rPr>
        <sz val="11"/>
        <color theme="1"/>
        <rFont val="宋体"/>
        <family val="3"/>
        <charset val="134"/>
        <scheme val="minor"/>
      </rPr>
      <t>46个</t>
    </r>
    <phoneticPr fontId="234" type="noConversion"/>
  </si>
  <si>
    <t>库房</t>
    <phoneticPr fontId="234" type="noConversion"/>
  </si>
  <si>
    <t>配套</t>
    <phoneticPr fontId="234" type="noConversion"/>
  </si>
  <si>
    <t>车库</t>
    <phoneticPr fontId="234" type="noConversion"/>
  </si>
  <si>
    <r>
      <t>6</t>
    </r>
    <r>
      <rPr>
        <sz val="11"/>
        <color theme="1"/>
        <rFont val="宋体"/>
        <family val="3"/>
        <charset val="134"/>
        <scheme val="minor"/>
      </rPr>
      <t>84个</t>
    </r>
    <phoneticPr fontId="234" type="noConversion"/>
  </si>
  <si>
    <t>地下</t>
    <phoneticPr fontId="234" type="noConversion"/>
  </si>
  <si>
    <t>合计</t>
    <phoneticPr fontId="234" type="noConversion"/>
  </si>
  <si>
    <t>3-21地块</t>
    <phoneticPr fontId="4" type="noConversion"/>
  </si>
  <si>
    <t>低密度地下库房</t>
  </si>
  <si>
    <t>低密度地下库房</t>
    <phoneticPr fontId="8" type="noConversion"/>
  </si>
  <si>
    <t>否</t>
    <phoneticPr fontId="27" type="noConversion"/>
  </si>
  <si>
    <t>不动产收益法</t>
  </si>
  <si>
    <t>土地（套用方法）</t>
  </si>
  <si>
    <t>押一</t>
  </si>
  <si>
    <t>按租金收入计税</t>
  </si>
  <si>
    <t>通路</t>
  </si>
  <si>
    <t>通电</t>
  </si>
  <si>
    <t>通上水</t>
  </si>
  <si>
    <t>支路</t>
  </si>
  <si>
    <t>规则</t>
  </si>
  <si>
    <t>较规则</t>
  </si>
  <si>
    <t>2018-1-0667</t>
    <phoneticPr fontId="7" type="noConversion"/>
  </si>
  <si>
    <t>吴薇</t>
  </si>
  <si>
    <t>郑燚</t>
  </si>
  <si>
    <t xml:space="preserve">北京万龙华房地产开发有限公司 </t>
    <phoneticPr fontId="7" type="noConversion"/>
  </si>
  <si>
    <t xml:space="preserve">北京万龙华房地产开发有限公司 </t>
    <phoneticPr fontId="7" type="noConversion"/>
  </si>
  <si>
    <t>建行城建、中行北京分行丰台支行、农行北分崇文门</t>
    <phoneticPr fontId="7" type="noConversion"/>
  </si>
  <si>
    <t>住宅、商业、地下仓储、地下车库</t>
    <phoneticPr fontId="7" type="noConversion"/>
  </si>
  <si>
    <t>符合</t>
  </si>
  <si>
    <t>住宅68.8年、商业38.8年、地下车库48.8年、仓储48.8</t>
    <phoneticPr fontId="7" type="noConversion"/>
  </si>
  <si>
    <t>否</t>
  </si>
  <si>
    <t>居住项目</t>
  </si>
  <si>
    <t>无</t>
  </si>
  <si>
    <t>宗地内已开工建设</t>
  </si>
  <si>
    <t>平整</t>
  </si>
  <si>
    <t>Ⅷ-顺3</t>
  </si>
  <si>
    <t>不动产收益法（商业）</t>
    <phoneticPr fontId="15" type="noConversion"/>
  </si>
  <si>
    <t>不动产收益法（车库）</t>
  </si>
  <si>
    <t>不动产收益法（仓储）</t>
  </si>
  <si>
    <t>不动产收益法（仓储）</t>
    <phoneticPr fontId="15" type="noConversion"/>
  </si>
  <si>
    <t>钢混</t>
  </si>
  <si>
    <t>七通</t>
  </si>
  <si>
    <t>较不规则</t>
  </si>
  <si>
    <t>一般</t>
  </si>
  <si>
    <t>较好</t>
  </si>
  <si>
    <t>较差</t>
  </si>
  <si>
    <t>次干道</t>
  </si>
  <si>
    <t>六级</t>
    <phoneticPr fontId="27" type="noConversion"/>
  </si>
  <si>
    <t>七级</t>
    <phoneticPr fontId="27" type="noConversion"/>
  </si>
  <si>
    <t>八级</t>
    <phoneticPr fontId="27" type="noConversion"/>
  </si>
  <si>
    <t>三通</t>
  </si>
  <si>
    <t>良好</t>
  </si>
  <si>
    <t>低密度</t>
    <phoneticPr fontId="234" type="noConversion"/>
  </si>
  <si>
    <t>洋房</t>
    <phoneticPr fontId="234" type="noConversion"/>
  </si>
  <si>
    <t>地下库房</t>
    <phoneticPr fontId="234" type="noConversion"/>
  </si>
  <si>
    <t>地下库房</t>
    <phoneticPr fontId="234" type="noConversion"/>
  </si>
  <si>
    <t>合院</t>
  </si>
  <si>
    <t>合院</t>
    <phoneticPr fontId="15" type="noConversion"/>
  </si>
  <si>
    <t>北京市顺义区后沙峪镇马头庄村SY00-0019-6007地块R2二类居住用地</t>
    <phoneticPr fontId="234" type="noConversion"/>
  </si>
  <si>
    <t>北京市顺义区后沙峪镇21-18-001e地块R2二类居住用地、21-18-002地块A33基础教育用地</t>
    <phoneticPr fontId="234" type="noConversion"/>
  </si>
  <si>
    <t>北京市顺义区后沙峪镇马头庄村SY00-0019-6005地块B1商业用地、SY00-0019-6006地块R2二类居住用地</t>
    <phoneticPr fontId="234" type="noConversion"/>
  </si>
  <si>
    <r>
      <t>031</t>
    </r>
    <r>
      <rPr>
        <b/>
        <sz val="9"/>
        <color rgb="FF000000"/>
        <rFont val="华文细黑"/>
        <family val="3"/>
        <charset val="134"/>
      </rPr>
      <t>号地块</t>
    </r>
  </si>
  <si>
    <t>类别</t>
  </si>
  <si>
    <t>项目类型</t>
  </si>
  <si>
    <t>规划建筑面积（㎡）</t>
  </si>
  <si>
    <t>经营性</t>
  </si>
  <si>
    <t>多层住宅地下库房</t>
  </si>
  <si>
    <r>
      <t>031</t>
    </r>
    <r>
      <rPr>
        <sz val="9"/>
        <color rgb="FF000000"/>
        <rFont val="华文细黑"/>
        <family val="3"/>
        <charset val="134"/>
      </rPr>
      <t>号地块经营性用房小计</t>
    </r>
  </si>
  <si>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</si>
  <si>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</si>
  <si>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</si>
  <si>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</si>
  <si>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</si>
  <si>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</si>
  <si>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</si>
  <si>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</si>
  <si>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t>顺义区高丽营镇于庄03-21地块</t>
    <phoneticPr fontId="7" type="noConversion"/>
  </si>
  <si>
    <t>次干道</t>
    <phoneticPr fontId="22" type="noConversion"/>
  </si>
  <si>
    <t>不动产收益法（商业）</t>
    <phoneticPr fontId="4" type="noConversion"/>
  </si>
  <si>
    <r>
      <t>不动产收益法</t>
    </r>
    <r>
      <rPr>
        <sz val="11"/>
        <color theme="1"/>
        <rFont val="宋体"/>
        <family val="3"/>
        <charset val="134"/>
      </rPr>
      <t>（车库）</t>
    </r>
    <phoneticPr fontId="15" type="noConversion"/>
  </si>
  <si>
    <t>自定义</t>
  </si>
  <si>
    <t>规证一</t>
  </si>
  <si>
    <t>其他</t>
  </si>
  <si>
    <t>设备</t>
  </si>
  <si>
    <t>地上楼层</t>
  </si>
  <si>
    <t>地下楼层</t>
  </si>
  <si>
    <t>栋数</t>
  </si>
  <si>
    <t>户数</t>
  </si>
  <si>
    <t>住宅楼</t>
  </si>
  <si>
    <t>合计</t>
    <phoneticPr fontId="234" type="noConversion"/>
  </si>
  <si>
    <t>2-1#</t>
    <phoneticPr fontId="234" type="noConversion"/>
  </si>
  <si>
    <r>
      <t>建字第1</t>
    </r>
    <r>
      <rPr>
        <sz val="11"/>
        <color theme="1"/>
        <rFont val="宋体"/>
        <family val="3"/>
        <charset val="134"/>
        <scheme val="minor"/>
      </rPr>
      <t>10113201800094号</t>
    </r>
    <phoneticPr fontId="234" type="noConversion"/>
  </si>
  <si>
    <r>
      <t>2</t>
    </r>
    <r>
      <rPr>
        <sz val="11"/>
        <color theme="1"/>
        <rFont val="宋体"/>
        <family val="3"/>
        <charset val="134"/>
        <scheme val="minor"/>
      </rPr>
      <t>-2#</t>
    </r>
    <phoneticPr fontId="234" type="noConversion"/>
  </si>
  <si>
    <t>2-3#</t>
    <phoneticPr fontId="234" type="noConversion"/>
  </si>
  <si>
    <t>2-4#</t>
    <phoneticPr fontId="234" type="noConversion"/>
  </si>
  <si>
    <t>2-5#</t>
    <phoneticPr fontId="234" type="noConversion"/>
  </si>
  <si>
    <t>2-6#</t>
    <phoneticPr fontId="234" type="noConversion"/>
  </si>
  <si>
    <t>2-7#</t>
    <phoneticPr fontId="234" type="noConversion"/>
  </si>
  <si>
    <t>2-8#</t>
    <phoneticPr fontId="234" type="noConversion"/>
  </si>
  <si>
    <t>2-9#</t>
    <phoneticPr fontId="234" type="noConversion"/>
  </si>
  <si>
    <t>2-10#</t>
    <phoneticPr fontId="234" type="noConversion"/>
  </si>
  <si>
    <t>2-11#</t>
    <phoneticPr fontId="234" type="noConversion"/>
  </si>
  <si>
    <t>2-12#</t>
    <phoneticPr fontId="234" type="noConversion"/>
  </si>
  <si>
    <t>2-13#</t>
    <phoneticPr fontId="234" type="noConversion"/>
  </si>
  <si>
    <t>2-14#</t>
    <phoneticPr fontId="234" type="noConversion"/>
  </si>
  <si>
    <t>2-15#</t>
    <phoneticPr fontId="234" type="noConversion"/>
  </si>
  <si>
    <t>2-16#</t>
    <phoneticPr fontId="234" type="noConversion"/>
  </si>
  <si>
    <t>2-17#</t>
    <phoneticPr fontId="234" type="noConversion"/>
  </si>
  <si>
    <t>2-18#</t>
    <phoneticPr fontId="234" type="noConversion"/>
  </si>
  <si>
    <t>2-19#</t>
    <phoneticPr fontId="234" type="noConversion"/>
  </si>
  <si>
    <t>2-20#</t>
    <phoneticPr fontId="234" type="noConversion"/>
  </si>
  <si>
    <t>2-21#</t>
    <phoneticPr fontId="234" type="noConversion"/>
  </si>
  <si>
    <t>2-22#</t>
    <phoneticPr fontId="234" type="noConversion"/>
  </si>
  <si>
    <t>2-23#</t>
    <phoneticPr fontId="234" type="noConversion"/>
  </si>
  <si>
    <t>2-24#</t>
    <phoneticPr fontId="234" type="noConversion"/>
  </si>
  <si>
    <t>2-25#</t>
    <phoneticPr fontId="234" type="noConversion"/>
  </si>
  <si>
    <t>2-26#</t>
    <phoneticPr fontId="234" type="noConversion"/>
  </si>
  <si>
    <t>2-27#</t>
    <phoneticPr fontId="234" type="noConversion"/>
  </si>
  <si>
    <t>2-28#</t>
    <phoneticPr fontId="234" type="noConversion"/>
  </si>
  <si>
    <t>2-29#</t>
    <phoneticPr fontId="234" type="noConversion"/>
  </si>
  <si>
    <t>2-30#</t>
    <phoneticPr fontId="234" type="noConversion"/>
  </si>
  <si>
    <t>2-31#</t>
    <phoneticPr fontId="234" type="noConversion"/>
  </si>
  <si>
    <t>2-32#</t>
    <phoneticPr fontId="234" type="noConversion"/>
  </si>
  <si>
    <t>2-33#</t>
    <phoneticPr fontId="234" type="noConversion"/>
  </si>
  <si>
    <t>2-34#</t>
    <phoneticPr fontId="234" type="noConversion"/>
  </si>
  <si>
    <t>2-35#</t>
    <phoneticPr fontId="234" type="noConversion"/>
  </si>
  <si>
    <t>2-36#</t>
    <phoneticPr fontId="234" type="noConversion"/>
  </si>
  <si>
    <t>2-37#</t>
    <phoneticPr fontId="234" type="noConversion"/>
  </si>
  <si>
    <t>2-38#</t>
    <phoneticPr fontId="234" type="noConversion"/>
  </si>
  <si>
    <t>2-39#</t>
    <phoneticPr fontId="234" type="noConversion"/>
  </si>
  <si>
    <t>2-40#</t>
    <phoneticPr fontId="234" type="noConversion"/>
  </si>
  <si>
    <t>2-41#</t>
    <phoneticPr fontId="234" type="noConversion"/>
  </si>
  <si>
    <t>2-42#</t>
    <phoneticPr fontId="234" type="noConversion"/>
  </si>
  <si>
    <t>2-43#</t>
    <phoneticPr fontId="234" type="noConversion"/>
  </si>
  <si>
    <t>2-44#</t>
    <phoneticPr fontId="234" type="noConversion"/>
  </si>
  <si>
    <t>2-45#</t>
    <phoneticPr fontId="234" type="noConversion"/>
  </si>
  <si>
    <t>2-46#</t>
    <phoneticPr fontId="234" type="noConversion"/>
  </si>
  <si>
    <t>2-47#</t>
    <phoneticPr fontId="234" type="noConversion"/>
  </si>
  <si>
    <t>2-48#</t>
    <phoneticPr fontId="234" type="noConversion"/>
  </si>
  <si>
    <t>2-49#</t>
    <phoneticPr fontId="234" type="noConversion"/>
  </si>
  <si>
    <t>2-50#</t>
    <phoneticPr fontId="234" type="noConversion"/>
  </si>
  <si>
    <t>2-51#</t>
    <phoneticPr fontId="234" type="noConversion"/>
  </si>
  <si>
    <t>2-52#</t>
    <phoneticPr fontId="234" type="noConversion"/>
  </si>
  <si>
    <t>2-53#</t>
    <phoneticPr fontId="234" type="noConversion"/>
  </si>
  <si>
    <t>2-54#</t>
    <phoneticPr fontId="234" type="noConversion"/>
  </si>
  <si>
    <t>2-55#</t>
    <phoneticPr fontId="234" type="noConversion"/>
  </si>
  <si>
    <t>2-56#</t>
    <phoneticPr fontId="234" type="noConversion"/>
  </si>
  <si>
    <t>2-57#</t>
    <phoneticPr fontId="234" type="noConversion"/>
  </si>
  <si>
    <t>2-58#</t>
    <phoneticPr fontId="234" type="noConversion"/>
  </si>
  <si>
    <t>小计</t>
    <phoneticPr fontId="234" type="noConversion"/>
  </si>
  <si>
    <t>2#地下车库</t>
    <phoneticPr fontId="234" type="noConversion"/>
  </si>
  <si>
    <t>配套用房</t>
  </si>
  <si>
    <t>人防</t>
    <phoneticPr fontId="234" type="noConversion"/>
  </si>
  <si>
    <t>2-59#</t>
    <phoneticPr fontId="234" type="noConversion"/>
  </si>
  <si>
    <r>
      <t>2</t>
    </r>
    <r>
      <rPr>
        <sz val="11"/>
        <color theme="1"/>
        <rFont val="宋体"/>
        <family val="3"/>
        <charset val="134"/>
        <scheme val="minor"/>
      </rPr>
      <t>-60#</t>
    </r>
    <phoneticPr fontId="234" type="noConversion"/>
  </si>
  <si>
    <r>
      <t>2</t>
    </r>
    <r>
      <rPr>
        <sz val="11"/>
        <color theme="1"/>
        <rFont val="宋体"/>
        <family val="3"/>
        <charset val="134"/>
        <scheme val="minor"/>
      </rPr>
      <t>-61#</t>
    </r>
    <phoneticPr fontId="234" type="noConversion"/>
  </si>
  <si>
    <t>自持住宅</t>
    <phoneticPr fontId="234" type="noConversion"/>
  </si>
  <si>
    <r>
      <t>2#</t>
    </r>
    <r>
      <rPr>
        <sz val="9"/>
        <color rgb="FF000000"/>
        <rFont val="华文细黑"/>
        <family val="3"/>
        <charset val="134"/>
      </rPr>
      <t>地下车库</t>
    </r>
  </si>
  <si>
    <t>2-59#</t>
  </si>
  <si>
    <t>2-60#</t>
  </si>
  <si>
    <t>2-61#</t>
  </si>
  <si>
    <t>小计</t>
    <phoneticPr fontId="234" type="noConversion"/>
  </si>
  <si>
    <r>
      <rPr>
        <sz val="9"/>
        <color rgb="FF000000"/>
        <rFont val="宋体"/>
        <family val="3"/>
        <charset val="134"/>
      </rPr>
      <t>合计</t>
    </r>
    <phoneticPr fontId="234" type="noConversion"/>
  </si>
  <si>
    <t>规划建筑面积</t>
  </si>
  <si>
    <t>本次可抵押在建建筑物建筑面积</t>
  </si>
  <si>
    <t>项目名称</t>
  </si>
  <si>
    <t>规划建筑面积（不含人防）</t>
  </si>
  <si>
    <t>分摊土地面积（不含人防）</t>
  </si>
  <si>
    <t>（不含人防）</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</si>
  <si>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</si>
  <si>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</si>
  <si>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</si>
  <si>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</si>
  <si>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</si>
  <si>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</si>
  <si>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</si>
  <si>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</si>
  <si>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柒拾玖亿零玖佰玖拾贰万元整</t>
  </si>
  <si>
    <t>估价师知悉的法定优先受偿款</t>
  </si>
  <si>
    <t>零元整</t>
  </si>
  <si>
    <t>房地产抵押价值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</si>
</sst>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
    <numFmt numFmtId="197" formatCode="0.0"/>
    <numFmt numFmtId="198" formatCode="[DBNum2][$-804]General"/>
  </numFmts>
  <fonts count="28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9"/>
      <color rgb="FF000000"/>
      <name val="Arial"/>
      <family val="2"/>
    </font>
    <font>
      <b/>
      <sz val="9"/>
      <color rgb="FF000000"/>
      <name val="华文细黑"/>
      <family val="3"/>
      <charset val="134"/>
    </font>
    <font>
      <b/>
      <sz val="9"/>
      <color theme="1"/>
      <name val="华文细黑"/>
      <family val="3"/>
      <charset val="134"/>
    </font>
    <font>
      <sz val="9"/>
      <color rgb="FF000000"/>
      <name val="华文细黑"/>
      <family val="3"/>
      <charset val="134"/>
    </font>
    <font>
      <sz val="9"/>
      <color rgb="FF000000"/>
      <name val="Arial"/>
      <family val="2"/>
    </font>
    <font>
      <sz val="9"/>
      <color theme="1"/>
      <name val="华文细黑"/>
      <family val="3"/>
      <charset val="134"/>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0070C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cellStyleXfs>
  <cellXfs count="364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85" fillId="5" borderId="3" xfId="0" applyFont="1" applyFill="1" applyBorder="1" applyAlignment="1" applyProtection="1">
      <alignment horizontal="center" vertical="center"/>
    </xf>
    <xf numFmtId="0" fontId="0" fillId="0" borderId="0" xfId="0" applyAlignment="1">
      <alignment horizontal="center" vertical="center"/>
    </xf>
    <xf numFmtId="0" fontId="165" fillId="0" borderId="0" xfId="0" applyFont="1" applyAlignment="1">
      <alignment horizontal="center" vertical="center" wrapText="1"/>
    </xf>
    <xf numFmtId="0" fontId="165" fillId="17" borderId="0" xfId="0" applyFont="1" applyFill="1" applyAlignment="1">
      <alignment horizontal="center" vertical="center" wrapText="1"/>
    </xf>
    <xf numFmtId="0" fontId="165" fillId="9" borderId="0" xfId="0" applyFont="1" applyFill="1" applyAlignment="1">
      <alignment horizontal="center" vertical="center" wrapText="1"/>
    </xf>
    <xf numFmtId="9" fontId="165" fillId="17" borderId="0" xfId="0" applyNumberFormat="1" applyFont="1" applyFill="1" applyAlignment="1">
      <alignment horizontal="center" vertical="center" wrapText="1"/>
    </xf>
    <xf numFmtId="9" fontId="165" fillId="9" borderId="0" xfId="0" applyNumberFormat="1" applyFont="1" applyFill="1" applyAlignment="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74" xfId="0" applyNumberFormat="1" applyFont="1" applyFill="1" applyBorder="1" applyAlignment="1" applyProtection="1">
      <alignment horizontal="center" vertical="center" wrapText="1"/>
      <protection locked="0"/>
    </xf>
    <xf numFmtId="0" fontId="146" fillId="0" borderId="0" xfId="0" applyFont="1">
      <alignment vertical="center"/>
    </xf>
    <xf numFmtId="2" fontId="0" fillId="0" borderId="0" xfId="0" applyNumberFormat="1">
      <alignment vertical="center"/>
    </xf>
    <xf numFmtId="0" fontId="146" fillId="0" borderId="0" xfId="0" applyFont="1" applyAlignment="1">
      <alignment horizontal="center"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6" fillId="0" borderId="2" xfId="0" applyFont="1" applyFill="1" applyBorder="1" applyAlignment="1">
      <alignment horizontal="center" vertical="center"/>
    </xf>
    <xf numFmtId="178" fontId="82" fillId="0" borderId="2" xfId="2" applyNumberFormat="1" applyFont="1" applyFill="1" applyBorder="1" applyAlignment="1" applyProtection="1">
      <alignment vertical="center"/>
      <protection locked="0"/>
    </xf>
    <xf numFmtId="49" fontId="145" fillId="0" borderId="7" xfId="0" applyNumberFormat="1" applyFont="1" applyFill="1" applyBorder="1" applyAlignment="1" applyProtection="1">
      <alignment horizontal="center" vertical="center" wrapText="1"/>
      <protection locked="0"/>
    </xf>
    <xf numFmtId="49" fontId="145" fillId="0" borderId="12" xfId="0" applyNumberFormat="1" applyFont="1" applyFill="1" applyBorder="1" applyAlignment="1" applyProtection="1">
      <alignment horizontal="center" vertical="center" wrapText="1"/>
      <protection locked="0"/>
    </xf>
    <xf numFmtId="49" fontId="85" fillId="0" borderId="12" xfId="0" applyNumberFormat="1" applyFont="1" applyFill="1" applyBorder="1" applyAlignment="1" applyProtection="1">
      <alignment horizontal="center" vertical="center" wrapText="1"/>
      <protection locked="0"/>
    </xf>
    <xf numFmtId="0" fontId="145" fillId="0" borderId="12" xfId="0" applyFont="1" applyBorder="1" applyAlignment="1" applyProtection="1">
      <alignment horizontal="center" vertical="center" wrapText="1"/>
      <protection locked="0"/>
    </xf>
    <xf numFmtId="0" fontId="145" fillId="0" borderId="46" xfId="0" applyFont="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58" fontId="12" fillId="0" borderId="2" xfId="0" applyNumberFormat="1" applyFont="1" applyBorder="1" applyAlignment="1" applyProtection="1">
      <alignment vertical="center" wrapText="1"/>
      <protection locked="0"/>
    </xf>
    <xf numFmtId="185" fontId="77" fillId="9" borderId="2" xfId="0" applyNumberFormat="1" applyFont="1" applyFill="1" applyBorder="1" applyAlignment="1" applyProtection="1">
      <alignment horizontal="center" vertical="center"/>
      <protection locked="0"/>
    </xf>
    <xf numFmtId="195" fontId="77" fillId="3" borderId="0" xfId="0" applyNumberFormat="1" applyFont="1" applyFill="1" applyAlignment="1" applyProtection="1">
      <alignment horizontal="center"/>
      <protection locked="0"/>
    </xf>
    <xf numFmtId="196" fontId="77" fillId="8" borderId="0" xfId="0" applyNumberFormat="1" applyFont="1" applyFill="1" applyAlignment="1" applyProtection="1">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49" fontId="141" fillId="0" borderId="17" xfId="0" applyNumberFormat="1" applyFont="1" applyFill="1" applyBorder="1" applyAlignment="1" applyProtection="1">
      <alignment horizontal="left" vertical="center"/>
      <protection locked="0"/>
    </xf>
    <xf numFmtId="197" fontId="77" fillId="5" borderId="10" xfId="0" applyNumberFormat="1" applyFont="1" applyFill="1" applyBorder="1" applyAlignment="1" applyProtection="1">
      <alignment horizontal="center" vertical="center"/>
    </xf>
    <xf numFmtId="0" fontId="165" fillId="0" borderId="2" xfId="0" applyFont="1" applyBorder="1" applyAlignment="1">
      <alignment horizontal="center" vertical="center" wrapText="1"/>
    </xf>
    <xf numFmtId="0" fontId="165" fillId="17" borderId="2" xfId="0" applyFont="1" applyFill="1" applyBorder="1" applyAlignment="1">
      <alignment horizontal="center" vertical="center" wrapText="1"/>
    </xf>
    <xf numFmtId="0" fontId="165" fillId="9" borderId="2" xfId="0" applyFont="1" applyFill="1" applyBorder="1" applyAlignment="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xf>
    <xf numFmtId="0" fontId="84" fillId="3" borderId="30" xfId="0" applyFont="1" applyFill="1" applyBorder="1" applyAlignment="1" applyProtection="1">
      <alignment horizontal="center" vertical="center" wrapText="1"/>
      <protection locked="0"/>
    </xf>
    <xf numFmtId="0" fontId="84" fillId="5" borderId="30" xfId="0" applyFont="1" applyFill="1" applyBorder="1" applyAlignment="1" applyProtection="1">
      <alignment horizontal="center" vertical="center" wrapText="1"/>
    </xf>
    <xf numFmtId="0" fontId="84" fillId="3" borderId="59" xfId="0" applyFont="1" applyFill="1" applyBorder="1" applyAlignment="1" applyProtection="1">
      <alignment horizontal="center" vertical="center" wrapText="1"/>
      <protection locked="0"/>
    </xf>
    <xf numFmtId="0" fontId="84" fillId="5" borderId="57" xfId="0" applyFont="1" applyFill="1" applyBorder="1" applyAlignment="1" applyProtection="1">
      <alignment horizontal="center" vertical="center" wrapText="1"/>
    </xf>
    <xf numFmtId="185" fontId="84" fillId="5" borderId="56" xfId="0" applyNumberFormat="1" applyFont="1" applyFill="1" applyBorder="1" applyAlignment="1" applyProtection="1">
      <alignment horizontal="center" vertical="center" wrapText="1"/>
    </xf>
    <xf numFmtId="0" fontId="84" fillId="5" borderId="56" xfId="0" applyFont="1" applyFill="1" applyBorder="1" applyAlignment="1" applyProtection="1">
      <alignment horizontal="center" vertical="center" wrapText="1"/>
    </xf>
    <xf numFmtId="185" fontId="84" fillId="5" borderId="60" xfId="0" applyNumberFormat="1" applyFont="1" applyFill="1" applyBorder="1" applyAlignment="1" applyProtection="1">
      <alignment horizontal="center" vertical="center" wrapText="1"/>
    </xf>
    <xf numFmtId="0" fontId="84" fillId="5" borderId="48" xfId="0" applyFont="1" applyFill="1" applyBorder="1" applyAlignment="1" applyProtection="1">
      <alignment horizontal="center" vertical="center" wrapText="1"/>
    </xf>
    <xf numFmtId="0" fontId="170" fillId="0" borderId="2" xfId="0" applyFont="1" applyBorder="1" applyAlignment="1">
      <alignment horizontal="center" vertical="center" wrapText="1"/>
    </xf>
    <xf numFmtId="0" fontId="170" fillId="0" borderId="0" xfId="0" applyFont="1" applyAlignment="1">
      <alignment horizontal="center" vertical="center" wrapText="1"/>
    </xf>
    <xf numFmtId="0" fontId="146" fillId="9" borderId="0" xfId="0" applyFont="1" applyFill="1">
      <alignment vertical="center"/>
    </xf>
    <xf numFmtId="0" fontId="0" fillId="0" borderId="13" xfId="0" applyFill="1" applyBorder="1" applyAlignment="1">
      <alignment horizontal="center" vertical="center"/>
    </xf>
    <xf numFmtId="14" fontId="165" fillId="17" borderId="2" xfId="0" applyNumberFormat="1" applyFont="1" applyFill="1" applyBorder="1" applyAlignment="1">
      <alignment horizontal="center" vertical="center" wrapText="1"/>
    </xf>
    <xf numFmtId="0" fontId="280" fillId="0" borderId="66" xfId="0" applyFont="1" applyBorder="1">
      <alignment vertical="center"/>
    </xf>
    <xf numFmtId="0" fontId="279" fillId="0" borderId="66" xfId="0" applyFont="1" applyBorder="1">
      <alignment vertical="center"/>
    </xf>
    <xf numFmtId="0" fontId="281" fillId="0" borderId="66" xfId="0" applyFont="1" applyBorder="1">
      <alignment vertical="center"/>
    </xf>
    <xf numFmtId="0" fontId="282" fillId="0" borderId="66" xfId="0" applyFont="1" applyBorder="1">
      <alignment vertical="center"/>
    </xf>
    <xf numFmtId="0" fontId="278" fillId="0" borderId="66" xfId="0" applyFont="1" applyBorder="1">
      <alignment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82" fillId="6" borderId="2" xfId="0" applyFont="1" applyFill="1" applyBorder="1" applyAlignment="1" applyProtection="1">
      <alignment vertical="center"/>
      <protection locked="0"/>
    </xf>
    <xf numFmtId="0" fontId="146" fillId="0" borderId="2" xfId="0" applyFont="1" applyBorder="1" applyAlignment="1">
      <alignment horizontal="center" vertical="center"/>
    </xf>
    <xf numFmtId="0" fontId="0" fillId="0" borderId="2" xfId="0" applyBorder="1" applyAlignment="1">
      <alignment horizontal="center" vertical="center"/>
    </xf>
    <xf numFmtId="0" fontId="0" fillId="18" borderId="0" xfId="0" applyFill="1">
      <alignment vertical="center"/>
    </xf>
    <xf numFmtId="180" fontId="146" fillId="18" borderId="0" xfId="0" applyNumberFormat="1" applyFont="1" applyFill="1">
      <alignment vertical="center"/>
    </xf>
    <xf numFmtId="0" fontId="146" fillId="0" borderId="0" xfId="0" applyFont="1" applyFill="1" applyBorder="1" applyAlignment="1">
      <alignment horizontal="center" vertical="center"/>
    </xf>
    <xf numFmtId="0" fontId="0" fillId="9" borderId="0" xfId="0" applyFill="1">
      <alignment vertical="center"/>
    </xf>
    <xf numFmtId="0" fontId="0" fillId="17" borderId="2" xfId="0" applyFill="1" applyBorder="1" applyAlignment="1">
      <alignment horizontal="center" vertical="center"/>
    </xf>
    <xf numFmtId="0" fontId="146" fillId="0" borderId="3" xfId="0" applyFont="1" applyFill="1" applyBorder="1" applyAlignment="1">
      <alignment horizontal="center" vertical="center"/>
    </xf>
    <xf numFmtId="0" fontId="282" fillId="0" borderId="38" xfId="0" applyFont="1" applyBorder="1" applyAlignment="1">
      <alignment horizontal="left" vertical="center"/>
    </xf>
    <xf numFmtId="0" fontId="282" fillId="0" borderId="38" xfId="0" applyFont="1" applyBorder="1" applyAlignment="1">
      <alignment horizontal="left" vertical="center" wrapText="1"/>
    </xf>
    <xf numFmtId="0" fontId="281" fillId="0" borderId="38" xfId="0" applyFont="1" applyBorder="1" applyAlignment="1">
      <alignment horizontal="left" vertical="center"/>
    </xf>
    <xf numFmtId="0" fontId="283" fillId="0" borderId="38" xfId="0" applyFont="1" applyBorder="1" applyAlignment="1">
      <alignment horizontal="left" vertical="center"/>
    </xf>
    <xf numFmtId="0" fontId="282" fillId="0" borderId="80" xfId="0" applyFont="1" applyBorder="1" applyAlignment="1">
      <alignment horizontal="left" vertical="center"/>
    </xf>
    <xf numFmtId="0" fontId="281" fillId="0" borderId="66" xfId="0" applyFont="1" applyBorder="1" applyAlignment="1">
      <alignment horizontal="left" vertical="center"/>
    </xf>
    <xf numFmtId="0" fontId="174" fillId="0" borderId="66" xfId="0" applyFont="1" applyBorder="1" applyAlignment="1">
      <alignment horizontal="left" vertical="center"/>
    </xf>
    <xf numFmtId="0" fontId="282" fillId="0" borderId="66" xfId="0" applyFont="1" applyBorder="1" applyAlignment="1">
      <alignment horizontal="left" vertical="center"/>
    </xf>
    <xf numFmtId="0" fontId="282" fillId="0" borderId="66" xfId="0" applyFont="1" applyBorder="1" applyAlignment="1">
      <alignment horizontal="left" vertical="center" wrapText="1"/>
    </xf>
    <xf numFmtId="0" fontId="174" fillId="0" borderId="66" xfId="0" applyFont="1" applyBorder="1" applyAlignment="1">
      <alignment horizontal="left" vertical="center" wrapText="1"/>
    </xf>
    <xf numFmtId="0" fontId="282" fillId="0" borderId="0" xfId="0" applyFont="1" applyFill="1" applyBorder="1" applyAlignment="1">
      <alignment horizontal="left" vertical="center"/>
    </xf>
    <xf numFmtId="0" fontId="146" fillId="0" borderId="28" xfId="0" applyFont="1" applyBorder="1" applyAlignment="1">
      <alignment vertical="center"/>
    </xf>
    <xf numFmtId="0" fontId="0" fillId="0" borderId="28" xfId="0" applyBorder="1" applyAlignment="1">
      <alignment vertical="center"/>
    </xf>
    <xf numFmtId="179" fontId="72" fillId="0" borderId="67" xfId="0" applyNumberFormat="1" applyFont="1" applyFill="1" applyBorder="1" applyAlignment="1" applyProtection="1">
      <alignment horizontal="center" vertical="center" wrapText="1"/>
      <protection locked="0"/>
    </xf>
    <xf numFmtId="0" fontId="280" fillId="0" borderId="158" xfId="0" applyFont="1" applyBorder="1">
      <alignment vertical="center"/>
    </xf>
    <xf numFmtId="0" fontId="279" fillId="0" borderId="158" xfId="0" applyFont="1" applyBorder="1">
      <alignment vertical="center"/>
    </xf>
    <xf numFmtId="0" fontId="281" fillId="0" borderId="158" xfId="0" applyFont="1" applyBorder="1">
      <alignment vertical="center"/>
    </xf>
    <xf numFmtId="0" fontId="282" fillId="0" borderId="158" xfId="0" applyFont="1" applyBorder="1">
      <alignment vertical="center"/>
    </xf>
    <xf numFmtId="0" fontId="278" fillId="0" borderId="158" xfId="0" applyFont="1" applyBorder="1">
      <alignment vertical="center"/>
    </xf>
    <xf numFmtId="0" fontId="282" fillId="0" borderId="158" xfId="0" applyFont="1" applyBorder="1" applyAlignment="1">
      <alignment vertical="center" wrapText="1"/>
    </xf>
    <xf numFmtId="0" fontId="283" fillId="0" borderId="164" xfId="0" applyFont="1" applyBorder="1" applyAlignment="1">
      <alignment vertical="center" wrapText="1"/>
    </xf>
    <xf numFmtId="0" fontId="283" fillId="0" borderId="165" xfId="0" applyFont="1" applyBorder="1" applyAlignment="1">
      <alignment vertical="center" wrapText="1"/>
    </xf>
    <xf numFmtId="0" fontId="283" fillId="0" borderId="162" xfId="0" applyFont="1" applyBorder="1" applyAlignment="1">
      <alignment vertical="center" wrapText="1"/>
    </xf>
    <xf numFmtId="0" fontId="174" fillId="0" borderId="165" xfId="0" applyFont="1" applyBorder="1" applyAlignment="1">
      <alignment vertical="center" wrapText="1"/>
    </xf>
    <xf numFmtId="0" fontId="282" fillId="0" borderId="165" xfId="0" applyFont="1" applyBorder="1" applyAlignment="1">
      <alignment vertical="center" wrapText="1"/>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41" fillId="8" borderId="5" xfId="0" applyFont="1" applyFill="1" applyBorder="1" applyAlignment="1" applyProtection="1">
      <alignmen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83" fillId="0" borderId="167" xfId="0" applyFont="1" applyBorder="1" applyAlignment="1">
      <alignment vertical="center" wrapText="1"/>
    </xf>
    <xf numFmtId="0" fontId="283" fillId="0" borderId="169" xfId="0" applyFont="1" applyBorder="1" applyAlignment="1">
      <alignment vertical="center" wrapText="1"/>
    </xf>
    <xf numFmtId="0" fontId="283" fillId="0" borderId="168" xfId="0" applyFont="1" applyBorder="1" applyAlignment="1">
      <alignment vertical="center" wrapText="1"/>
    </xf>
    <xf numFmtId="0" fontId="280" fillId="0" borderId="167" xfId="0" applyFont="1" applyBorder="1" applyAlignment="1">
      <alignment vertical="center" wrapText="1"/>
    </xf>
    <xf numFmtId="0" fontId="280" fillId="0" borderId="169" xfId="0" applyFont="1" applyBorder="1" applyAlignment="1">
      <alignment vertical="center" wrapText="1"/>
    </xf>
    <xf numFmtId="0" fontId="280" fillId="0" borderId="168" xfId="0" applyFont="1" applyBorder="1" applyAlignment="1">
      <alignment vertical="center" wrapText="1"/>
    </xf>
    <xf numFmtId="0" fontId="174" fillId="0" borderId="167" xfId="0" applyFont="1" applyBorder="1" applyAlignment="1">
      <alignment vertical="center" wrapText="1"/>
    </xf>
    <xf numFmtId="0" fontId="174" fillId="0" borderId="169" xfId="0" applyFont="1" applyBorder="1" applyAlignment="1">
      <alignment vertical="center" wrapText="1"/>
    </xf>
    <xf numFmtId="0" fontId="174" fillId="0" borderId="168" xfId="0" applyFont="1" applyBorder="1" applyAlignment="1">
      <alignment vertical="center" wrapText="1"/>
    </xf>
    <xf numFmtId="0" fontId="283" fillId="0" borderId="170" xfId="0" applyFont="1" applyBorder="1" applyAlignment="1">
      <alignment vertical="center" wrapText="1"/>
    </xf>
    <xf numFmtId="0" fontId="283" fillId="0" borderId="171" xfId="0" applyFont="1" applyBorder="1" applyAlignment="1">
      <alignment vertical="center" wrapText="1"/>
    </xf>
    <xf numFmtId="0" fontId="283" fillId="0" borderId="172" xfId="0" applyFont="1" applyBorder="1" applyAlignment="1">
      <alignment vertical="center" wrapText="1"/>
    </xf>
    <xf numFmtId="198" fontId="283" fillId="0" borderId="167" xfId="0" applyNumberFormat="1" applyFont="1" applyBorder="1" applyAlignment="1">
      <alignment vertical="center" wrapText="1"/>
    </xf>
    <xf numFmtId="198" fontId="283" fillId="0" borderId="168" xfId="0" applyNumberFormat="1" applyFont="1" applyBorder="1" applyAlignment="1">
      <alignment vertical="center" wrapText="1"/>
    </xf>
    <xf numFmtId="0" fontId="283" fillId="0" borderId="166" xfId="0" applyFont="1" applyBorder="1" applyAlignment="1">
      <alignment vertical="center" wrapText="1"/>
    </xf>
    <xf numFmtId="0" fontId="283" fillId="0" borderId="163" xfId="0" applyFont="1" applyBorder="1" applyAlignment="1">
      <alignment vertical="center" wrapText="1"/>
    </xf>
    <xf numFmtId="0" fontId="279" fillId="0" borderId="160" xfId="0" applyFont="1" applyBorder="1">
      <alignment vertical="center"/>
    </xf>
    <xf numFmtId="0" fontId="279" fillId="0" borderId="159" xfId="0" applyFont="1" applyBorder="1">
      <alignment vertical="center"/>
    </xf>
    <xf numFmtId="0" fontId="279" fillId="0" borderId="157" xfId="0" applyFont="1" applyBorder="1">
      <alignment vertical="center"/>
    </xf>
    <xf numFmtId="0" fontId="283" fillId="0" borderId="161" xfId="0" applyFont="1" applyBorder="1" applyAlignment="1">
      <alignment vertical="center" wrapText="1"/>
    </xf>
    <xf numFmtId="0" fontId="283" fillId="0" borderId="162" xfId="0" applyFont="1" applyBorder="1" applyAlignment="1">
      <alignment vertical="center" wrapText="1"/>
    </xf>
    <xf numFmtId="0" fontId="278" fillId="0" borderId="154" xfId="0" applyFont="1" applyBorder="1">
      <alignment vertical="center"/>
    </xf>
    <xf numFmtId="0" fontId="278" fillId="0" borderId="155" xfId="0" applyFont="1" applyBorder="1">
      <alignment vertical="center"/>
    </xf>
    <xf numFmtId="0" fontId="278" fillId="0" borderId="156" xfId="0" applyFont="1" applyBorder="1">
      <alignment vertical="center"/>
    </xf>
    <xf numFmtId="0" fontId="281" fillId="0" borderId="154" xfId="0" applyFont="1" applyBorder="1">
      <alignment vertical="center"/>
    </xf>
    <xf numFmtId="0" fontId="281" fillId="0" borderId="155" xfId="0" applyFont="1" applyBorder="1">
      <alignment vertical="center"/>
    </xf>
    <xf numFmtId="0" fontId="281" fillId="0" borderId="156" xfId="0" applyFont="1" applyBorder="1">
      <alignment vertical="center"/>
    </xf>
    <xf numFmtId="0" fontId="282" fillId="0" borderId="154" xfId="0" applyFont="1" applyBorder="1" applyAlignment="1">
      <alignment vertical="center" wrapText="1"/>
    </xf>
    <xf numFmtId="0" fontId="282" fillId="0" borderId="155" xfId="0" applyFont="1" applyBorder="1" applyAlignment="1">
      <alignment vertical="center" wrapText="1"/>
    </xf>
    <xf numFmtId="0" fontId="282" fillId="0" borderId="156" xfId="0" applyFont="1" applyBorder="1" applyAlignment="1">
      <alignment vertical="center" wrapText="1"/>
    </xf>
    <xf numFmtId="0" fontId="282" fillId="0" borderId="160" xfId="0" applyFont="1" applyBorder="1">
      <alignment vertical="center"/>
    </xf>
    <xf numFmtId="0" fontId="282" fillId="0" borderId="157" xfId="0" applyFont="1" applyBorder="1">
      <alignment vertical="center"/>
    </xf>
    <xf numFmtId="0" fontId="278" fillId="0" borderId="160" xfId="0" applyFont="1" applyBorder="1">
      <alignment vertical="center"/>
    </xf>
    <xf numFmtId="0" fontId="278" fillId="0" borderId="157" xfId="0" applyFont="1" applyBorder="1">
      <alignment vertical="center"/>
    </xf>
    <xf numFmtId="0" fontId="279" fillId="0" borderId="154" xfId="0" applyFont="1" applyBorder="1">
      <alignment vertical="center"/>
    </xf>
    <xf numFmtId="0" fontId="279" fillId="0" borderId="156" xfId="0" applyFont="1" applyBorder="1">
      <alignment vertical="center"/>
    </xf>
    <xf numFmtId="0" fontId="280" fillId="0" borderId="160" xfId="0" applyFont="1" applyBorder="1">
      <alignment vertical="center"/>
    </xf>
    <xf numFmtId="0" fontId="280" fillId="0" borderId="159" xfId="0" applyFont="1" applyBorder="1">
      <alignment vertical="center"/>
    </xf>
    <xf numFmtId="0" fontId="280" fillId="0" borderId="157" xfId="0" applyFont="1" applyBorder="1">
      <alignment vertical="center"/>
    </xf>
    <xf numFmtId="0" fontId="280" fillId="0" borderId="154" xfId="0" applyFont="1" applyBorder="1" applyAlignment="1">
      <alignment horizontal="center" vertical="center" wrapText="1"/>
    </xf>
    <xf numFmtId="0" fontId="280" fillId="0" borderId="156" xfId="0" applyFont="1" applyBorder="1" applyAlignment="1">
      <alignment horizontal="center" vertical="center" wrapText="1"/>
    </xf>
    <xf numFmtId="0" fontId="281" fillId="0" borderId="36" xfId="0" applyFont="1" applyBorder="1" applyAlignment="1">
      <alignment horizontal="left" vertical="center"/>
    </xf>
    <xf numFmtId="0" fontId="281" fillId="0" borderId="38" xfId="0" applyFont="1" applyBorder="1" applyAlignment="1">
      <alignment horizontal="lef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0" xfId="0" applyFont="1" applyAlignment="1">
      <alignment horizontal="center" vertical="center"/>
    </xf>
    <xf numFmtId="0" fontId="0" fillId="0" borderId="0" xfId="0"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66" fillId="5" borderId="0" xfId="0" applyFont="1" applyFill="1" applyBorder="1" applyAlignment="1" applyProtection="1">
      <alignment horizontal="center"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65" fillId="9" borderId="0" xfId="0" applyFont="1" applyFill="1" applyAlignment="1">
      <alignment horizontal="center" vertical="center" wrapText="1"/>
    </xf>
    <xf numFmtId="0" fontId="279" fillId="0" borderId="36" xfId="0" applyFont="1" applyBorder="1">
      <alignment vertical="center"/>
    </xf>
    <xf numFmtId="0" fontId="279" fillId="0" borderId="37" xfId="0" applyFont="1" applyBorder="1">
      <alignment vertical="center"/>
    </xf>
    <xf numFmtId="0" fontId="279" fillId="0" borderId="38" xfId="0" applyFont="1" applyBorder="1">
      <alignment vertical="center"/>
    </xf>
    <xf numFmtId="0" fontId="278" fillId="0" borderId="35" xfId="0" applyFont="1" applyBorder="1">
      <alignment vertical="center"/>
    </xf>
    <xf numFmtId="0" fontId="278" fillId="0" borderId="79" xfId="0" applyFont="1" applyBorder="1">
      <alignment vertical="center"/>
    </xf>
    <xf numFmtId="0" fontId="278" fillId="0" borderId="80" xfId="0" applyFont="1" applyBorder="1">
      <alignment vertical="center"/>
    </xf>
    <xf numFmtId="0" fontId="281" fillId="0" borderId="35" xfId="0" applyFont="1" applyBorder="1">
      <alignment vertical="center"/>
    </xf>
    <xf numFmtId="0" fontId="281" fillId="0" borderId="79" xfId="0" applyFont="1" applyBorder="1">
      <alignment vertical="center"/>
    </xf>
    <xf numFmtId="0" fontId="281" fillId="0" borderId="153" xfId="0" applyFont="1" applyBorder="1">
      <alignment vertical="center"/>
    </xf>
    <xf numFmtId="0" fontId="282" fillId="0" borderId="54" xfId="0" applyFont="1" applyBorder="1">
      <alignment vertical="center"/>
    </xf>
    <xf numFmtId="0" fontId="282" fillId="0" borderId="66" xfId="0" applyFont="1" applyBorder="1">
      <alignment vertical="center"/>
    </xf>
    <xf numFmtId="0" fontId="278" fillId="0" borderId="36" xfId="0" applyFont="1" applyBorder="1">
      <alignment vertical="center"/>
    </xf>
    <xf numFmtId="0" fontId="278" fillId="0" borderId="38" xfId="0" applyFont="1" applyBorder="1">
      <alignment vertical="center"/>
    </xf>
    <xf numFmtId="0" fontId="279" fillId="0" borderId="35" xfId="0" applyFont="1" applyBorder="1">
      <alignment vertical="center"/>
    </xf>
    <xf numFmtId="0" fontId="279" fillId="0" borderId="80" xfId="0" applyFont="1" applyBorder="1">
      <alignment vertical="center"/>
    </xf>
    <xf numFmtId="0" fontId="280" fillId="0" borderId="36" xfId="0" applyFont="1" applyBorder="1">
      <alignment vertical="center"/>
    </xf>
    <xf numFmtId="0" fontId="280" fillId="0" borderId="37" xfId="0" applyFont="1" applyBorder="1">
      <alignment vertical="center"/>
    </xf>
    <xf numFmtId="0" fontId="280" fillId="0" borderId="38" xfId="0" applyFont="1" applyBorder="1">
      <alignment vertical="center"/>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12.23&#25910;&#36164;&#26009;/031&#21495;&#22320;&#22359;&#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9579;&#36229;&#23731;\2018&#24180;\&#24050;&#24402;&#26723;\2018-1-0667&#19975;&#31185;&#35266;&#25215;&#21035;&#22661;\p04\&#32467;&#26524;\&#19975;&#31185;0331&#21495;&#22320;p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规证面积"/>
      <sheetName val="抵押物清单（分楼）"/>
      <sheetName val="房号明细"/>
      <sheetName val="已售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 (商业)"/>
      <sheetName val="收益法 (仓储)"/>
      <sheetName val="收益法 (地下车库)"/>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
          <cell r="L6">
            <v>3500</v>
          </cell>
          <cell r="Q6">
            <v>0.1</v>
          </cell>
        </row>
        <row r="7">
          <cell r="Q7">
            <v>0.1</v>
          </cell>
        </row>
        <row r="8">
          <cell r="Q8">
            <v>0.05</v>
          </cell>
          <cell r="U8">
            <v>3</v>
          </cell>
          <cell r="V8">
            <v>0.03</v>
          </cell>
          <cell r="W8">
            <v>0.1</v>
          </cell>
          <cell r="AK8">
            <v>1.4999999999999999E-2</v>
          </cell>
          <cell r="AL8">
            <v>1.5E-3</v>
          </cell>
          <cell r="AM8">
            <v>1.4999999999999999E-2</v>
          </cell>
        </row>
        <row r="9">
          <cell r="Q9">
            <v>0.15</v>
          </cell>
        </row>
        <row r="10">
          <cell r="Q10">
            <v>0.05</v>
          </cell>
          <cell r="W10">
            <v>0.1</v>
          </cell>
          <cell r="AK10">
            <v>1.4999999999999999E-2</v>
          </cell>
          <cell r="AL10">
            <v>1.5E-3</v>
          </cell>
        </row>
        <row r="11">
          <cell r="W11">
            <v>0.1</v>
          </cell>
          <cell r="AK11">
            <v>1.4999999999999999E-2</v>
          </cell>
          <cell r="AL11">
            <v>1.5E-3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I6">
            <v>30254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商业）"/>
      <sheetName val="不动产收益法（仓储）"/>
      <sheetName val="不动产收益法（车库）"/>
      <sheetName val="土地案例"/>
      <sheetName val="面积规证"/>
      <sheetName val="其他"/>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7">
          <cell r="B37">
            <v>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2653</v>
      </c>
      <c r="B1" s="2889" t="s">
        <v>2750</v>
      </c>
    </row>
    <row r="2" spans="1:55" s="2893" customFormat="1" ht="15" thickTop="1">
      <c r="A2" s="2891" t="s">
        <v>2657</v>
      </c>
      <c r="B2" s="2892" t="str">
        <f>'预评函-封皮'!B37</f>
        <v>北京市顺义区高丽营镇于庄03-21地块出让国有建设用地使用权抵押价格预评估</v>
      </c>
      <c r="AX2" s="2894"/>
      <c r="AZ2" s="2894"/>
      <c r="BA2" s="2895"/>
      <c r="BC2" s="2895"/>
    </row>
    <row r="3" spans="1:55" s="2896" customFormat="1">
      <c r="A3" s="2875" t="s">
        <v>2658</v>
      </c>
      <c r="B3" s="2878" t="str">
        <f>'预评函-封皮'!B40</f>
        <v xml:space="preserve">北京万龙华房地产开发有限公司 </v>
      </c>
    </row>
    <row r="4" spans="1:55" s="2877" customFormat="1">
      <c r="A4" s="2875" t="s">
        <v>2659</v>
      </c>
      <c r="B4" s="2876" t="str">
        <f>'预评函-封皮'!B46</f>
        <v>吴薇、郑燚</v>
      </c>
      <c r="N4" s="2877" t="str">
        <f>'预评函-1'!A28</f>
        <v/>
      </c>
    </row>
    <row r="5" spans="1:55" s="2890" customFormat="1" ht="15" thickBot="1">
      <c r="A5" s="2897" t="s">
        <v>2660</v>
      </c>
      <c r="B5" s="2898" t="str">
        <f>'预评函-封皮'!B49</f>
        <v>康正预评字2018-1-0667号</v>
      </c>
    </row>
    <row r="6" spans="1:55" s="2899" customFormat="1" ht="15" thickTop="1">
      <c r="A6" s="2891" t="s">
        <v>2702</v>
      </c>
      <c r="B6" s="2892" t="str">
        <f>'预评函-1'!A4</f>
        <v>受贵公司委托，我公司对北京市顺义区高丽营镇于庄03-21地块出让国有建设用地使用权抵押价格进行了预评估。</v>
      </c>
      <c r="AM6" s="2900"/>
    </row>
    <row r="7" spans="1:55" s="2874" customFormat="1">
      <c r="A7" s="2875" t="s">
        <v>2654</v>
      </c>
      <c r="B7" s="2876" t="str">
        <f>'预评函-1'!A6</f>
        <v>估价对象为使用的、位于北京市顺义区高丽营镇于庄03-21地块出让国有建设用地使用权。根据，估价对象（分摊）出让国有建设用地使用权面积为62541.33平方米。根据，估价对象规划建筑面积为169816平方米。</v>
      </c>
    </row>
    <row r="8" spans="1:55" s="2874" customFormat="1">
      <c r="A8" s="2875" t="s">
        <v>2655</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2705</v>
      </c>
      <c r="B9" s="2876" t="str">
        <f>'预评函-1'!A9</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2656</v>
      </c>
      <c r="B10" s="2876" t="str">
        <f>'预评函-1'!A11</f>
        <v>2018年12月10日（评估专业人员勘察现场之日）</v>
      </c>
    </row>
    <row r="11" spans="1:55" s="2874" customFormat="1">
      <c r="A11" s="2875" t="s">
        <v>2662</v>
      </c>
      <c r="B11" s="2876" t="str">
        <f>'预评函-1'!A14</f>
        <v>根据，本次评估估价对象证载（地类）用途为住宅、商业、地下仓储、地下车库。</v>
      </c>
    </row>
    <row r="12" spans="1:55" s="2874" customFormat="1">
      <c r="A12" s="2875" t="s">
        <v>2663</v>
      </c>
      <c r="B12" s="2876" t="str">
        <f>'预评函-1'!A15</f>
        <v>本次评估设定用途即为证载用途住宅、商业、地下仓储、地下车库。</v>
      </c>
    </row>
    <row r="13" spans="1:55" s="2874" customFormat="1">
      <c r="A13" s="2875" t="s">
        <v>2664</v>
      </c>
      <c r="B13" s="2876" t="str">
        <f>'预评函-1'!A17</f>
        <v>根据委托估价方介绍及评估专业人员现场勘查，本次评估估价对象实际土地开发程度为红线外市政基础设施达“三通”（即通路、通电、通上水）、宗地红线内已开工建设。。</v>
      </c>
    </row>
    <row r="14" spans="1:55" s="2874" customFormat="1">
      <c r="A14" s="2875" t="s">
        <v>2665</v>
      </c>
      <c r="B14" s="2876" t="str">
        <f>'预评函-1'!A18</f>
        <v>由于估价对象已完成通平、具备施工条件，因此本次评估设定土地开发程度为红线外市政基础设施达“三通”、宗地红线内场地平整。本次评估估价结果不包含上述在建工程或已建建筑物价格。</v>
      </c>
    </row>
    <row r="15" spans="1:55" s="2874" customFormat="1">
      <c r="A15" s="2875" t="s">
        <v>2661</v>
      </c>
      <c r="B15" s="2876" t="str">
        <f>'预评函-1'!A20</f>
        <v>根据，估价对象（分摊）出让国有建设用地使用权面积为62541.33平方米。根据，估价对象规划建筑面积为169816平方米。</v>
      </c>
    </row>
    <row r="16" spans="1:55" s="2874" customFormat="1">
      <c r="A16" s="2875" t="s">
        <v>2666</v>
      </c>
      <c r="B16" s="2876" t="str">
        <f>'预评函-1'!A22</f>
        <v>本次估价对象为出让国有建设用地使用权，证载土地终止日期为住宅2087年7月27日、商业2057年7月27日地下车库2067年7月27日、仓储2067年7月27日。截至估价期日，出让国有建设用地使用权剩余土地使用年限为住宅68.8年、商业38.8年、地下车库48.8年、仓储48.8。</v>
      </c>
    </row>
    <row r="17" spans="1:48" s="2874" customFormat="1">
      <c r="A17" s="2875" t="s">
        <v>2667</v>
      </c>
      <c r="B17" s="2876" t="str">
        <f>'预评函-1'!A23</f>
        <v>本次评估设定估价对象剩余土地使用年限为住宅68.8年、商业38.8年、地下车库48.8年、仓储48.8。</v>
      </c>
    </row>
    <row r="18" spans="1:48" s="2874" customFormat="1">
      <c r="A18" s="2875" t="s">
        <v>2668</v>
      </c>
      <c r="B18" s="2876" t="str">
        <f>'预评函-1'!A25</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row>
    <row r="19" spans="1:48" s="2874" customFormat="1">
      <c r="A19" s="2875" t="s">
        <v>2669</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2670</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2671</v>
      </c>
      <c r="B21" s="2898" t="str">
        <f>'预评函-1'!A28</f>
        <v/>
      </c>
    </row>
    <row r="22" spans="1:48" ht="15" thickTop="1">
      <c r="A22" s="2886" t="s">
        <v>2672</v>
      </c>
      <c r="B22" s="288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5" t="s">
        <v>2673</v>
      </c>
      <c r="B23" s="2876" t="str">
        <f>'预评函-2'!K2</f>
        <v>估价期日：2018年12月10日</v>
      </c>
    </row>
    <row r="24" spans="1:48">
      <c r="A24" s="2875" t="s">
        <v>2674</v>
      </c>
      <c r="B24" s="2876" t="str">
        <f>'预评函-2'!R2</f>
        <v>估价期日的国有建设用地使用权性质：出让</v>
      </c>
    </row>
    <row r="25" spans="1:48">
      <c r="A25" s="2875" t="s">
        <v>2730</v>
      </c>
      <c r="B25" s="2876" t="str">
        <f>'预评函-2'!A3</f>
        <v>估价期日土地使用者</v>
      </c>
    </row>
    <row r="26" spans="1:48">
      <c r="A26" s="2875" t="s">
        <v>2706</v>
      </c>
      <c r="B26" s="2876" t="str">
        <f>'预评函-2'!A5</f>
        <v>中信开发</v>
      </c>
    </row>
    <row r="27" spans="1:48">
      <c r="A27" s="2875" t="s">
        <v>2731</v>
      </c>
      <c r="B27" s="2876" t="str">
        <f>'预评函-2'!B3</f>
        <v>宗地编号/不动产单元号</v>
      </c>
    </row>
    <row r="28" spans="1:48">
      <c r="A28" s="2875" t="s">
        <v>2707</v>
      </c>
      <c r="B28" s="2876" t="str">
        <f>'预评函-2'!B5</f>
        <v>11111111111</v>
      </c>
    </row>
    <row r="29" spans="1:48">
      <c r="A29" s="2875" t="s">
        <v>2733</v>
      </c>
      <c r="B29" s="2876">
        <f>'预评函-2'!C5</f>
        <v>22</v>
      </c>
    </row>
    <row r="30" spans="1:48">
      <c r="A30" s="2875" t="s">
        <v>2734</v>
      </c>
      <c r="B30" s="2876" t="str">
        <f>'预评函-2'!D3</f>
        <v>土地使用证编号/不动产权证书编号</v>
      </c>
    </row>
    <row r="31" spans="1:48">
      <c r="A31" s="2875" t="s">
        <v>2708</v>
      </c>
      <c r="B31" s="2876" t="str">
        <f>'预评函-2'!D5</f>
        <v>京国土字第111号</v>
      </c>
    </row>
    <row r="32" spans="1:48">
      <c r="A32" s="2875" t="s">
        <v>2709</v>
      </c>
      <c r="B32" s="2876" t="str">
        <f>'预评函-2'!E5</f>
        <v>住宅、商业、地下仓储、地下车库</v>
      </c>
      <c r="AV32" s="2880"/>
    </row>
    <row r="33" spans="1:2">
      <c r="A33" s="2875" t="s">
        <v>2710</v>
      </c>
      <c r="B33" s="2876">
        <f>'预评函-2'!F5</f>
        <v>258</v>
      </c>
    </row>
    <row r="34" spans="1:2">
      <c r="A34" s="2875" t="s">
        <v>2711</v>
      </c>
      <c r="B34" s="2876" t="str">
        <f>'预评函-2'!G5</f>
        <v>住宅、商业、地下仓储、地下车库</v>
      </c>
    </row>
    <row r="35" spans="1:2">
      <c r="A35" s="2875" t="s">
        <v>2712</v>
      </c>
      <c r="B35" s="2876">
        <f>'预评函-2'!H5</f>
        <v>1.5</v>
      </c>
    </row>
    <row r="36" spans="1:2">
      <c r="A36" s="2875" t="s">
        <v>2713</v>
      </c>
      <c r="B36" s="2876">
        <f>'预评函-2'!I5</f>
        <v>1.5</v>
      </c>
    </row>
    <row r="37" spans="1:2">
      <c r="A37" s="2875" t="s">
        <v>2714</v>
      </c>
      <c r="B37" s="2876">
        <f>'预评函-2'!J5</f>
        <v>1.5</v>
      </c>
    </row>
    <row r="38" spans="1:2">
      <c r="A38" s="2875" t="s">
        <v>2715</v>
      </c>
      <c r="B38" s="2876" t="str">
        <f>'预评函-2'!K5</f>
        <v>红线外三通、宗地红线内宗地内已开工建设</v>
      </c>
    </row>
    <row r="39" spans="1:2">
      <c r="A39" s="2875" t="s">
        <v>2716</v>
      </c>
      <c r="B39" s="2876" t="str">
        <f>'预评函-2'!L5</f>
        <v>红线外三通、宗地红线内场地平整</v>
      </c>
    </row>
    <row r="40" spans="1:2">
      <c r="A40" s="2875" t="s">
        <v>2735</v>
      </c>
      <c r="B40" s="2876" t="str">
        <f>'预评函-2'!M3</f>
        <v>（剩余）土地使用年限/年</v>
      </c>
    </row>
    <row r="41" spans="1:2">
      <c r="A41" s="2875" t="s">
        <v>2717</v>
      </c>
      <c r="B41" s="2876" t="str">
        <f>'预评函-2'!M5</f>
        <v>住宅68.8年、商业38.8年、地下车库48.8年、仓储48.8</v>
      </c>
    </row>
    <row r="42" spans="1:2">
      <c r="A42" s="2875" t="s">
        <v>2736</v>
      </c>
      <c r="B42" s="2876" t="str">
        <f>'预评函-2'!N3</f>
        <v>（分摊）出让国有建设用地使用权面积/㎡</v>
      </c>
    </row>
    <row r="43" spans="1:2">
      <c r="A43" s="2875" t="s">
        <v>2718</v>
      </c>
      <c r="B43" s="2876">
        <f>'预评函-2'!N5</f>
        <v>62541.33</v>
      </c>
    </row>
    <row r="44" spans="1:2">
      <c r="A44" s="2875" t="s">
        <v>2737</v>
      </c>
      <c r="B44" s="2876" t="str">
        <f>'预评函-2'!O3</f>
        <v>规划建筑面积/㎡</v>
      </c>
    </row>
    <row r="45" spans="1:2">
      <c r="A45" s="2875" t="s">
        <v>2719</v>
      </c>
      <c r="B45" s="2876">
        <f>'预评函-2'!O5</f>
        <v>169816</v>
      </c>
    </row>
    <row r="46" spans="1:2">
      <c r="A46" s="2875" t="s">
        <v>2720</v>
      </c>
      <c r="B46" s="2876">
        <f ca="1">'预评函-2'!P5</f>
        <v>49838</v>
      </c>
    </row>
    <row r="47" spans="1:2">
      <c r="A47" s="2875" t="s">
        <v>2721</v>
      </c>
      <c r="B47" s="2876">
        <f ca="1">'预评函-2'!Q5</f>
        <v>18355</v>
      </c>
    </row>
    <row r="48" spans="1:2">
      <c r="A48" s="2875" t="s">
        <v>2722</v>
      </c>
      <c r="B48" s="2876">
        <f ca="1">'预评函-2'!R5</f>
        <v>311695</v>
      </c>
    </row>
    <row r="49" spans="1:2">
      <c r="A49" s="2875" t="s">
        <v>2738</v>
      </c>
      <c r="B49" s="2876" t="str">
        <f>'预评函-2'!A6</f>
        <v>抵押价格</v>
      </c>
    </row>
    <row r="50" spans="1:2">
      <c r="A50" s="2875" t="s">
        <v>2723</v>
      </c>
      <c r="B50" s="2876">
        <f ca="1">'预评函-2'!R6</f>
        <v>311695</v>
      </c>
    </row>
    <row r="51" spans="1:2">
      <c r="A51" s="2875" t="s">
        <v>2739</v>
      </c>
      <c r="B51" s="2876" t="str">
        <f>'预评函-2'!A7</f>
        <v>——</v>
      </c>
    </row>
    <row r="52" spans="1:2">
      <c r="A52" s="2875" t="s">
        <v>2724</v>
      </c>
      <c r="B52" s="2876" t="str">
        <f>'预评函-2'!R7</f>
        <v>——</v>
      </c>
    </row>
    <row r="53" spans="1:2">
      <c r="A53" s="2875" t="s">
        <v>2740</v>
      </c>
      <c r="B53" s="2876" t="str">
        <f>'预评函-2'!A8</f>
        <v>——</v>
      </c>
    </row>
    <row r="54" spans="1:2" s="2890" customFormat="1" ht="15" thickBot="1">
      <c r="A54" s="2897" t="s">
        <v>2725</v>
      </c>
      <c r="B54" s="2898" t="str">
        <f>'预评函-2'!R8</f>
        <v>——</v>
      </c>
    </row>
    <row r="55" spans="1:2" ht="15" thickTop="1">
      <c r="A55" s="2886" t="s">
        <v>2675</v>
      </c>
      <c r="B55" s="2887" t="str">
        <f>'预评函-3'!A2</f>
        <v>1.权利限制：根据估价对象、，截至估价期日，估价对象抵押权未见登记。未设定租赁等其他他项权利。</v>
      </c>
    </row>
    <row r="56" spans="1:2">
      <c r="A56" s="2875" t="s">
        <v>2676</v>
      </c>
      <c r="B56" s="2876" t="str">
        <f>'预评函-3'!A3</f>
        <v>2.基础设施条件：估价对象实际开发程度为红线外三通、宗地红线内宗地内已开工建设；本次评估设定开发程度为红线外三通、宗地红线内场地平整。</v>
      </c>
    </row>
    <row r="57" spans="1:2">
      <c r="A57" s="2875" t="s">
        <v>2677</v>
      </c>
      <c r="B57" s="2876" t="str">
        <f>'预评函-3'!A4</f>
        <v>3.估价规划限制条件：详见。</v>
      </c>
    </row>
    <row r="58" spans="1:2" s="2890" customFormat="1" ht="15" thickBot="1">
      <c r="A58" s="2897" t="s">
        <v>2726</v>
      </c>
      <c r="B58" s="2898" t="str">
        <f>'预评函-3'!A5</f>
        <v>4.影响价格的其他限定条件：无。</v>
      </c>
    </row>
    <row r="59" spans="1:2" ht="15" thickTop="1">
      <c r="A59" s="2886" t="s">
        <v>2678</v>
      </c>
      <c r="B59" s="2887" t="str">
        <f>'预评函-3'!A8</f>
        <v>2.本《评估意见函》仅供金融机构进行内部审核使用，不做其他目的之用。</v>
      </c>
    </row>
    <row r="60" spans="1:2">
      <c r="A60" s="2875" t="s">
        <v>2679</v>
      </c>
      <c r="B60" s="2876" t="str">
        <f>'预评函-3'!A9</f>
        <v>3.抵押双方在办理抵押登记手续时，应使用本公司出具的正式《土地估价报告》，特提请报告使用者注意。</v>
      </c>
    </row>
    <row r="61" spans="1:2">
      <c r="A61" s="2875" t="s">
        <v>2681</v>
      </c>
      <c r="B61" s="2876" t="str">
        <f>'预评函-3'!A10</f>
        <v>4.估价师所知悉的法定优先受偿款情况为：</v>
      </c>
    </row>
    <row r="62" spans="1:2">
      <c r="A62" s="2875" t="s">
        <v>2680</v>
      </c>
      <c r="B62" s="2876" t="str">
        <f>'预评函-3'!A11</f>
        <v>（1）根据估价对象、，截至估价期日，估价对象抵押权未见登记。</v>
      </c>
    </row>
    <row r="63" spans="1:2">
      <c r="A63" s="2875" t="s">
        <v>2682</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2683</v>
      </c>
      <c r="B64" s="2881" t="str">
        <f>'预评函-3'!A13</f>
        <v>（3）。</v>
      </c>
    </row>
    <row r="65" spans="1:2">
      <c r="A65" s="2875" t="s">
        <v>2684</v>
      </c>
      <c r="B65" s="2882" t="str">
        <f>'预评函-3'!A14</f>
        <v>综上，本次评估不存在估价师知悉的法定优先受偿款</v>
      </c>
    </row>
    <row r="66" spans="1:2">
      <c r="A66" s="2875" t="s">
        <v>2685</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2686</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2689</v>
      </c>
      <c r="B68" s="2901">
        <f>'预评函-3'!D30</f>
        <v>42558</v>
      </c>
    </row>
    <row r="69" spans="1:2" ht="15" thickTop="1">
      <c r="A69" s="2886" t="s">
        <v>2687</v>
      </c>
      <c r="B69" s="2887" t="str">
        <f>'预评函-3'!A20</f>
        <v>吴薇</v>
      </c>
    </row>
    <row r="70" spans="1:2">
      <c r="A70" s="2875" t="s">
        <v>2687</v>
      </c>
      <c r="B70" s="2882">
        <f ca="1">'预评函-3'!B20</f>
        <v>2002110125</v>
      </c>
    </row>
    <row r="71" spans="1:2">
      <c r="A71" s="2875" t="s">
        <v>2688</v>
      </c>
      <c r="B71" s="2876" t="str">
        <f>'预评函-3'!A21</f>
        <v>郑燚</v>
      </c>
    </row>
    <row r="72" spans="1:2" s="2890" customFormat="1" ht="15" thickBot="1">
      <c r="A72" s="2897" t="s">
        <v>2688</v>
      </c>
      <c r="B72" s="2903">
        <f>'预评函-3'!B21</f>
        <v>2014110011</v>
      </c>
    </row>
    <row r="73" spans="1:2" ht="15" thickTop="1">
      <c r="A73" s="2886" t="s">
        <v>2747</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2748</v>
      </c>
      <c r="B74" s="2883" t="str">
        <f>'预评函-1 (储备)'!A18</f>
        <v>由于本次评估估价目的是评估储备国有建设用地使用权的“抵押价格”，因此本次评估设定土地开发程度为红线外市政基础设施达“三通”、宗地红线内场地平整。</v>
      </c>
    </row>
    <row r="75" spans="1:2" s="2890" customFormat="1" ht="15" thickBot="1">
      <c r="A75" s="2897" t="s">
        <v>2749</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2784</v>
      </c>
      <c r="B76" s="288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7" sqref="I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customWidth="1"/>
    <col min="20" max="21" width="10.75" style="15" customWidth="1"/>
    <col min="22" max="22" width="10.875" style="15" customWidth="1"/>
    <col min="23" max="23" width="10.75" style="15" customWidth="1"/>
    <col min="24" max="27" width="10.75" style="15" hidden="1" customWidth="1"/>
    <col min="28" max="28" width="10.875" style="15" hidden="1" customWidth="1"/>
    <col min="29" max="29" width="11" style="15" bestFit="1" customWidth="1"/>
    <col min="30" max="30" width="10" style="15" bestFit="1" customWidth="1"/>
    <col min="31" max="31" width="9.75" style="15" customWidth="1"/>
    <col min="32" max="32" width="9.5" style="15" customWidth="1"/>
    <col min="33"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2331</v>
      </c>
      <c r="BA2" s="2358"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面积规证!C111</f>
        <v>64089.62</v>
      </c>
      <c r="B3" s="22">
        <f>IF(C3="否",G5-AT5,G5)</f>
        <v>174020</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174020</v>
      </c>
      <c r="H5" s="27">
        <f t="shared" ref="H5:AT5" si="0">SUM(H13:H641)</f>
        <v>156062</v>
      </c>
      <c r="I5" s="27">
        <f t="shared" si="0"/>
        <v>37366.439999999988</v>
      </c>
      <c r="J5" s="27">
        <f t="shared" si="0"/>
        <v>0</v>
      </c>
      <c r="K5" s="27">
        <f t="shared" si="0"/>
        <v>3473.1799999999967</v>
      </c>
      <c r="L5" s="27">
        <f t="shared" si="0"/>
        <v>0</v>
      </c>
      <c r="M5" s="27">
        <f t="shared" si="0"/>
        <v>23770.38</v>
      </c>
      <c r="N5" s="27">
        <f t="shared" si="0"/>
        <v>0</v>
      </c>
      <c r="O5" s="27">
        <f t="shared" si="0"/>
        <v>0</v>
      </c>
      <c r="P5" s="27">
        <f t="shared" si="0"/>
        <v>0</v>
      </c>
      <c r="Q5" s="27">
        <f t="shared" si="0"/>
        <v>0</v>
      </c>
      <c r="R5" s="27">
        <f t="shared" si="0"/>
        <v>0</v>
      </c>
      <c r="S5" s="27">
        <f t="shared" si="0"/>
        <v>26123.5</v>
      </c>
      <c r="T5" s="27">
        <f t="shared" si="0"/>
        <v>0</v>
      </c>
      <c r="U5" s="27">
        <f t="shared" si="0"/>
        <v>59454.19</v>
      </c>
      <c r="V5" s="27">
        <f t="shared" si="0"/>
        <v>0</v>
      </c>
      <c r="W5" s="27">
        <f t="shared" si="0"/>
        <v>5874.31</v>
      </c>
      <c r="X5" s="27">
        <f t="shared" si="0"/>
        <v>0</v>
      </c>
      <c r="Y5" s="27">
        <f t="shared" si="0"/>
        <v>0</v>
      </c>
      <c r="Z5" s="27">
        <f t="shared" si="0"/>
        <v>0</v>
      </c>
      <c r="AA5" s="27">
        <f t="shared" si="0"/>
        <v>0</v>
      </c>
      <c r="AB5" s="27">
        <f t="shared" si="0"/>
        <v>0</v>
      </c>
      <c r="AC5" s="27">
        <f t="shared" si="0"/>
        <v>13754</v>
      </c>
      <c r="AD5" s="27">
        <f t="shared" si="0"/>
        <v>0</v>
      </c>
      <c r="AE5" s="27">
        <f t="shared" si="0"/>
        <v>0</v>
      </c>
      <c r="AF5" s="27">
        <f t="shared" si="0"/>
        <v>990</v>
      </c>
      <c r="AG5" s="27">
        <f t="shared" si="0"/>
        <v>0</v>
      </c>
      <c r="AH5" s="27">
        <f t="shared" si="0"/>
        <v>0</v>
      </c>
      <c r="AI5" s="27">
        <f t="shared" si="0"/>
        <v>0</v>
      </c>
      <c r="AJ5" s="27">
        <f t="shared" si="0"/>
        <v>0</v>
      </c>
      <c r="AK5" s="27">
        <f t="shared" si="0"/>
        <v>0</v>
      </c>
      <c r="AL5" s="27">
        <f t="shared" si="0"/>
        <v>84</v>
      </c>
      <c r="AM5" s="27">
        <f t="shared" si="0"/>
        <v>0</v>
      </c>
      <c r="AN5" s="27">
        <f t="shared" si="0"/>
        <v>12680</v>
      </c>
      <c r="AO5" s="27">
        <f t="shared" si="0"/>
        <v>0</v>
      </c>
      <c r="AP5" s="27">
        <f t="shared" si="0"/>
        <v>0</v>
      </c>
      <c r="AQ5" s="27">
        <f t="shared" si="0"/>
        <v>0</v>
      </c>
      <c r="AR5" s="27">
        <f t="shared" si="0"/>
        <v>0</v>
      </c>
      <c r="AS5" s="27">
        <f t="shared" si="0"/>
        <v>0</v>
      </c>
      <c r="AT5" s="27">
        <f t="shared" si="0"/>
        <v>4204</v>
      </c>
      <c r="AU5" s="987"/>
      <c r="AV5" s="26" t="s">
        <v>168</v>
      </c>
      <c r="AW5" s="988"/>
      <c r="AX5" s="988"/>
      <c r="AY5" s="28" t="s">
        <v>3</v>
      </c>
      <c r="AZ5" s="29">
        <f t="shared" ref="AZ5:BT5" si="1">SUM(AZ13:AZ641)</f>
        <v>169816</v>
      </c>
      <c r="BA5" s="29">
        <f t="shared" si="1"/>
        <v>156062</v>
      </c>
      <c r="BB5" s="29">
        <f t="shared" si="1"/>
        <v>37366.439999999988</v>
      </c>
      <c r="BC5" s="29">
        <f t="shared" si="1"/>
        <v>3473.1799999999967</v>
      </c>
      <c r="BD5" s="29">
        <f t="shared" si="1"/>
        <v>23770.38</v>
      </c>
      <c r="BE5" s="29">
        <f t="shared" si="1"/>
        <v>0</v>
      </c>
      <c r="BF5" s="29">
        <f t="shared" si="1"/>
        <v>0</v>
      </c>
      <c r="BG5" s="29">
        <f t="shared" si="1"/>
        <v>26123.5</v>
      </c>
      <c r="BH5" s="29">
        <f t="shared" si="1"/>
        <v>59454.19</v>
      </c>
      <c r="BI5" s="29">
        <f t="shared" si="1"/>
        <v>5874.31</v>
      </c>
      <c r="BJ5" s="29">
        <f t="shared" si="1"/>
        <v>0</v>
      </c>
      <c r="BK5" s="29">
        <f t="shared" si="1"/>
        <v>0</v>
      </c>
      <c r="BL5" s="29">
        <f t="shared" si="1"/>
        <v>13754</v>
      </c>
      <c r="BM5" s="29">
        <f t="shared" si="1"/>
        <v>0</v>
      </c>
      <c r="BN5" s="29">
        <f t="shared" si="1"/>
        <v>990</v>
      </c>
      <c r="BO5" s="29">
        <f t="shared" si="1"/>
        <v>0</v>
      </c>
      <c r="BP5" s="29">
        <f t="shared" si="1"/>
        <v>0</v>
      </c>
      <c r="BQ5" s="29">
        <f t="shared" si="1"/>
        <v>84</v>
      </c>
      <c r="BR5" s="29">
        <f t="shared" si="1"/>
        <v>12680</v>
      </c>
      <c r="BS5" s="29">
        <f t="shared" si="1"/>
        <v>0</v>
      </c>
      <c r="BT5" s="30">
        <f t="shared" si="1"/>
        <v>0</v>
      </c>
    </row>
    <row r="6" spans="1:72" s="37" customFormat="1" ht="12.75">
      <c r="A6" s="26" t="s">
        <v>169</v>
      </c>
      <c r="B6" s="31"/>
      <c r="C6" s="31"/>
      <c r="D6" s="32"/>
      <c r="E6" s="27">
        <f>H6+AC6+AT6</f>
        <v>64089.62</v>
      </c>
      <c r="F6" s="27" t="s">
        <v>1</v>
      </c>
      <c r="G6" s="27" t="s">
        <v>2</v>
      </c>
      <c r="H6" s="33">
        <f>SUMIF(I$12:AB$12,"总值",I6:AB6)</f>
        <v>57475.880000000005</v>
      </c>
      <c r="I6" s="27">
        <f t="shared" ref="I6:AB6" si="2">ROUND($A$3*I5/$B$3,2)</f>
        <v>13761.64</v>
      </c>
      <c r="J6" s="27">
        <f t="shared" si="2"/>
        <v>0</v>
      </c>
      <c r="K6" s="27">
        <f t="shared" si="2"/>
        <v>1279.1300000000001</v>
      </c>
      <c r="L6" s="27">
        <f t="shared" si="2"/>
        <v>0</v>
      </c>
      <c r="M6" s="27">
        <f t="shared" si="2"/>
        <v>8754.3700000000008</v>
      </c>
      <c r="N6" s="27">
        <f t="shared" si="2"/>
        <v>0</v>
      </c>
      <c r="O6" s="27">
        <f t="shared" si="2"/>
        <v>0</v>
      </c>
      <c r="P6" s="27">
        <f t="shared" si="2"/>
        <v>0</v>
      </c>
      <c r="Q6" s="27">
        <f t="shared" si="2"/>
        <v>0</v>
      </c>
      <c r="R6" s="27">
        <f t="shared" si="2"/>
        <v>0</v>
      </c>
      <c r="S6" s="27">
        <f t="shared" si="2"/>
        <v>9620.99</v>
      </c>
      <c r="T6" s="27">
        <f t="shared" si="2"/>
        <v>0</v>
      </c>
      <c r="U6" s="27">
        <f t="shared" si="2"/>
        <v>21896.31</v>
      </c>
      <c r="V6" s="27">
        <f t="shared" si="2"/>
        <v>0</v>
      </c>
      <c r="W6" s="27">
        <f t="shared" si="2"/>
        <v>2163.44</v>
      </c>
      <c r="X6" s="27">
        <f t="shared" si="2"/>
        <v>0</v>
      </c>
      <c r="Y6" s="27">
        <f t="shared" si="2"/>
        <v>0</v>
      </c>
      <c r="Z6" s="27">
        <f t="shared" si="2"/>
        <v>0</v>
      </c>
      <c r="AA6" s="27">
        <f t="shared" si="2"/>
        <v>0</v>
      </c>
      <c r="AB6" s="27">
        <f t="shared" si="2"/>
        <v>0</v>
      </c>
      <c r="AC6" s="33">
        <f>SUMIF(AD$12:AS$12,"总值",AD6:AS6)</f>
        <v>5065.45</v>
      </c>
      <c r="AD6" s="27">
        <f t="shared" ref="AD6:AS6" si="3">ROUND($A$3*AD5/$B$3,2)</f>
        <v>0</v>
      </c>
      <c r="AE6" s="27">
        <f t="shared" si="3"/>
        <v>0</v>
      </c>
      <c r="AF6" s="27">
        <f t="shared" si="3"/>
        <v>364.61</v>
      </c>
      <c r="AG6" s="27">
        <f t="shared" si="3"/>
        <v>0</v>
      </c>
      <c r="AH6" s="27">
        <f t="shared" si="3"/>
        <v>0</v>
      </c>
      <c r="AI6" s="27">
        <f t="shared" si="3"/>
        <v>0</v>
      </c>
      <c r="AJ6" s="27">
        <f t="shared" si="3"/>
        <v>0</v>
      </c>
      <c r="AK6" s="27">
        <f t="shared" si="3"/>
        <v>0</v>
      </c>
      <c r="AL6" s="27">
        <f t="shared" si="3"/>
        <v>30.94</v>
      </c>
      <c r="AM6" s="27">
        <f t="shared" si="3"/>
        <v>0</v>
      </c>
      <c r="AN6" s="27">
        <f t="shared" si="3"/>
        <v>4669.8999999999996</v>
      </c>
      <c r="AO6" s="27">
        <f t="shared" si="3"/>
        <v>0</v>
      </c>
      <c r="AP6" s="27">
        <f t="shared" si="3"/>
        <v>0</v>
      </c>
      <c r="AQ6" s="27">
        <f t="shared" si="3"/>
        <v>0</v>
      </c>
      <c r="AR6" s="27">
        <f t="shared" si="3"/>
        <v>0</v>
      </c>
      <c r="AS6" s="27">
        <f t="shared" si="3"/>
        <v>0</v>
      </c>
      <c r="AT6" s="33">
        <f>IF(C3="是",ROUND($A$3*AT5/$B$3,2),0)</f>
        <v>1548.29</v>
      </c>
      <c r="AU6" s="34"/>
      <c r="AV6" s="26" t="s">
        <v>169</v>
      </c>
      <c r="AW6" s="31"/>
      <c r="AX6" s="31"/>
      <c r="AY6" s="35">
        <f>IF(AY3&gt;0,AY3,ROUND($A$3*AZ5/$B$3,2))</f>
        <v>62541.33</v>
      </c>
      <c r="AZ6" s="27" t="s">
        <v>3</v>
      </c>
      <c r="BA6" s="27">
        <f>ROUND($AY$6*BA5/$AZ$5,2)</f>
        <v>57475.89</v>
      </c>
      <c r="BB6" s="27">
        <f>ROUND($AY$6*BB5/$AZ$5,2)</f>
        <v>13761.64</v>
      </c>
      <c r="BC6" s="27">
        <f t="shared" ref="BC6:BH6" si="4">ROUND($AY$6*BC5/$AZ$5,2)</f>
        <v>1279.1300000000001</v>
      </c>
      <c r="BD6" s="27">
        <f t="shared" si="4"/>
        <v>8754.36</v>
      </c>
      <c r="BE6" s="27">
        <f t="shared" si="4"/>
        <v>0</v>
      </c>
      <c r="BF6" s="27">
        <f t="shared" si="4"/>
        <v>0</v>
      </c>
      <c r="BG6" s="27">
        <f t="shared" si="4"/>
        <v>9620.99</v>
      </c>
      <c r="BH6" s="27">
        <f t="shared" si="4"/>
        <v>21896.31</v>
      </c>
      <c r="BI6" s="27">
        <f t="shared" ref="BI6:BT6" si="5">ROUND($AY$6*BI5/$AZ$5,2)</f>
        <v>2163.44</v>
      </c>
      <c r="BJ6" s="27">
        <f t="shared" si="5"/>
        <v>0</v>
      </c>
      <c r="BK6" s="27">
        <f t="shared" si="5"/>
        <v>0</v>
      </c>
      <c r="BL6" s="27">
        <f t="shared" si="5"/>
        <v>5065.4399999999996</v>
      </c>
      <c r="BM6" s="27">
        <f t="shared" si="5"/>
        <v>0</v>
      </c>
      <c r="BN6" s="27">
        <f t="shared" si="5"/>
        <v>364.61</v>
      </c>
      <c r="BO6" s="27">
        <f t="shared" si="5"/>
        <v>0</v>
      </c>
      <c r="BP6" s="27">
        <f t="shared" si="5"/>
        <v>0</v>
      </c>
      <c r="BQ6" s="27">
        <f t="shared" si="5"/>
        <v>30.94</v>
      </c>
      <c r="BR6" s="27">
        <f t="shared" si="5"/>
        <v>4669.8999999999996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5" t="s">
        <v>3061</v>
      </c>
      <c r="J9" s="51"/>
      <c r="K9" s="3015" t="s">
        <v>3061</v>
      </c>
      <c r="L9" s="51"/>
      <c r="M9" s="3015" t="s">
        <v>3061</v>
      </c>
      <c r="N9" s="51"/>
      <c r="O9" s="59" t="s">
        <v>3061</v>
      </c>
      <c r="P9" s="51"/>
      <c r="Q9" s="59" t="s">
        <v>3063</v>
      </c>
      <c r="R9" s="51"/>
      <c r="S9" s="59" t="s">
        <v>3063</v>
      </c>
      <c r="T9" s="51"/>
      <c r="U9" s="59" t="s">
        <v>3063</v>
      </c>
      <c r="V9" s="51"/>
      <c r="W9" s="59" t="s">
        <v>3063</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5" t="s">
        <v>923</v>
      </c>
      <c r="J10" s="51"/>
      <c r="K10" s="3017" t="s">
        <v>923</v>
      </c>
      <c r="L10" s="51"/>
      <c r="M10" s="3017" t="s">
        <v>923</v>
      </c>
      <c r="N10" s="51"/>
      <c r="O10" s="66" t="s">
        <v>3033</v>
      </c>
      <c r="P10" s="51"/>
      <c r="Q10" s="66" t="s">
        <v>3033</v>
      </c>
      <c r="R10" s="51"/>
      <c r="S10" s="66" t="s">
        <v>3169</v>
      </c>
      <c r="T10" s="51"/>
      <c r="U10" s="66" t="s">
        <v>3194</v>
      </c>
      <c r="V10" s="51"/>
      <c r="W10" s="66" t="s">
        <v>3194</v>
      </c>
      <c r="X10" s="51"/>
      <c r="Y10" s="66"/>
      <c r="Z10" s="51"/>
      <c r="AA10" s="66"/>
      <c r="AB10" s="51"/>
      <c r="AC10" s="55"/>
      <c r="AD10" s="2311" t="s">
        <v>2317</v>
      </c>
      <c r="AE10" s="2333"/>
      <c r="AF10" s="2311" t="s">
        <v>2317</v>
      </c>
      <c r="AG10" s="2333"/>
      <c r="AH10" s="2311" t="s">
        <v>2318</v>
      </c>
      <c r="AI10" s="2333"/>
      <c r="AJ10" s="26" t="s">
        <v>2329</v>
      </c>
      <c r="AK10" s="2330"/>
      <c r="AL10" s="2311" t="s">
        <v>2319</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t="str">
        <f>S9</f>
        <v>地下</v>
      </c>
      <c r="BH10" s="69" t="str">
        <f>U9</f>
        <v>地下</v>
      </c>
      <c r="BI10" s="69" t="str">
        <f>W9</f>
        <v>地下</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6" t="s">
        <v>3277</v>
      </c>
      <c r="J11" s="71"/>
      <c r="K11" s="3016" t="s">
        <v>3187</v>
      </c>
      <c r="L11" s="71"/>
      <c r="M11" s="70" t="s">
        <v>3188</v>
      </c>
      <c r="N11" s="71"/>
      <c r="O11" s="70" t="s">
        <v>3190</v>
      </c>
      <c r="P11" s="71"/>
      <c r="Q11" s="70" t="s">
        <v>3190</v>
      </c>
      <c r="R11" s="71"/>
      <c r="S11" s="70" t="s">
        <v>3169</v>
      </c>
      <c r="T11" s="71"/>
      <c r="U11" s="70" t="s">
        <v>3195</v>
      </c>
      <c r="V11" s="71"/>
      <c r="W11" s="70" t="s">
        <v>3195</v>
      </c>
      <c r="X11" s="71"/>
      <c r="Y11" s="70"/>
      <c r="Z11" s="71"/>
      <c r="AA11" s="70"/>
      <c r="AB11" s="71"/>
      <c r="AC11" s="55"/>
      <c r="AD11" s="2331" t="s">
        <v>2328</v>
      </c>
      <c r="AE11" s="1001"/>
      <c r="AF11" s="2331" t="s">
        <v>2328</v>
      </c>
      <c r="AG11" s="1001"/>
      <c r="AH11" s="2331" t="s">
        <v>2327</v>
      </c>
      <c r="AI11" s="2332"/>
      <c r="AJ11" s="2331" t="s">
        <v>2327</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t="str">
        <f>O10</f>
        <v>商业</v>
      </c>
      <c r="BF11" s="50" t="str">
        <f>Q10</f>
        <v>商业</v>
      </c>
      <c r="BG11" s="50" t="str">
        <f>S10</f>
        <v>车库</v>
      </c>
      <c r="BH11" s="50" t="str">
        <f>U10</f>
        <v>仓储</v>
      </c>
      <c r="BI11" s="50" t="str">
        <f>W10</f>
        <v>仓储</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合院</v>
      </c>
      <c r="BC12" s="79" t="str">
        <f>K11</f>
        <v>洋房</v>
      </c>
      <c r="BD12" s="79" t="str">
        <f>M11</f>
        <v>自持住房</v>
      </c>
      <c r="BE12" s="50" t="str">
        <f>O11</f>
        <v>配套商业</v>
      </c>
      <c r="BF12" s="50" t="str">
        <f>Q11</f>
        <v>配套商业</v>
      </c>
      <c r="BG12" s="50" t="str">
        <f>S11</f>
        <v>车库</v>
      </c>
      <c r="BH12" s="50" t="str">
        <f>U11</f>
        <v>戊类库房</v>
      </c>
      <c r="BI12" s="50" t="str">
        <f>W11</f>
        <v>戊类库房</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0"/>
      <c r="B13" s="3010"/>
      <c r="C13" s="3010"/>
      <c r="D13" s="3011" t="s">
        <v>3251</v>
      </c>
      <c r="E13" s="27">
        <f t="shared" ref="E13:E20" si="6">IF($C$3="是",ROUND($A$3*G13/$B$3,2),ROUND($A$3*(G13-AT13)/$B$3,2))</f>
        <v>0</v>
      </c>
      <c r="F13" s="81"/>
      <c r="G13" s="82">
        <f t="shared" ref="G13:G20" si="7">H13+AC13+AT13</f>
        <v>0</v>
      </c>
      <c r="H13" s="33">
        <f t="shared" ref="H13:H20" si="8">SUMIF(I$12:AB$12,"总值",I13:AB13)</f>
        <v>0</v>
      </c>
      <c r="I13" s="3014"/>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0"/>
      <c r="B14" s="3010"/>
      <c r="C14" s="3205" t="s">
        <v>3228</v>
      </c>
      <c r="D14" s="3011" t="s">
        <v>1679</v>
      </c>
      <c r="E14" s="27">
        <f t="shared" si="6"/>
        <v>64089.62</v>
      </c>
      <c r="F14" s="81"/>
      <c r="G14" s="82">
        <f t="shared" si="7"/>
        <v>174020</v>
      </c>
      <c r="H14" s="33">
        <f t="shared" si="8"/>
        <v>156062</v>
      </c>
      <c r="I14" s="3014">
        <f>面积规证!C185</f>
        <v>37366.439999999988</v>
      </c>
      <c r="J14" s="3014"/>
      <c r="K14" s="3014">
        <f>面积规证!C186</f>
        <v>3473.1799999999967</v>
      </c>
      <c r="L14" s="3014"/>
      <c r="M14" s="3014">
        <f>面积规证!F186</f>
        <v>23770.38</v>
      </c>
      <c r="N14" s="83"/>
      <c r="O14" s="83"/>
      <c r="P14" s="83"/>
      <c r="Q14" s="83"/>
      <c r="R14" s="83"/>
      <c r="S14" s="83">
        <f>面积规证!H185</f>
        <v>26123.5</v>
      </c>
      <c r="T14" s="83"/>
      <c r="U14" s="83">
        <f>面积规证!G185</f>
        <v>59454.19</v>
      </c>
      <c r="V14" s="83"/>
      <c r="W14" s="83">
        <f>面积规证!G186</f>
        <v>5874.31</v>
      </c>
      <c r="X14" s="83"/>
      <c r="Y14" s="83"/>
      <c r="Z14" s="83"/>
      <c r="AA14" s="83"/>
      <c r="AB14" s="83"/>
      <c r="AC14" s="27">
        <f t="shared" si="9"/>
        <v>13754</v>
      </c>
      <c r="AD14" s="3018"/>
      <c r="AE14" s="3018"/>
      <c r="AF14" s="3018">
        <f>面积规证!J186</f>
        <v>990</v>
      </c>
      <c r="AG14" s="3018"/>
      <c r="AH14" s="3018"/>
      <c r="AI14" s="3018"/>
      <c r="AJ14" s="3018"/>
      <c r="AK14" s="3018"/>
      <c r="AL14" s="3018">
        <f>面积规证!D186</f>
        <v>84</v>
      </c>
      <c r="AM14" s="3018"/>
      <c r="AN14" s="3018">
        <f>面积规证!I187</f>
        <v>12680</v>
      </c>
      <c r="AO14" s="3018"/>
      <c r="AP14" s="3018"/>
      <c r="AQ14" s="3018"/>
      <c r="AR14" s="3018"/>
      <c r="AS14" s="3018"/>
      <c r="AT14" s="3019">
        <f>面积规证!L115</f>
        <v>4204</v>
      </c>
      <c r="AU14" s="3020"/>
      <c r="AV14" s="17">
        <f t="shared" si="10"/>
        <v>0</v>
      </c>
      <c r="AW14" s="17">
        <f t="shared" si="10"/>
        <v>0</v>
      </c>
      <c r="AX14" s="17" t="str">
        <f t="shared" si="10"/>
        <v>3-21地块</v>
      </c>
      <c r="AY14" s="995">
        <f t="shared" si="11"/>
        <v>62541.33</v>
      </c>
      <c r="AZ14" s="27">
        <f t="shared" si="12"/>
        <v>169816</v>
      </c>
      <c r="BA14" s="27">
        <f t="shared" si="13"/>
        <v>156062</v>
      </c>
      <c r="BB14" s="27">
        <f t="shared" si="14"/>
        <v>37366.439999999988</v>
      </c>
      <c r="BC14" s="27">
        <f t="shared" si="15"/>
        <v>3473.1799999999967</v>
      </c>
      <c r="BD14" s="27">
        <f t="shared" si="16"/>
        <v>23770.38</v>
      </c>
      <c r="BE14" s="27">
        <f t="shared" si="17"/>
        <v>0</v>
      </c>
      <c r="BF14" s="27">
        <f t="shared" si="18"/>
        <v>0</v>
      </c>
      <c r="BG14" s="27">
        <f t="shared" si="19"/>
        <v>26123.5</v>
      </c>
      <c r="BH14" s="27">
        <f t="shared" si="20"/>
        <v>59454.19</v>
      </c>
      <c r="BI14" s="27">
        <f t="shared" si="21"/>
        <v>5874.31</v>
      </c>
      <c r="BJ14" s="27">
        <f t="shared" si="22"/>
        <v>0</v>
      </c>
      <c r="BK14" s="27">
        <f t="shared" si="23"/>
        <v>0</v>
      </c>
      <c r="BL14" s="27">
        <f t="shared" si="24"/>
        <v>13754</v>
      </c>
      <c r="BM14" s="27">
        <f t="shared" si="25"/>
        <v>0</v>
      </c>
      <c r="BN14" s="27">
        <f t="shared" si="26"/>
        <v>990</v>
      </c>
      <c r="BO14" s="27">
        <f t="shared" si="27"/>
        <v>0</v>
      </c>
      <c r="BP14" s="27">
        <f t="shared" si="28"/>
        <v>0</v>
      </c>
      <c r="BQ14" s="27">
        <f t="shared" si="29"/>
        <v>84</v>
      </c>
      <c r="BR14" s="27">
        <f t="shared" si="30"/>
        <v>12680</v>
      </c>
      <c r="BS14" s="27">
        <f t="shared" si="31"/>
        <v>0</v>
      </c>
      <c r="BT14" s="36">
        <f t="shared" si="32"/>
        <v>0</v>
      </c>
    </row>
    <row r="15" spans="1:72" s="18" customFormat="1" ht="12.75">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8" t="s">
        <v>0</v>
      </c>
      <c r="B1" s="3348" t="s">
        <v>4</v>
      </c>
      <c r="C1" s="3348" t="s">
        <v>5</v>
      </c>
      <c r="D1" s="3349" t="s">
        <v>40</v>
      </c>
      <c r="E1" s="3349" t="s">
        <v>41</v>
      </c>
      <c r="F1" s="3349"/>
      <c r="G1" s="3349"/>
      <c r="H1" s="3349"/>
      <c r="I1" s="3349"/>
      <c r="J1" s="3349"/>
      <c r="K1" s="3349"/>
      <c r="L1" s="3349"/>
      <c r="M1" s="3349"/>
    </row>
    <row r="2" spans="1:13" ht="27" customHeight="1">
      <c r="A2" s="3348"/>
      <c r="B2" s="3348"/>
      <c r="C2" s="3348"/>
      <c r="D2" s="3349"/>
      <c r="E2" s="3349" t="s">
        <v>24</v>
      </c>
      <c r="F2" s="3349" t="s">
        <v>25</v>
      </c>
      <c r="G2" s="3349"/>
      <c r="H2" s="3349"/>
      <c r="I2" s="3349"/>
      <c r="J2" s="3349" t="s">
        <v>26</v>
      </c>
      <c r="K2" s="3349"/>
      <c r="L2" s="3349"/>
      <c r="M2" s="3349"/>
    </row>
    <row r="3" spans="1:13" ht="28.5">
      <c r="A3" s="3348"/>
      <c r="B3" s="3348"/>
      <c r="C3" s="3348"/>
      <c r="D3" s="3349"/>
      <c r="E3" s="334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9" t="s">
        <v>42</v>
      </c>
      <c r="B9" s="3349"/>
      <c r="C9" s="33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01"/>
  <sheetViews>
    <sheetView tabSelected="1" topLeftCell="A146" workbookViewId="0">
      <selection activeCell="F248" sqref="F248"/>
    </sheetView>
  </sheetViews>
  <sheetFormatPr defaultRowHeight="13.5"/>
  <cols>
    <col min="2" max="2" width="11.625" bestFit="1" customWidth="1"/>
    <col min="3" max="3" width="10.5" bestFit="1" customWidth="1"/>
    <col min="7" max="7" width="12.25" customWidth="1"/>
    <col min="12" max="12" width="12.375" customWidth="1"/>
    <col min="13" max="13" width="11.25" customWidth="1"/>
    <col min="15" max="15" width="10.5" bestFit="1" customWidth="1"/>
  </cols>
  <sheetData>
    <row r="1" spans="1:12" hidden="1">
      <c r="A1" s="3185" t="s">
        <v>3058</v>
      </c>
      <c r="D1" s="3185" t="s">
        <v>3062</v>
      </c>
      <c r="E1" s="3185"/>
      <c r="F1" s="3185" t="s">
        <v>3064</v>
      </c>
      <c r="G1" s="3185"/>
    </row>
    <row r="2" spans="1:12" hidden="1">
      <c r="A2" s="3185"/>
      <c r="D2" s="3185" t="s">
        <v>3069</v>
      </c>
      <c r="E2" s="3185" t="s">
        <v>3070</v>
      </c>
      <c r="F2" s="3185" t="s">
        <v>3073</v>
      </c>
      <c r="G2" s="3185" t="s">
        <v>3071</v>
      </c>
      <c r="H2" s="3185" t="s">
        <v>3065</v>
      </c>
      <c r="I2" s="3185" t="s">
        <v>3066</v>
      </c>
      <c r="J2" s="3185" t="s">
        <v>3067</v>
      </c>
      <c r="K2" s="3185" t="s">
        <v>3068</v>
      </c>
    </row>
    <row r="3" spans="1:12" hidden="1">
      <c r="A3" s="3185" t="s">
        <v>3059</v>
      </c>
      <c r="B3" s="3185" t="s">
        <v>3060</v>
      </c>
      <c r="C3" s="3185">
        <f>SUM(D3:G3)</f>
        <v>816.37</v>
      </c>
      <c r="D3">
        <v>282.8</v>
      </c>
      <c r="F3">
        <v>484.57</v>
      </c>
      <c r="G3">
        <v>49</v>
      </c>
      <c r="H3">
        <v>2</v>
      </c>
      <c r="I3">
        <v>3</v>
      </c>
      <c r="J3">
        <v>1</v>
      </c>
      <c r="K3">
        <v>2</v>
      </c>
      <c r="L3" s="3185" t="s">
        <v>3074</v>
      </c>
    </row>
    <row r="4" spans="1:12" hidden="1">
      <c r="A4" s="3185" t="s">
        <v>3075</v>
      </c>
      <c r="B4" s="3185" t="s">
        <v>3076</v>
      </c>
      <c r="C4" s="3185">
        <f t="shared" ref="C4:C67" si="0">SUM(D4:G4)</f>
        <v>816.37</v>
      </c>
      <c r="D4">
        <v>282.8</v>
      </c>
      <c r="F4">
        <v>484.57</v>
      </c>
      <c r="G4">
        <v>49</v>
      </c>
      <c r="H4">
        <v>2</v>
      </c>
      <c r="I4">
        <v>3</v>
      </c>
      <c r="J4">
        <v>1</v>
      </c>
      <c r="K4">
        <v>2</v>
      </c>
    </row>
    <row r="5" spans="1:12" hidden="1">
      <c r="A5" s="3185" t="s">
        <v>3077</v>
      </c>
      <c r="B5" s="3185" t="s">
        <v>3076</v>
      </c>
      <c r="C5" s="3185">
        <f t="shared" si="0"/>
        <v>1202.82</v>
      </c>
      <c r="D5">
        <v>435.55</v>
      </c>
      <c r="F5">
        <v>669.27</v>
      </c>
      <c r="G5">
        <v>98</v>
      </c>
      <c r="H5">
        <v>2</v>
      </c>
      <c r="I5">
        <v>3</v>
      </c>
      <c r="J5">
        <v>1</v>
      </c>
      <c r="K5">
        <v>4</v>
      </c>
    </row>
    <row r="6" spans="1:12" hidden="1">
      <c r="A6" s="3185" t="s">
        <v>3078</v>
      </c>
      <c r="B6" s="3185" t="s">
        <v>3060</v>
      </c>
      <c r="C6" s="3185">
        <f t="shared" si="0"/>
        <v>1799.5</v>
      </c>
      <c r="D6">
        <v>652</v>
      </c>
      <c r="F6">
        <v>1000.5</v>
      </c>
      <c r="G6">
        <v>147</v>
      </c>
      <c r="H6">
        <v>2</v>
      </c>
      <c r="I6">
        <v>3</v>
      </c>
      <c r="J6">
        <v>1</v>
      </c>
      <c r="K6">
        <v>6</v>
      </c>
    </row>
    <row r="7" spans="1:12" hidden="1">
      <c r="A7" s="3185" t="s">
        <v>3079</v>
      </c>
      <c r="B7" s="3185" t="s">
        <v>3076</v>
      </c>
      <c r="C7" s="3185">
        <f t="shared" si="0"/>
        <v>1799.5</v>
      </c>
      <c r="D7">
        <v>652</v>
      </c>
      <c r="F7">
        <v>1000.5</v>
      </c>
      <c r="G7">
        <v>147</v>
      </c>
      <c r="H7">
        <v>2</v>
      </c>
      <c r="I7">
        <v>3</v>
      </c>
      <c r="J7">
        <v>1</v>
      </c>
      <c r="K7">
        <v>6</v>
      </c>
    </row>
    <row r="8" spans="1:12" hidden="1">
      <c r="A8" s="3185" t="s">
        <v>3080</v>
      </c>
      <c r="B8" s="3185" t="s">
        <v>3076</v>
      </c>
      <c r="C8" s="3185">
        <f t="shared" si="0"/>
        <v>1202.82</v>
      </c>
      <c r="D8">
        <v>435.55</v>
      </c>
      <c r="F8">
        <v>669.27</v>
      </c>
      <c r="G8">
        <v>98</v>
      </c>
      <c r="H8">
        <v>2</v>
      </c>
      <c r="I8">
        <v>3</v>
      </c>
      <c r="J8">
        <v>1</v>
      </c>
      <c r="K8">
        <v>4</v>
      </c>
    </row>
    <row r="9" spans="1:12" hidden="1">
      <c r="A9" s="3185" t="s">
        <v>3081</v>
      </c>
      <c r="B9" s="3185" t="s">
        <v>3060</v>
      </c>
      <c r="C9" s="3185">
        <f t="shared" si="0"/>
        <v>1799.5</v>
      </c>
      <c r="D9">
        <v>652</v>
      </c>
      <c r="F9">
        <v>1000.5</v>
      </c>
      <c r="G9">
        <v>147</v>
      </c>
      <c r="H9">
        <v>2</v>
      </c>
      <c r="I9">
        <v>3</v>
      </c>
      <c r="J9">
        <v>1</v>
      </c>
      <c r="K9">
        <v>6</v>
      </c>
    </row>
    <row r="10" spans="1:12" hidden="1">
      <c r="A10" s="3185" t="s">
        <v>3082</v>
      </c>
      <c r="B10" s="3185" t="s">
        <v>3076</v>
      </c>
      <c r="C10" s="3185">
        <f t="shared" si="0"/>
        <v>1202.82</v>
      </c>
      <c r="D10">
        <v>435.55</v>
      </c>
      <c r="F10">
        <v>669.27</v>
      </c>
      <c r="G10">
        <v>98</v>
      </c>
      <c r="H10">
        <v>2</v>
      </c>
      <c r="I10">
        <v>3</v>
      </c>
      <c r="J10">
        <v>1</v>
      </c>
      <c r="K10">
        <v>4</v>
      </c>
    </row>
    <row r="11" spans="1:12" hidden="1">
      <c r="A11" s="3185" t="s">
        <v>3083</v>
      </c>
      <c r="B11" s="3185" t="s">
        <v>3076</v>
      </c>
      <c r="C11" s="3185">
        <f t="shared" si="0"/>
        <v>1202.82</v>
      </c>
      <c r="D11">
        <v>435.55</v>
      </c>
      <c r="F11">
        <v>669.27</v>
      </c>
      <c r="G11">
        <v>98</v>
      </c>
      <c r="H11">
        <v>2</v>
      </c>
      <c r="I11">
        <v>3</v>
      </c>
      <c r="J11">
        <v>1</v>
      </c>
      <c r="K11">
        <v>4</v>
      </c>
    </row>
    <row r="12" spans="1:12" hidden="1">
      <c r="A12" s="3185" t="s">
        <v>3084</v>
      </c>
      <c r="B12" s="3185" t="s">
        <v>3060</v>
      </c>
      <c r="C12" s="3185">
        <f t="shared" si="0"/>
        <v>1799.5</v>
      </c>
      <c r="D12">
        <v>652</v>
      </c>
      <c r="F12">
        <v>1000.5</v>
      </c>
      <c r="G12">
        <v>147</v>
      </c>
      <c r="H12">
        <v>2</v>
      </c>
      <c r="I12">
        <v>3</v>
      </c>
      <c r="J12">
        <v>1</v>
      </c>
      <c r="K12">
        <v>6</v>
      </c>
    </row>
    <row r="13" spans="1:12" hidden="1">
      <c r="A13" s="3185" t="s">
        <v>3085</v>
      </c>
      <c r="B13" s="3185" t="s">
        <v>3076</v>
      </c>
      <c r="C13" s="3185">
        <f t="shared" si="0"/>
        <v>1799.5</v>
      </c>
      <c r="D13">
        <v>652</v>
      </c>
      <c r="F13">
        <v>1000.5</v>
      </c>
      <c r="G13">
        <v>147</v>
      </c>
      <c r="H13">
        <v>2</v>
      </c>
      <c r="I13">
        <v>3</v>
      </c>
      <c r="J13">
        <v>1</v>
      </c>
      <c r="K13">
        <v>6</v>
      </c>
    </row>
    <row r="14" spans="1:12" hidden="1">
      <c r="A14" s="3185" t="s">
        <v>3086</v>
      </c>
      <c r="B14" s="3185" t="s">
        <v>3076</v>
      </c>
      <c r="C14" s="3185">
        <f t="shared" si="0"/>
        <v>1202.82</v>
      </c>
      <c r="D14">
        <v>435.55</v>
      </c>
      <c r="F14">
        <v>669.27</v>
      </c>
      <c r="G14">
        <v>98</v>
      </c>
      <c r="H14">
        <v>2</v>
      </c>
      <c r="I14">
        <v>3</v>
      </c>
      <c r="J14">
        <v>1</v>
      </c>
      <c r="K14">
        <v>4</v>
      </c>
    </row>
    <row r="15" spans="1:12" hidden="1">
      <c r="A15" s="3185" t="s">
        <v>3087</v>
      </c>
      <c r="B15" s="3185" t="s">
        <v>3060</v>
      </c>
      <c r="C15" s="3185">
        <f t="shared" si="0"/>
        <v>1799.5</v>
      </c>
      <c r="D15">
        <v>652</v>
      </c>
      <c r="F15">
        <v>1000.5</v>
      </c>
      <c r="G15">
        <v>147</v>
      </c>
      <c r="H15">
        <v>2</v>
      </c>
      <c r="I15">
        <v>3</v>
      </c>
      <c r="J15">
        <v>1</v>
      </c>
      <c r="K15">
        <v>6</v>
      </c>
    </row>
    <row r="16" spans="1:12" hidden="1">
      <c r="A16" s="3185" t="s">
        <v>3088</v>
      </c>
      <c r="B16" s="3185" t="s">
        <v>3060</v>
      </c>
      <c r="C16" s="3185">
        <f t="shared" si="0"/>
        <v>1202.82</v>
      </c>
      <c r="D16">
        <v>435.55</v>
      </c>
      <c r="F16">
        <v>669.27</v>
      </c>
      <c r="G16">
        <v>98</v>
      </c>
      <c r="H16">
        <v>2</v>
      </c>
      <c r="I16">
        <v>3</v>
      </c>
      <c r="J16">
        <v>1</v>
      </c>
      <c r="K16">
        <v>4</v>
      </c>
    </row>
    <row r="17" spans="1:11" hidden="1">
      <c r="A17" s="3185" t="s">
        <v>3089</v>
      </c>
      <c r="B17" s="3185" t="s">
        <v>3060</v>
      </c>
      <c r="C17" s="3185">
        <f t="shared" si="0"/>
        <v>619.78</v>
      </c>
      <c r="D17">
        <v>225.49</v>
      </c>
      <c r="F17">
        <v>345.29</v>
      </c>
      <c r="G17">
        <v>49</v>
      </c>
      <c r="H17">
        <v>2</v>
      </c>
      <c r="I17">
        <v>3</v>
      </c>
      <c r="J17">
        <v>1</v>
      </c>
      <c r="K17">
        <v>2</v>
      </c>
    </row>
    <row r="18" spans="1:11" hidden="1">
      <c r="A18" s="3185" t="s">
        <v>3090</v>
      </c>
      <c r="B18" s="3185" t="s">
        <v>3060</v>
      </c>
      <c r="C18" s="3185">
        <f t="shared" si="0"/>
        <v>927.51</v>
      </c>
      <c r="D18">
        <v>337.54</v>
      </c>
      <c r="F18">
        <v>516.47</v>
      </c>
      <c r="G18">
        <v>73.5</v>
      </c>
      <c r="H18">
        <v>2</v>
      </c>
      <c r="I18">
        <v>3</v>
      </c>
      <c r="J18">
        <v>1</v>
      </c>
      <c r="K18">
        <v>3</v>
      </c>
    </row>
    <row r="19" spans="1:11" hidden="1">
      <c r="A19" s="3185" t="s">
        <v>3091</v>
      </c>
      <c r="B19" s="3185" t="s">
        <v>3060</v>
      </c>
      <c r="C19" s="3185">
        <f t="shared" si="0"/>
        <v>1799.5</v>
      </c>
      <c r="D19">
        <v>652</v>
      </c>
      <c r="F19">
        <v>1000.5</v>
      </c>
      <c r="G19">
        <v>147</v>
      </c>
      <c r="H19">
        <v>2</v>
      </c>
      <c r="I19">
        <v>3</v>
      </c>
      <c r="J19">
        <v>1</v>
      </c>
      <c r="K19">
        <v>6</v>
      </c>
    </row>
    <row r="20" spans="1:11" hidden="1">
      <c r="A20" s="3185" t="s">
        <v>3092</v>
      </c>
      <c r="B20" s="3185" t="s">
        <v>3060</v>
      </c>
      <c r="C20" s="3185">
        <f t="shared" si="0"/>
        <v>1202.82</v>
      </c>
      <c r="D20">
        <v>435.55</v>
      </c>
      <c r="F20">
        <v>669.27</v>
      </c>
      <c r="G20">
        <v>98</v>
      </c>
      <c r="H20">
        <v>2</v>
      </c>
      <c r="I20">
        <v>3</v>
      </c>
      <c r="J20">
        <v>1</v>
      </c>
      <c r="K20">
        <v>4</v>
      </c>
    </row>
    <row r="21" spans="1:11" hidden="1">
      <c r="A21" s="3185" t="s">
        <v>3093</v>
      </c>
      <c r="B21" s="3185" t="s">
        <v>3060</v>
      </c>
      <c r="C21" s="3185">
        <f t="shared" si="0"/>
        <v>1799.5</v>
      </c>
      <c r="D21">
        <v>652</v>
      </c>
      <c r="F21">
        <v>1000.5</v>
      </c>
      <c r="G21">
        <v>147</v>
      </c>
      <c r="H21">
        <v>2</v>
      </c>
      <c r="I21">
        <v>3</v>
      </c>
      <c r="J21">
        <v>1</v>
      </c>
      <c r="K21">
        <v>6</v>
      </c>
    </row>
    <row r="22" spans="1:11" hidden="1">
      <c r="A22" s="3185" t="s">
        <v>3094</v>
      </c>
      <c r="B22" s="3185" t="s">
        <v>3060</v>
      </c>
      <c r="C22" s="3185">
        <f t="shared" si="0"/>
        <v>1202.82</v>
      </c>
      <c r="D22">
        <v>435.55</v>
      </c>
      <c r="F22">
        <v>669.27</v>
      </c>
      <c r="G22">
        <v>98</v>
      </c>
      <c r="H22">
        <v>2</v>
      </c>
      <c r="I22">
        <v>3</v>
      </c>
      <c r="J22">
        <v>1</v>
      </c>
      <c r="K22">
        <v>4</v>
      </c>
    </row>
    <row r="23" spans="1:11" hidden="1">
      <c r="A23" s="3185" t="s">
        <v>3095</v>
      </c>
      <c r="B23" s="3185" t="s">
        <v>3060</v>
      </c>
      <c r="C23" s="3185">
        <f t="shared" si="0"/>
        <v>1202.82</v>
      </c>
      <c r="D23">
        <v>435.55</v>
      </c>
      <c r="F23">
        <v>669.27</v>
      </c>
      <c r="G23">
        <v>98</v>
      </c>
      <c r="H23">
        <v>2</v>
      </c>
      <c r="I23">
        <v>3</v>
      </c>
      <c r="J23">
        <v>1</v>
      </c>
      <c r="K23">
        <v>4</v>
      </c>
    </row>
    <row r="24" spans="1:11" hidden="1">
      <c r="A24" s="3185" t="s">
        <v>3096</v>
      </c>
      <c r="B24" s="3185" t="s">
        <v>3060</v>
      </c>
      <c r="C24" s="3185">
        <f t="shared" si="0"/>
        <v>1799.5</v>
      </c>
      <c r="D24">
        <v>652</v>
      </c>
      <c r="F24">
        <v>1000.5</v>
      </c>
      <c r="G24">
        <v>147</v>
      </c>
      <c r="H24">
        <v>2</v>
      </c>
      <c r="I24">
        <v>3</v>
      </c>
      <c r="J24">
        <v>1</v>
      </c>
      <c r="K24">
        <v>6</v>
      </c>
    </row>
    <row r="25" spans="1:11" hidden="1">
      <c r="A25" s="3185" t="s">
        <v>3097</v>
      </c>
      <c r="B25" s="3185" t="s">
        <v>3060</v>
      </c>
      <c r="C25" s="3185">
        <f t="shared" si="0"/>
        <v>1799.5</v>
      </c>
      <c r="D25">
        <v>652</v>
      </c>
      <c r="F25">
        <v>1000.5</v>
      </c>
      <c r="G25">
        <v>147</v>
      </c>
      <c r="H25">
        <v>2</v>
      </c>
      <c r="I25">
        <v>3</v>
      </c>
      <c r="J25">
        <v>1</v>
      </c>
      <c r="K25">
        <v>6</v>
      </c>
    </row>
    <row r="26" spans="1:11" hidden="1">
      <c r="A26" s="3185" t="s">
        <v>3098</v>
      </c>
      <c r="B26" s="3185" t="s">
        <v>3060</v>
      </c>
      <c r="C26" s="3185">
        <f t="shared" si="0"/>
        <v>1202.82</v>
      </c>
      <c r="D26">
        <v>435.55</v>
      </c>
      <c r="F26">
        <v>669.27</v>
      </c>
      <c r="G26">
        <v>98</v>
      </c>
      <c r="H26">
        <v>2</v>
      </c>
      <c r="I26">
        <v>3</v>
      </c>
      <c r="J26">
        <v>1</v>
      </c>
      <c r="K26">
        <v>4</v>
      </c>
    </row>
    <row r="27" spans="1:11" hidden="1">
      <c r="A27" s="3185" t="s">
        <v>3099</v>
      </c>
      <c r="B27" s="3185" t="s">
        <v>3060</v>
      </c>
      <c r="C27" s="3185">
        <f t="shared" si="0"/>
        <v>816.37</v>
      </c>
      <c r="D27">
        <v>282.8</v>
      </c>
      <c r="F27">
        <v>484.57</v>
      </c>
      <c r="G27">
        <v>49</v>
      </c>
      <c r="H27">
        <v>2</v>
      </c>
      <c r="I27">
        <v>3</v>
      </c>
      <c r="J27">
        <v>1</v>
      </c>
      <c r="K27">
        <v>2</v>
      </c>
    </row>
    <row r="28" spans="1:11" hidden="1">
      <c r="A28" s="3185" t="s">
        <v>3100</v>
      </c>
      <c r="B28" s="3185" t="s">
        <v>3060</v>
      </c>
      <c r="C28" s="3185">
        <f t="shared" si="0"/>
        <v>1626.24</v>
      </c>
      <c r="D28">
        <v>564.07000000000005</v>
      </c>
      <c r="F28">
        <v>964.17</v>
      </c>
      <c r="G28">
        <v>98</v>
      </c>
      <c r="H28">
        <v>2</v>
      </c>
      <c r="I28">
        <v>3</v>
      </c>
      <c r="J28">
        <v>1</v>
      </c>
      <c r="K28">
        <v>4</v>
      </c>
    </row>
    <row r="29" spans="1:11" hidden="1">
      <c r="A29" s="3185" t="s">
        <v>3101</v>
      </c>
      <c r="B29" s="3185" t="s">
        <v>3060</v>
      </c>
      <c r="C29" s="3185">
        <f t="shared" si="0"/>
        <v>1799.5</v>
      </c>
      <c r="D29">
        <v>652</v>
      </c>
      <c r="F29">
        <v>1000.5</v>
      </c>
      <c r="G29">
        <v>147</v>
      </c>
      <c r="H29">
        <v>2</v>
      </c>
      <c r="I29">
        <v>3</v>
      </c>
      <c r="J29">
        <v>1</v>
      </c>
      <c r="K29">
        <v>6</v>
      </c>
    </row>
    <row r="30" spans="1:11" hidden="1">
      <c r="A30" s="3185" t="s">
        <v>3102</v>
      </c>
      <c r="B30" s="3185" t="s">
        <v>3060</v>
      </c>
      <c r="C30" s="3185">
        <f t="shared" si="0"/>
        <v>1799.5</v>
      </c>
      <c r="D30">
        <v>652</v>
      </c>
      <c r="F30">
        <v>1000.5</v>
      </c>
      <c r="G30">
        <v>147</v>
      </c>
      <c r="H30">
        <v>2</v>
      </c>
      <c r="I30">
        <v>3</v>
      </c>
      <c r="J30">
        <v>1</v>
      </c>
      <c r="K30">
        <v>6</v>
      </c>
    </row>
    <row r="31" spans="1:11" hidden="1">
      <c r="A31" s="3185" t="s">
        <v>3103</v>
      </c>
      <c r="B31" s="3185" t="s">
        <v>3060</v>
      </c>
      <c r="C31" s="3185">
        <f t="shared" si="0"/>
        <v>922.90000000000009</v>
      </c>
      <c r="D31">
        <v>337.54</v>
      </c>
      <c r="F31">
        <v>511.86</v>
      </c>
      <c r="G31">
        <v>73.5</v>
      </c>
      <c r="H31">
        <v>2</v>
      </c>
      <c r="I31">
        <v>3</v>
      </c>
      <c r="J31">
        <v>1</v>
      </c>
      <c r="K31">
        <v>3</v>
      </c>
    </row>
    <row r="32" spans="1:11" hidden="1">
      <c r="A32" s="3185" t="s">
        <v>3104</v>
      </c>
      <c r="B32" s="3185" t="s">
        <v>3060</v>
      </c>
      <c r="C32" s="3185">
        <f t="shared" si="0"/>
        <v>922.90000000000009</v>
      </c>
      <c r="D32">
        <v>337.54</v>
      </c>
      <c r="F32">
        <v>511.86</v>
      </c>
      <c r="G32">
        <v>73.5</v>
      </c>
      <c r="H32">
        <v>2</v>
      </c>
      <c r="I32">
        <v>3</v>
      </c>
      <c r="J32">
        <v>1</v>
      </c>
      <c r="K32">
        <v>3</v>
      </c>
    </row>
    <row r="33" spans="1:11" hidden="1">
      <c r="A33" s="3185" t="s">
        <v>3105</v>
      </c>
      <c r="B33" s="3185" t="s">
        <v>3060</v>
      </c>
      <c r="C33" s="3185">
        <f t="shared" si="0"/>
        <v>1799.5</v>
      </c>
      <c r="D33">
        <v>652</v>
      </c>
      <c r="F33">
        <v>1000.5</v>
      </c>
      <c r="G33">
        <v>147</v>
      </c>
      <c r="H33">
        <v>2</v>
      </c>
      <c r="I33">
        <v>3</v>
      </c>
      <c r="J33">
        <v>1</v>
      </c>
      <c r="K33">
        <v>6</v>
      </c>
    </row>
    <row r="34" spans="1:11" hidden="1">
      <c r="A34" s="3185" t="s">
        <v>3106</v>
      </c>
      <c r="B34" s="3185" t="s">
        <v>3060</v>
      </c>
      <c r="C34" s="3185">
        <f t="shared" si="0"/>
        <v>1799.5</v>
      </c>
      <c r="D34">
        <v>652</v>
      </c>
      <c r="F34">
        <v>1000.5</v>
      </c>
      <c r="G34">
        <v>147</v>
      </c>
      <c r="H34">
        <v>2</v>
      </c>
      <c r="I34">
        <v>3</v>
      </c>
      <c r="J34">
        <v>1</v>
      </c>
      <c r="K34">
        <v>6</v>
      </c>
    </row>
    <row r="35" spans="1:11" hidden="1">
      <c r="A35" s="3185" t="s">
        <v>3107</v>
      </c>
      <c r="B35" s="3185" t="s">
        <v>3060</v>
      </c>
      <c r="C35" s="3185">
        <f t="shared" si="0"/>
        <v>1799.5</v>
      </c>
      <c r="D35">
        <v>652</v>
      </c>
      <c r="F35">
        <v>1000.5</v>
      </c>
      <c r="G35">
        <v>147</v>
      </c>
      <c r="H35">
        <v>2</v>
      </c>
      <c r="I35">
        <v>3</v>
      </c>
      <c r="J35">
        <v>1</v>
      </c>
      <c r="K35">
        <v>6</v>
      </c>
    </row>
    <row r="36" spans="1:11" hidden="1">
      <c r="A36" s="3185" t="s">
        <v>3108</v>
      </c>
      <c r="B36" s="3185" t="s">
        <v>3060</v>
      </c>
      <c r="C36" s="3185">
        <f t="shared" si="0"/>
        <v>1511.08</v>
      </c>
      <c r="D36">
        <v>547.6</v>
      </c>
      <c r="F36">
        <v>840.98</v>
      </c>
      <c r="G36">
        <v>122.5</v>
      </c>
      <c r="H36">
        <v>2</v>
      </c>
      <c r="I36">
        <v>3</v>
      </c>
      <c r="J36">
        <v>1</v>
      </c>
      <c r="K36">
        <v>5</v>
      </c>
    </row>
    <row r="37" spans="1:11" hidden="1">
      <c r="A37" s="3185" t="s">
        <v>3109</v>
      </c>
      <c r="B37" s="3185" t="s">
        <v>3060</v>
      </c>
      <c r="C37" s="3185">
        <f t="shared" si="0"/>
        <v>1509.47</v>
      </c>
      <c r="D37">
        <v>547.6</v>
      </c>
      <c r="F37">
        <v>839.37</v>
      </c>
      <c r="G37">
        <v>122.5</v>
      </c>
      <c r="H37">
        <v>2</v>
      </c>
      <c r="I37">
        <v>3</v>
      </c>
      <c r="J37">
        <v>1</v>
      </c>
      <c r="K37">
        <v>5</v>
      </c>
    </row>
    <row r="38" spans="1:11" hidden="1">
      <c r="A38" s="3185" t="s">
        <v>3110</v>
      </c>
      <c r="B38" s="3185" t="s">
        <v>3060</v>
      </c>
      <c r="C38" s="3185">
        <f t="shared" si="0"/>
        <v>1799.5</v>
      </c>
      <c r="D38">
        <v>652</v>
      </c>
      <c r="F38">
        <v>1000.5</v>
      </c>
      <c r="G38">
        <v>147</v>
      </c>
      <c r="H38">
        <v>2</v>
      </c>
      <c r="I38">
        <v>3</v>
      </c>
      <c r="J38">
        <v>1</v>
      </c>
      <c r="K38">
        <v>6</v>
      </c>
    </row>
    <row r="39" spans="1:11" hidden="1">
      <c r="A39" s="3185" t="s">
        <v>3111</v>
      </c>
      <c r="B39" s="3185" t="s">
        <v>3060</v>
      </c>
      <c r="C39" s="3185">
        <f t="shared" si="0"/>
        <v>1799.5</v>
      </c>
      <c r="D39">
        <v>652</v>
      </c>
      <c r="F39">
        <v>1000.5</v>
      </c>
      <c r="G39">
        <v>147</v>
      </c>
      <c r="H39">
        <v>2</v>
      </c>
      <c r="I39">
        <v>3</v>
      </c>
      <c r="J39">
        <v>1</v>
      </c>
      <c r="K39">
        <v>6</v>
      </c>
    </row>
    <row r="40" spans="1:11" hidden="1">
      <c r="A40" s="3185" t="s">
        <v>3112</v>
      </c>
      <c r="B40" s="3185" t="s">
        <v>3060</v>
      </c>
      <c r="C40" s="3185">
        <f t="shared" si="0"/>
        <v>1799.5</v>
      </c>
      <c r="D40">
        <v>652</v>
      </c>
      <c r="F40">
        <v>1000.5</v>
      </c>
      <c r="G40">
        <v>147</v>
      </c>
      <c r="H40">
        <v>2</v>
      </c>
      <c r="I40">
        <v>3</v>
      </c>
      <c r="J40">
        <v>1</v>
      </c>
      <c r="K40">
        <v>6</v>
      </c>
    </row>
    <row r="41" spans="1:11" hidden="1">
      <c r="A41" s="3185" t="s">
        <v>3113</v>
      </c>
      <c r="B41" s="3185" t="s">
        <v>3060</v>
      </c>
      <c r="C41" s="3185">
        <f t="shared" si="0"/>
        <v>1510.45</v>
      </c>
      <c r="D41">
        <v>547.6</v>
      </c>
      <c r="F41">
        <v>840.35</v>
      </c>
      <c r="G41">
        <v>122.5</v>
      </c>
      <c r="H41">
        <v>2</v>
      </c>
      <c r="I41">
        <v>3</v>
      </c>
      <c r="J41">
        <v>1</v>
      </c>
      <c r="K41">
        <v>5</v>
      </c>
    </row>
    <row r="42" spans="1:11" hidden="1">
      <c r="A42" s="3185" t="s">
        <v>3114</v>
      </c>
      <c r="B42" s="3185" t="s">
        <v>3060</v>
      </c>
      <c r="C42" s="3185">
        <f t="shared" si="0"/>
        <v>1799.5</v>
      </c>
      <c r="D42">
        <v>652</v>
      </c>
      <c r="F42">
        <v>1000.5</v>
      </c>
      <c r="G42">
        <v>147</v>
      </c>
      <c r="H42">
        <v>2</v>
      </c>
      <c r="I42">
        <v>3</v>
      </c>
      <c r="J42">
        <v>1</v>
      </c>
      <c r="K42">
        <v>6</v>
      </c>
    </row>
    <row r="43" spans="1:11" hidden="1">
      <c r="A43" s="3185" t="s">
        <v>3115</v>
      </c>
      <c r="B43" s="3185" t="s">
        <v>3060</v>
      </c>
      <c r="C43" s="3185">
        <f t="shared" si="0"/>
        <v>1799.5</v>
      </c>
      <c r="D43">
        <v>652</v>
      </c>
      <c r="F43">
        <v>1000.5</v>
      </c>
      <c r="G43">
        <v>147</v>
      </c>
      <c r="H43">
        <v>2</v>
      </c>
      <c r="I43">
        <v>3</v>
      </c>
      <c r="J43">
        <v>1</v>
      </c>
      <c r="K43">
        <v>6</v>
      </c>
    </row>
    <row r="44" spans="1:11" hidden="1">
      <c r="A44" s="3185" t="s">
        <v>3116</v>
      </c>
      <c r="B44" s="3185" t="s">
        <v>3060</v>
      </c>
      <c r="C44" s="3185">
        <f t="shared" si="0"/>
        <v>1799.5</v>
      </c>
      <c r="D44">
        <v>652</v>
      </c>
      <c r="F44">
        <v>1000.5</v>
      </c>
      <c r="G44">
        <v>147</v>
      </c>
      <c r="H44">
        <v>2</v>
      </c>
      <c r="I44">
        <v>3</v>
      </c>
      <c r="J44">
        <v>1</v>
      </c>
      <c r="K44">
        <v>6</v>
      </c>
    </row>
    <row r="45" spans="1:11" hidden="1">
      <c r="A45" s="3185" t="s">
        <v>3117</v>
      </c>
      <c r="B45" s="3185" t="s">
        <v>3060</v>
      </c>
      <c r="C45" s="3185">
        <f t="shared" si="0"/>
        <v>1799.5</v>
      </c>
      <c r="D45">
        <v>652</v>
      </c>
      <c r="F45">
        <v>1000.5</v>
      </c>
      <c r="G45">
        <v>147</v>
      </c>
      <c r="H45">
        <v>2</v>
      </c>
      <c r="I45">
        <v>3</v>
      </c>
      <c r="J45">
        <v>1</v>
      </c>
      <c r="K45">
        <v>6</v>
      </c>
    </row>
    <row r="46" spans="1:11" hidden="1">
      <c r="A46" s="3185" t="s">
        <v>3118</v>
      </c>
      <c r="B46" s="3185" t="s">
        <v>3060</v>
      </c>
      <c r="C46" s="3185">
        <f t="shared" si="0"/>
        <v>1799.5</v>
      </c>
      <c r="D46">
        <v>652</v>
      </c>
      <c r="F46">
        <v>1000.5</v>
      </c>
      <c r="G46">
        <v>147</v>
      </c>
      <c r="H46">
        <v>2</v>
      </c>
      <c r="I46">
        <v>3</v>
      </c>
      <c r="J46">
        <v>1</v>
      </c>
      <c r="K46">
        <v>6</v>
      </c>
    </row>
    <row r="47" spans="1:11" hidden="1">
      <c r="A47" s="3185" t="s">
        <v>3119</v>
      </c>
      <c r="B47" s="3185" t="s">
        <v>3060</v>
      </c>
      <c r="C47" s="3185">
        <f t="shared" si="0"/>
        <v>1202.82</v>
      </c>
      <c r="D47">
        <v>435.55</v>
      </c>
      <c r="F47">
        <v>669.27</v>
      </c>
      <c r="G47">
        <v>98</v>
      </c>
      <c r="H47">
        <v>2</v>
      </c>
      <c r="I47">
        <v>3</v>
      </c>
      <c r="J47">
        <v>1</v>
      </c>
      <c r="K47">
        <v>4</v>
      </c>
    </row>
    <row r="48" spans="1:11" hidden="1">
      <c r="A48" s="3185" t="s">
        <v>3120</v>
      </c>
      <c r="B48" s="3185" t="s">
        <v>3060</v>
      </c>
      <c r="C48" s="3185">
        <f t="shared" si="0"/>
        <v>1229.8400000000001</v>
      </c>
      <c r="D48">
        <v>449.6</v>
      </c>
      <c r="F48">
        <v>682.24</v>
      </c>
      <c r="G48">
        <v>98</v>
      </c>
      <c r="H48">
        <v>2</v>
      </c>
      <c r="I48">
        <v>3</v>
      </c>
      <c r="J48">
        <v>1</v>
      </c>
      <c r="K48">
        <v>4</v>
      </c>
    </row>
    <row r="49" spans="1:11" hidden="1">
      <c r="A49" s="3185" t="s">
        <v>3121</v>
      </c>
      <c r="B49" s="3185" t="s">
        <v>3060</v>
      </c>
      <c r="C49" s="3185">
        <f t="shared" si="0"/>
        <v>1799.5</v>
      </c>
      <c r="D49">
        <v>652</v>
      </c>
      <c r="F49">
        <v>1000.5</v>
      </c>
      <c r="G49">
        <v>147</v>
      </c>
      <c r="H49">
        <v>2</v>
      </c>
      <c r="I49">
        <v>3</v>
      </c>
      <c r="J49">
        <v>1</v>
      </c>
      <c r="K49">
        <v>6</v>
      </c>
    </row>
    <row r="50" spans="1:11" hidden="1">
      <c r="A50" s="3185" t="s">
        <v>3122</v>
      </c>
      <c r="B50" s="3185" t="s">
        <v>3060</v>
      </c>
      <c r="C50" s="3185">
        <f t="shared" si="0"/>
        <v>1229.8400000000001</v>
      </c>
      <c r="D50">
        <v>449.6</v>
      </c>
      <c r="F50">
        <v>682.24</v>
      </c>
      <c r="G50">
        <v>98</v>
      </c>
      <c r="H50">
        <v>2</v>
      </c>
      <c r="I50">
        <v>3</v>
      </c>
      <c r="J50">
        <v>1</v>
      </c>
      <c r="K50">
        <v>4</v>
      </c>
    </row>
    <row r="51" spans="1:11" hidden="1">
      <c r="A51" s="3185" t="s">
        <v>3123</v>
      </c>
      <c r="B51" s="3185" t="s">
        <v>3060</v>
      </c>
      <c r="C51" s="3185">
        <f t="shared" si="0"/>
        <v>2397.12</v>
      </c>
      <c r="D51">
        <v>868.45</v>
      </c>
      <c r="F51">
        <v>1332.67</v>
      </c>
      <c r="G51">
        <v>196</v>
      </c>
      <c r="H51">
        <v>2</v>
      </c>
      <c r="I51">
        <v>3</v>
      </c>
      <c r="J51">
        <v>1</v>
      </c>
      <c r="K51">
        <v>8</v>
      </c>
    </row>
    <row r="52" spans="1:11" hidden="1">
      <c r="A52" s="3185" t="s">
        <v>3124</v>
      </c>
      <c r="B52" s="3185" t="s">
        <v>3060</v>
      </c>
      <c r="C52" s="3185">
        <f t="shared" si="0"/>
        <v>1799.5</v>
      </c>
      <c r="D52">
        <v>652</v>
      </c>
      <c r="F52">
        <v>1000.5</v>
      </c>
      <c r="G52">
        <v>147</v>
      </c>
      <c r="H52">
        <v>2</v>
      </c>
      <c r="I52">
        <v>3</v>
      </c>
      <c r="J52">
        <v>1</v>
      </c>
      <c r="K52">
        <v>6</v>
      </c>
    </row>
    <row r="53" spans="1:11" hidden="1">
      <c r="A53" s="3185" t="s">
        <v>3125</v>
      </c>
      <c r="B53" s="3185" t="s">
        <v>3060</v>
      </c>
      <c r="C53" s="3185">
        <f t="shared" si="0"/>
        <v>1799.5</v>
      </c>
      <c r="D53">
        <v>652</v>
      </c>
      <c r="F53">
        <v>1000.5</v>
      </c>
      <c r="G53">
        <v>147</v>
      </c>
      <c r="H53">
        <v>2</v>
      </c>
      <c r="I53">
        <v>3</v>
      </c>
      <c r="J53">
        <v>1</v>
      </c>
      <c r="K53">
        <v>6</v>
      </c>
    </row>
    <row r="54" spans="1:11" hidden="1">
      <c r="A54" s="3185" t="s">
        <v>3126</v>
      </c>
      <c r="B54" s="3185" t="s">
        <v>3060</v>
      </c>
      <c r="C54" s="3185">
        <f t="shared" si="0"/>
        <v>2397.12</v>
      </c>
      <c r="D54">
        <v>868.45</v>
      </c>
      <c r="F54">
        <v>1332.67</v>
      </c>
      <c r="G54">
        <v>196</v>
      </c>
      <c r="H54">
        <v>2</v>
      </c>
      <c r="I54">
        <v>3</v>
      </c>
      <c r="J54">
        <v>1</v>
      </c>
      <c r="K54">
        <v>8</v>
      </c>
    </row>
    <row r="55" spans="1:11" hidden="1">
      <c r="A55" s="3185" t="s">
        <v>3127</v>
      </c>
      <c r="B55" s="3185" t="s">
        <v>3060</v>
      </c>
      <c r="C55" s="3185">
        <f t="shared" si="0"/>
        <v>2397.12</v>
      </c>
      <c r="D55">
        <v>868.45</v>
      </c>
      <c r="F55">
        <v>1332.67</v>
      </c>
      <c r="G55">
        <v>196</v>
      </c>
      <c r="H55">
        <v>2</v>
      </c>
      <c r="I55">
        <v>3</v>
      </c>
      <c r="J55">
        <v>1</v>
      </c>
      <c r="K55">
        <v>8</v>
      </c>
    </row>
    <row r="56" spans="1:11" hidden="1">
      <c r="A56" s="3185" t="s">
        <v>3128</v>
      </c>
      <c r="B56" s="3185" t="s">
        <v>3060</v>
      </c>
      <c r="C56" s="3185">
        <f t="shared" si="0"/>
        <v>1163.2</v>
      </c>
      <c r="D56">
        <v>351.38</v>
      </c>
      <c r="F56">
        <v>762.82</v>
      </c>
      <c r="G56">
        <v>49</v>
      </c>
      <c r="H56">
        <v>2</v>
      </c>
      <c r="I56">
        <v>3</v>
      </c>
      <c r="J56">
        <v>1</v>
      </c>
      <c r="K56">
        <v>2</v>
      </c>
    </row>
    <row r="57" spans="1:11" hidden="1">
      <c r="A57" s="3185" t="s">
        <v>3129</v>
      </c>
      <c r="B57" s="3185" t="s">
        <v>3060</v>
      </c>
      <c r="C57" s="3185">
        <f t="shared" si="0"/>
        <v>1163.2</v>
      </c>
      <c r="D57">
        <v>351.38</v>
      </c>
      <c r="F57">
        <v>762.82</v>
      </c>
      <c r="G57">
        <v>49</v>
      </c>
      <c r="H57">
        <v>2</v>
      </c>
      <c r="I57">
        <v>3</v>
      </c>
      <c r="J57">
        <v>1</v>
      </c>
      <c r="K57">
        <v>2</v>
      </c>
    </row>
    <row r="58" spans="1:11" hidden="1">
      <c r="A58" s="3185" t="s">
        <v>3130</v>
      </c>
      <c r="B58" s="3185" t="s">
        <v>3060</v>
      </c>
      <c r="C58" s="3185">
        <f t="shared" si="0"/>
        <v>2397.12</v>
      </c>
      <c r="D58">
        <v>868.45</v>
      </c>
      <c r="F58">
        <v>1332.67</v>
      </c>
      <c r="G58">
        <v>196</v>
      </c>
      <c r="H58">
        <v>2</v>
      </c>
      <c r="I58">
        <v>3</v>
      </c>
      <c r="J58">
        <v>1</v>
      </c>
      <c r="K58">
        <v>8</v>
      </c>
    </row>
    <row r="59" spans="1:11" hidden="1">
      <c r="A59" s="3185" t="s">
        <v>3131</v>
      </c>
      <c r="B59" s="3185" t="s">
        <v>3060</v>
      </c>
      <c r="C59" s="3185">
        <f t="shared" si="0"/>
        <v>2397.12</v>
      </c>
      <c r="D59">
        <v>868.45</v>
      </c>
      <c r="F59">
        <v>1332.67</v>
      </c>
      <c r="G59">
        <v>196</v>
      </c>
      <c r="H59">
        <v>2</v>
      </c>
      <c r="I59">
        <v>3</v>
      </c>
      <c r="J59">
        <v>1</v>
      </c>
      <c r="K59">
        <v>8</v>
      </c>
    </row>
    <row r="60" spans="1:11" hidden="1">
      <c r="A60" s="3185" t="s">
        <v>3132</v>
      </c>
      <c r="B60" s="3185" t="s">
        <v>3060</v>
      </c>
      <c r="C60" s="3185">
        <f t="shared" si="0"/>
        <v>1799.5</v>
      </c>
      <c r="D60">
        <v>652</v>
      </c>
      <c r="F60">
        <v>1000.5</v>
      </c>
      <c r="G60">
        <v>147</v>
      </c>
      <c r="H60">
        <v>2</v>
      </c>
      <c r="I60">
        <v>3</v>
      </c>
      <c r="J60">
        <v>1</v>
      </c>
      <c r="K60">
        <v>6</v>
      </c>
    </row>
    <row r="61" spans="1:11" hidden="1">
      <c r="A61" s="3185" t="s">
        <v>3133</v>
      </c>
      <c r="B61" s="3185" t="s">
        <v>3060</v>
      </c>
      <c r="C61" s="3185">
        <f t="shared" si="0"/>
        <v>1799.5</v>
      </c>
      <c r="D61">
        <v>652</v>
      </c>
      <c r="F61">
        <v>1000.5</v>
      </c>
      <c r="G61">
        <v>147</v>
      </c>
      <c r="H61">
        <v>2</v>
      </c>
      <c r="I61">
        <v>3</v>
      </c>
      <c r="J61">
        <v>1</v>
      </c>
      <c r="K61">
        <v>6</v>
      </c>
    </row>
    <row r="62" spans="1:11" hidden="1">
      <c r="A62" s="3185" t="s">
        <v>3134</v>
      </c>
      <c r="B62" s="3185" t="s">
        <v>3060</v>
      </c>
      <c r="C62" s="3185">
        <f t="shared" si="0"/>
        <v>2397.12</v>
      </c>
      <c r="D62">
        <v>868.45</v>
      </c>
      <c r="F62">
        <v>1332.67</v>
      </c>
      <c r="G62">
        <v>196</v>
      </c>
      <c r="H62">
        <v>2</v>
      </c>
      <c r="I62">
        <v>3</v>
      </c>
      <c r="J62">
        <v>1</v>
      </c>
      <c r="K62">
        <v>8</v>
      </c>
    </row>
    <row r="63" spans="1:11" hidden="1">
      <c r="A63" s="3185" t="s">
        <v>3135</v>
      </c>
      <c r="B63" s="3185" t="s">
        <v>3060</v>
      </c>
      <c r="C63" s="3185">
        <f t="shared" si="0"/>
        <v>1228.76</v>
      </c>
      <c r="D63">
        <v>449.6</v>
      </c>
      <c r="F63">
        <v>681.16</v>
      </c>
      <c r="G63">
        <v>98</v>
      </c>
      <c r="H63">
        <v>2</v>
      </c>
      <c r="I63">
        <v>3</v>
      </c>
      <c r="J63">
        <v>1</v>
      </c>
      <c r="K63">
        <v>4</v>
      </c>
    </row>
    <row r="64" spans="1:11" hidden="1">
      <c r="A64" s="3185" t="s">
        <v>3136</v>
      </c>
      <c r="B64" s="3185" t="s">
        <v>3060</v>
      </c>
      <c r="C64" s="3185">
        <f t="shared" si="0"/>
        <v>922.90000000000009</v>
      </c>
      <c r="D64">
        <v>337.54</v>
      </c>
      <c r="F64">
        <v>511.86</v>
      </c>
      <c r="G64">
        <v>73.5</v>
      </c>
      <c r="H64">
        <v>2</v>
      </c>
      <c r="I64">
        <v>3</v>
      </c>
      <c r="J64">
        <v>1</v>
      </c>
      <c r="K64">
        <v>3</v>
      </c>
    </row>
    <row r="65" spans="1:11" hidden="1">
      <c r="A65" s="3185" t="s">
        <v>3137</v>
      </c>
      <c r="B65" s="3185" t="s">
        <v>3060</v>
      </c>
      <c r="C65" s="3185">
        <f t="shared" si="0"/>
        <v>1799.5</v>
      </c>
      <c r="D65">
        <v>652</v>
      </c>
      <c r="F65">
        <v>1000.5</v>
      </c>
      <c r="G65">
        <v>147</v>
      </c>
      <c r="H65">
        <v>2</v>
      </c>
      <c r="I65">
        <v>3</v>
      </c>
      <c r="J65">
        <v>1</v>
      </c>
      <c r="K65">
        <v>6</v>
      </c>
    </row>
    <row r="66" spans="1:11" hidden="1">
      <c r="A66" s="3185" t="s">
        <v>3138</v>
      </c>
      <c r="B66" s="3185" t="s">
        <v>3060</v>
      </c>
      <c r="C66" s="3185">
        <f t="shared" si="0"/>
        <v>2397.12</v>
      </c>
      <c r="D66">
        <v>868.45</v>
      </c>
      <c r="F66">
        <v>1332.67</v>
      </c>
      <c r="G66">
        <v>196</v>
      </c>
      <c r="H66">
        <v>2</v>
      </c>
      <c r="I66">
        <v>3</v>
      </c>
      <c r="J66">
        <v>1</v>
      </c>
      <c r="K66">
        <v>8</v>
      </c>
    </row>
    <row r="67" spans="1:11" hidden="1">
      <c r="A67" s="3185" t="s">
        <v>3139</v>
      </c>
      <c r="B67" s="3185" t="s">
        <v>3060</v>
      </c>
      <c r="C67" s="3185">
        <f t="shared" si="0"/>
        <v>1626.24</v>
      </c>
      <c r="D67">
        <v>564.07000000000005</v>
      </c>
      <c r="F67">
        <v>964.17</v>
      </c>
      <c r="G67">
        <v>98</v>
      </c>
      <c r="H67">
        <v>2</v>
      </c>
      <c r="I67">
        <v>3</v>
      </c>
      <c r="J67">
        <v>1</v>
      </c>
      <c r="K67">
        <v>4</v>
      </c>
    </row>
    <row r="68" spans="1:11" hidden="1">
      <c r="A68" s="3185" t="s">
        <v>3140</v>
      </c>
      <c r="B68" s="3185" t="s">
        <v>3060</v>
      </c>
      <c r="C68" s="3185">
        <f t="shared" ref="C68:C85" si="1">SUM(D68:G68)</f>
        <v>1626.24</v>
      </c>
      <c r="D68">
        <v>564.07000000000005</v>
      </c>
      <c r="F68">
        <v>964.17</v>
      </c>
      <c r="G68">
        <v>98</v>
      </c>
      <c r="H68">
        <v>2</v>
      </c>
      <c r="I68">
        <v>3</v>
      </c>
      <c r="J68">
        <v>1</v>
      </c>
      <c r="K68">
        <v>4</v>
      </c>
    </row>
    <row r="69" spans="1:11" hidden="1">
      <c r="A69" s="3185" t="s">
        <v>3141</v>
      </c>
      <c r="B69" s="3185" t="s">
        <v>3060</v>
      </c>
      <c r="C69" s="3185">
        <f t="shared" si="1"/>
        <v>1219.1500000000001</v>
      </c>
      <c r="D69">
        <v>423.44</v>
      </c>
      <c r="F69">
        <v>722.21</v>
      </c>
      <c r="G69">
        <v>73.5</v>
      </c>
      <c r="H69">
        <v>2</v>
      </c>
      <c r="I69">
        <v>3</v>
      </c>
      <c r="J69">
        <v>1</v>
      </c>
      <c r="K69">
        <v>3</v>
      </c>
    </row>
    <row r="70" spans="1:11" hidden="1">
      <c r="A70" s="3185" t="s">
        <v>3142</v>
      </c>
      <c r="B70" s="3185" t="s">
        <v>3060</v>
      </c>
      <c r="C70" s="3185">
        <f t="shared" si="1"/>
        <v>1799.5</v>
      </c>
      <c r="D70">
        <v>652</v>
      </c>
      <c r="F70">
        <v>1000.5</v>
      </c>
      <c r="G70">
        <v>147</v>
      </c>
      <c r="H70">
        <v>2</v>
      </c>
      <c r="I70">
        <v>3</v>
      </c>
      <c r="J70">
        <v>1</v>
      </c>
      <c r="K70">
        <v>6</v>
      </c>
    </row>
    <row r="71" spans="1:11" hidden="1">
      <c r="A71" s="3185" t="s">
        <v>3143</v>
      </c>
      <c r="B71" s="3185" t="s">
        <v>3060</v>
      </c>
      <c r="C71" s="3185">
        <f t="shared" si="1"/>
        <v>1202.82</v>
      </c>
      <c r="D71">
        <v>435.55</v>
      </c>
      <c r="F71">
        <v>669.27</v>
      </c>
      <c r="G71">
        <v>98</v>
      </c>
      <c r="H71">
        <v>2</v>
      </c>
      <c r="I71">
        <v>3</v>
      </c>
      <c r="J71">
        <v>1</v>
      </c>
      <c r="K71">
        <v>4</v>
      </c>
    </row>
    <row r="72" spans="1:11" hidden="1">
      <c r="A72" s="3185" t="s">
        <v>3144</v>
      </c>
      <c r="B72" s="3185" t="s">
        <v>3060</v>
      </c>
      <c r="C72" s="3185">
        <f t="shared" si="1"/>
        <v>1202.82</v>
      </c>
      <c r="D72">
        <v>435.55</v>
      </c>
      <c r="F72">
        <v>669.27</v>
      </c>
      <c r="G72">
        <v>98</v>
      </c>
      <c r="H72">
        <v>2</v>
      </c>
      <c r="I72">
        <v>3</v>
      </c>
      <c r="J72">
        <v>1</v>
      </c>
      <c r="K72">
        <v>4</v>
      </c>
    </row>
    <row r="73" spans="1:11" hidden="1">
      <c r="A73" s="3185" t="s">
        <v>3145</v>
      </c>
      <c r="B73" s="3185" t="s">
        <v>3060</v>
      </c>
      <c r="C73" s="3185">
        <f t="shared" si="1"/>
        <v>1799.5</v>
      </c>
      <c r="D73">
        <v>652</v>
      </c>
      <c r="F73">
        <v>1000.5</v>
      </c>
      <c r="G73">
        <v>147</v>
      </c>
      <c r="H73">
        <v>2</v>
      </c>
      <c r="I73">
        <v>3</v>
      </c>
      <c r="J73">
        <v>1</v>
      </c>
      <c r="K73">
        <v>6</v>
      </c>
    </row>
    <row r="74" spans="1:11" hidden="1">
      <c r="A74" s="3185" t="s">
        <v>3146</v>
      </c>
      <c r="B74" s="3185" t="s">
        <v>3060</v>
      </c>
      <c r="C74" s="3185">
        <f t="shared" si="1"/>
        <v>1799.5</v>
      </c>
      <c r="D74">
        <v>652</v>
      </c>
      <c r="F74">
        <v>1000.5</v>
      </c>
      <c r="G74">
        <v>147</v>
      </c>
      <c r="H74">
        <v>2</v>
      </c>
      <c r="I74">
        <v>3</v>
      </c>
      <c r="J74">
        <v>1</v>
      </c>
      <c r="K74">
        <v>6</v>
      </c>
    </row>
    <row r="75" spans="1:11" hidden="1">
      <c r="A75" s="3185" t="s">
        <v>3147</v>
      </c>
      <c r="B75" s="3185" t="s">
        <v>3060</v>
      </c>
      <c r="C75" s="3185">
        <f t="shared" si="1"/>
        <v>1202.82</v>
      </c>
      <c r="D75">
        <v>435.55</v>
      </c>
      <c r="F75">
        <v>669.27</v>
      </c>
      <c r="G75">
        <v>98</v>
      </c>
      <c r="H75">
        <v>2</v>
      </c>
      <c r="I75">
        <v>3</v>
      </c>
      <c r="J75">
        <v>1</v>
      </c>
      <c r="K75">
        <v>4</v>
      </c>
    </row>
    <row r="76" spans="1:11" hidden="1">
      <c r="A76" s="3185" t="s">
        <v>3148</v>
      </c>
      <c r="B76" s="3185" t="s">
        <v>3060</v>
      </c>
      <c r="C76" s="3185">
        <f t="shared" si="1"/>
        <v>1799.5</v>
      </c>
      <c r="D76">
        <v>652</v>
      </c>
      <c r="F76">
        <v>1000.5</v>
      </c>
      <c r="G76">
        <v>147</v>
      </c>
      <c r="H76">
        <v>2</v>
      </c>
      <c r="I76">
        <v>3</v>
      </c>
      <c r="J76">
        <v>1</v>
      </c>
      <c r="K76">
        <v>6</v>
      </c>
    </row>
    <row r="77" spans="1:11" hidden="1">
      <c r="A77" s="3185" t="s">
        <v>3149</v>
      </c>
      <c r="B77" s="3185" t="s">
        <v>3060</v>
      </c>
      <c r="C77" s="3185">
        <f t="shared" si="1"/>
        <v>1202.82</v>
      </c>
      <c r="D77">
        <v>435.55</v>
      </c>
      <c r="F77">
        <v>669.27</v>
      </c>
      <c r="G77">
        <v>98</v>
      </c>
      <c r="H77">
        <v>2</v>
      </c>
      <c r="I77">
        <v>3</v>
      </c>
      <c r="J77">
        <v>1</v>
      </c>
      <c r="K77">
        <v>4</v>
      </c>
    </row>
    <row r="78" spans="1:11" hidden="1">
      <c r="A78" s="3185" t="s">
        <v>3150</v>
      </c>
      <c r="B78" s="3185" t="s">
        <v>3060</v>
      </c>
      <c r="C78" s="3185">
        <f t="shared" si="1"/>
        <v>1203.48</v>
      </c>
      <c r="D78">
        <v>435.55</v>
      </c>
      <c r="F78">
        <v>669.93</v>
      </c>
      <c r="G78">
        <v>98</v>
      </c>
      <c r="H78">
        <v>2</v>
      </c>
      <c r="I78">
        <v>3</v>
      </c>
      <c r="J78">
        <v>1</v>
      </c>
      <c r="K78">
        <v>4</v>
      </c>
    </row>
    <row r="79" spans="1:11" hidden="1">
      <c r="A79" s="3185" t="s">
        <v>3151</v>
      </c>
      <c r="B79" s="3185" t="s">
        <v>3060</v>
      </c>
      <c r="C79" s="3185">
        <f t="shared" si="1"/>
        <v>1799.5</v>
      </c>
      <c r="D79">
        <v>652</v>
      </c>
      <c r="F79">
        <v>1000.5</v>
      </c>
      <c r="G79">
        <v>147</v>
      </c>
      <c r="H79">
        <v>2</v>
      </c>
      <c r="I79">
        <v>3</v>
      </c>
      <c r="J79">
        <v>1</v>
      </c>
      <c r="K79">
        <v>6</v>
      </c>
    </row>
    <row r="80" spans="1:11" hidden="1">
      <c r="A80" s="3185" t="s">
        <v>3152</v>
      </c>
      <c r="B80" s="3185" t="s">
        <v>3060</v>
      </c>
      <c r="C80" s="3185">
        <f t="shared" si="1"/>
        <v>1202.82</v>
      </c>
      <c r="D80">
        <v>435.55</v>
      </c>
      <c r="F80">
        <v>669.27</v>
      </c>
      <c r="G80">
        <v>98</v>
      </c>
      <c r="H80">
        <v>2</v>
      </c>
      <c r="I80">
        <v>3</v>
      </c>
      <c r="J80">
        <v>1</v>
      </c>
      <c r="K80">
        <v>4</v>
      </c>
    </row>
    <row r="81" spans="1:15" hidden="1">
      <c r="A81" s="3185" t="s">
        <v>3153</v>
      </c>
      <c r="B81" s="3185" t="s">
        <v>3060</v>
      </c>
      <c r="C81" s="3185">
        <f t="shared" si="1"/>
        <v>1799.5</v>
      </c>
      <c r="D81">
        <v>652</v>
      </c>
      <c r="F81">
        <v>1000.5</v>
      </c>
      <c r="G81">
        <v>147</v>
      </c>
      <c r="H81">
        <v>2</v>
      </c>
      <c r="I81">
        <v>3</v>
      </c>
      <c r="J81">
        <v>1</v>
      </c>
      <c r="K81">
        <v>6</v>
      </c>
    </row>
    <row r="82" spans="1:15" hidden="1">
      <c r="A82" s="3185" t="s">
        <v>3154</v>
      </c>
      <c r="B82" s="3185" t="s">
        <v>3060</v>
      </c>
      <c r="C82" s="3185">
        <f t="shared" si="1"/>
        <v>1799.5</v>
      </c>
      <c r="D82">
        <v>652</v>
      </c>
      <c r="F82">
        <v>1000.5</v>
      </c>
      <c r="G82">
        <v>147</v>
      </c>
      <c r="H82">
        <v>2</v>
      </c>
      <c r="I82">
        <v>3</v>
      </c>
      <c r="J82">
        <v>1</v>
      </c>
      <c r="K82">
        <v>6</v>
      </c>
    </row>
    <row r="83" spans="1:15" hidden="1">
      <c r="A83" s="3185" t="s">
        <v>3155</v>
      </c>
      <c r="B83" s="3185" t="s">
        <v>3060</v>
      </c>
      <c r="C83" s="3185">
        <f t="shared" si="1"/>
        <v>1202.82</v>
      </c>
      <c r="D83">
        <v>435.55</v>
      </c>
      <c r="F83">
        <v>669.27</v>
      </c>
      <c r="G83">
        <v>98</v>
      </c>
      <c r="H83">
        <v>2</v>
      </c>
      <c r="I83">
        <v>3</v>
      </c>
      <c r="J83">
        <v>1</v>
      </c>
      <c r="K83">
        <v>4</v>
      </c>
    </row>
    <row r="84" spans="1:15" hidden="1">
      <c r="A84" s="3185" t="s">
        <v>3156</v>
      </c>
      <c r="B84" s="3185" t="s">
        <v>3060</v>
      </c>
      <c r="C84" s="3185">
        <f t="shared" si="1"/>
        <v>1202.82</v>
      </c>
      <c r="D84">
        <v>435.55</v>
      </c>
      <c r="F84">
        <v>669.27</v>
      </c>
      <c r="G84">
        <v>98</v>
      </c>
      <c r="H84">
        <v>2</v>
      </c>
      <c r="I84">
        <v>3</v>
      </c>
      <c r="J84">
        <v>1</v>
      </c>
      <c r="K84">
        <v>4</v>
      </c>
    </row>
    <row r="85" spans="1:15" hidden="1">
      <c r="A85" s="3185" t="s">
        <v>3172</v>
      </c>
      <c r="B85" s="3185" t="s">
        <v>3060</v>
      </c>
      <c r="C85" s="3185">
        <f t="shared" si="1"/>
        <v>1799.5</v>
      </c>
      <c r="D85">
        <v>652</v>
      </c>
      <c r="F85">
        <v>1000.5</v>
      </c>
      <c r="G85">
        <v>147</v>
      </c>
      <c r="H85">
        <v>2</v>
      </c>
      <c r="I85">
        <v>3</v>
      </c>
      <c r="J85">
        <v>1</v>
      </c>
      <c r="K85">
        <v>6</v>
      </c>
    </row>
    <row r="86" spans="1:15" hidden="1">
      <c r="A86" s="3185" t="s">
        <v>3163</v>
      </c>
      <c r="C86" s="3185">
        <f>SUM(C3:C85)</f>
        <v>129624.39</v>
      </c>
      <c r="D86" s="3185">
        <f>SUM(D3:D85)</f>
        <v>46712.660000000018</v>
      </c>
      <c r="E86" s="3185">
        <f>SUM(E3:E85)</f>
        <v>0</v>
      </c>
      <c r="F86" s="3185">
        <f>SUM(F3:F85)</f>
        <v>72621.729999999967</v>
      </c>
      <c r="G86" s="3185">
        <f>SUM(G3:G85)</f>
        <v>10290</v>
      </c>
      <c r="K86">
        <f>SUM(K3:K85)</f>
        <v>420</v>
      </c>
    </row>
    <row r="87" spans="1:15" hidden="1">
      <c r="A87" s="3185" t="s">
        <v>3164</v>
      </c>
      <c r="B87" s="3185" t="s">
        <v>3165</v>
      </c>
      <c r="C87" s="3185">
        <f>E87+G87</f>
        <v>450</v>
      </c>
      <c r="E87">
        <v>300</v>
      </c>
      <c r="G87">
        <v>150</v>
      </c>
    </row>
    <row r="88" spans="1:15" hidden="1">
      <c r="A88" s="3185" t="s">
        <v>3166</v>
      </c>
      <c r="C88">
        <f>SUM(D88:G88)</f>
        <v>50636.86</v>
      </c>
      <c r="E88">
        <f>29+26+47+27</f>
        <v>129</v>
      </c>
      <c r="F88">
        <v>46509.14</v>
      </c>
      <c r="G88">
        <f>225+225+217.5+217.5+300+300+2513.72</f>
        <v>3998.72</v>
      </c>
    </row>
    <row r="89" spans="1:15" hidden="1">
      <c r="C89" s="3186">
        <f>C86+C87+C88</f>
        <v>180711.25</v>
      </c>
      <c r="F89">
        <v>10280</v>
      </c>
    </row>
    <row r="90" spans="1:15" hidden="1"/>
    <row r="91" spans="1:15" hidden="1">
      <c r="M91">
        <f>C94/G94</f>
        <v>0.64323254210551084</v>
      </c>
    </row>
    <row r="92" spans="1:15" hidden="1">
      <c r="B92" s="3393" t="s">
        <v>3163</v>
      </c>
      <c r="C92" s="3393" t="s">
        <v>3062</v>
      </c>
      <c r="D92" s="3393"/>
      <c r="E92" s="3393"/>
      <c r="F92" s="3393"/>
      <c r="G92" s="3393" t="s">
        <v>3064</v>
      </c>
      <c r="H92" s="3393"/>
      <c r="I92" s="3393"/>
      <c r="J92" s="3393"/>
      <c r="K92" s="3393"/>
    </row>
    <row r="93" spans="1:15" hidden="1">
      <c r="B93" s="3394"/>
      <c r="C93" s="3188" t="s">
        <v>3167</v>
      </c>
      <c r="D93" s="3188" t="s">
        <v>3168</v>
      </c>
      <c r="E93" s="3188" t="s">
        <v>3184</v>
      </c>
      <c r="F93" s="3188" t="s">
        <v>3185</v>
      </c>
      <c r="G93" s="3188" t="s">
        <v>3073</v>
      </c>
      <c r="H93" s="3188" t="s">
        <v>3170</v>
      </c>
      <c r="I93" s="3188" t="s">
        <v>3168</v>
      </c>
      <c r="J93" s="3191" t="s">
        <v>3186</v>
      </c>
      <c r="K93" s="3191" t="s">
        <v>3185</v>
      </c>
      <c r="M93" s="3185" t="s">
        <v>3171</v>
      </c>
    </row>
    <row r="94" spans="1:15" hidden="1">
      <c r="B94" s="3189">
        <f>SUM(C94:K94)</f>
        <v>170302.24999999997</v>
      </c>
      <c r="C94" s="3189">
        <f>D86</f>
        <v>46712.660000000018</v>
      </c>
      <c r="D94" s="3189">
        <f>E87</f>
        <v>300</v>
      </c>
      <c r="E94" s="3189"/>
      <c r="F94" s="3189"/>
      <c r="G94" s="3189">
        <f>F86</f>
        <v>72621.729999999967</v>
      </c>
      <c r="H94" s="3189">
        <f>F88-F89</f>
        <v>36229.14</v>
      </c>
      <c r="I94" s="3189">
        <f>G87+G86+G88</f>
        <v>14438.72</v>
      </c>
      <c r="J94" s="3189"/>
      <c r="K94" s="3189"/>
      <c r="L94" s="3185" t="s">
        <v>3221</v>
      </c>
      <c r="M94">
        <f>F89+E88</f>
        <v>10409</v>
      </c>
      <c r="O94" s="3186">
        <f>M94+B94</f>
        <v>180711.24999999997</v>
      </c>
    </row>
    <row r="95" spans="1:15" hidden="1">
      <c r="B95" s="3189">
        <f>SUM(C95:K95)</f>
        <v>58492.750000000007</v>
      </c>
      <c r="C95" s="3189">
        <f>D109</f>
        <v>42524.340000000011</v>
      </c>
      <c r="D95" s="3189">
        <f>E109</f>
        <v>168</v>
      </c>
      <c r="E95" s="3189">
        <f>F109</f>
        <v>1870</v>
      </c>
      <c r="F95" s="3189">
        <f>G109</f>
        <v>250</v>
      </c>
      <c r="G95" s="3189">
        <f>H109</f>
        <v>10172.129999999999</v>
      </c>
      <c r="H95" s="3189"/>
      <c r="I95" s="3189">
        <f>I109</f>
        <v>3228.2799999999997</v>
      </c>
      <c r="J95" s="3189">
        <v>50</v>
      </c>
      <c r="K95" s="3189">
        <v>230</v>
      </c>
    </row>
    <row r="96" spans="1:15" hidden="1">
      <c r="B96" s="3189">
        <f>SUM(B94:B95)</f>
        <v>228794.99999999997</v>
      </c>
      <c r="C96" s="3189">
        <f t="shared" ref="C96:K96" si="2">SUM(C94:C95)</f>
        <v>89237.000000000029</v>
      </c>
      <c r="D96" s="3189">
        <f t="shared" si="2"/>
        <v>468</v>
      </c>
      <c r="E96" s="3189">
        <f t="shared" si="2"/>
        <v>1870</v>
      </c>
      <c r="F96" s="3189">
        <f t="shared" si="2"/>
        <v>250</v>
      </c>
      <c r="G96" s="3189">
        <f t="shared" si="2"/>
        <v>82793.859999999971</v>
      </c>
      <c r="H96" s="3189">
        <f t="shared" si="2"/>
        <v>36229.14</v>
      </c>
      <c r="I96" s="3189">
        <f t="shared" si="2"/>
        <v>17667</v>
      </c>
      <c r="J96" s="3189">
        <f t="shared" si="2"/>
        <v>50</v>
      </c>
      <c r="K96" s="3189">
        <f t="shared" si="2"/>
        <v>230</v>
      </c>
      <c r="M96" s="3233"/>
    </row>
    <row r="97" spans="1:16" hidden="1">
      <c r="B97" s="3190"/>
      <c r="C97" s="3190"/>
      <c r="D97" s="3190"/>
      <c r="E97" s="3190"/>
      <c r="F97" s="3190"/>
      <c r="G97" s="3190"/>
    </row>
    <row r="98" spans="1:16" hidden="1">
      <c r="A98" s="3188" t="s">
        <v>3173</v>
      </c>
      <c r="B98" s="3189"/>
      <c r="C98" s="3189"/>
      <c r="D98" s="3188" t="s">
        <v>3062</v>
      </c>
      <c r="E98" s="3188"/>
      <c r="F98" s="3188"/>
      <c r="G98" s="3188"/>
      <c r="H98" s="3188" t="s">
        <v>3064</v>
      </c>
      <c r="I98" s="3188"/>
      <c r="J98" s="3189"/>
      <c r="K98" s="3189"/>
      <c r="L98" s="3189"/>
      <c r="M98" s="3189"/>
      <c r="N98" s="3189"/>
      <c r="O98" s="3189"/>
      <c r="P98" s="3189"/>
    </row>
    <row r="99" spans="1:16" hidden="1">
      <c r="A99" s="3188"/>
      <c r="B99" s="3189"/>
      <c r="C99" s="3188" t="s">
        <v>3163</v>
      </c>
      <c r="D99" s="3188" t="s">
        <v>3069</v>
      </c>
      <c r="E99" s="3188" t="s">
        <v>3177</v>
      </c>
      <c r="F99" s="3188" t="s">
        <v>3178</v>
      </c>
      <c r="G99" s="3188" t="s">
        <v>3179</v>
      </c>
      <c r="H99" s="3188" t="s">
        <v>3073</v>
      </c>
      <c r="I99" s="3188" t="s">
        <v>3071</v>
      </c>
      <c r="J99" s="3188" t="s">
        <v>3181</v>
      </c>
      <c r="K99" s="3188" t="s">
        <v>3180</v>
      </c>
      <c r="L99" s="3188" t="s">
        <v>3065</v>
      </c>
      <c r="M99" s="3188" t="s">
        <v>3066</v>
      </c>
      <c r="N99" s="3188" t="s">
        <v>3067</v>
      </c>
      <c r="O99" s="3188" t="s">
        <v>3068</v>
      </c>
      <c r="P99" s="3188" t="s">
        <v>3021</v>
      </c>
    </row>
    <row r="100" spans="1:16" hidden="1">
      <c r="A100" s="3188" t="s">
        <v>3174</v>
      </c>
      <c r="B100" s="3188" t="s">
        <v>3176</v>
      </c>
      <c r="C100" s="3189">
        <f>SUM(D100:K100)</f>
        <v>9627.16</v>
      </c>
      <c r="D100" s="3189">
        <v>6972.46</v>
      </c>
      <c r="E100" s="3189"/>
      <c r="F100" s="3189"/>
      <c r="G100" s="3189"/>
      <c r="H100" s="3189">
        <v>1536.46</v>
      </c>
      <c r="I100" s="3189">
        <f>228.24+780+50+30+30</f>
        <v>1118.24</v>
      </c>
      <c r="J100" s="3189"/>
      <c r="K100" s="3189"/>
      <c r="L100" s="3189">
        <v>8</v>
      </c>
      <c r="M100" s="3189">
        <v>3</v>
      </c>
      <c r="N100" s="3189">
        <v>1</v>
      </c>
      <c r="O100" s="3189">
        <v>48</v>
      </c>
      <c r="P100" s="3189">
        <v>6115.4</v>
      </c>
    </row>
    <row r="101" spans="1:16" hidden="1">
      <c r="A101" s="3188" t="s">
        <v>3157</v>
      </c>
      <c r="B101" s="3188" t="s">
        <v>3176</v>
      </c>
      <c r="C101" s="3189">
        <f t="shared" ref="C101:C108" si="3">SUM(D101:K101)</f>
        <v>8835.02</v>
      </c>
      <c r="D101" s="3189">
        <v>6984.06</v>
      </c>
      <c r="E101" s="3189"/>
      <c r="F101" s="3189"/>
      <c r="G101" s="3189"/>
      <c r="H101" s="3189">
        <v>1622.72</v>
      </c>
      <c r="I101" s="3189">
        <v>228.24</v>
      </c>
      <c r="J101" s="3189"/>
      <c r="K101" s="3189"/>
      <c r="L101" s="3189">
        <v>8</v>
      </c>
      <c r="M101" s="3189">
        <v>3</v>
      </c>
      <c r="N101" s="3189">
        <v>1</v>
      </c>
      <c r="O101" s="3189">
        <v>48</v>
      </c>
      <c r="P101" s="3189">
        <v>6115.4</v>
      </c>
    </row>
    <row r="102" spans="1:16" hidden="1">
      <c r="A102" s="3188" t="s">
        <v>3158</v>
      </c>
      <c r="B102" s="3188" t="s">
        <v>3176</v>
      </c>
      <c r="C102" s="3189">
        <f t="shared" si="3"/>
        <v>8835.07</v>
      </c>
      <c r="D102" s="3189">
        <v>6975.06</v>
      </c>
      <c r="E102" s="3189"/>
      <c r="F102" s="3189"/>
      <c r="G102" s="3189"/>
      <c r="H102" s="3189">
        <v>1631.77</v>
      </c>
      <c r="I102" s="3189">
        <v>228.24</v>
      </c>
      <c r="J102" s="3189"/>
      <c r="K102" s="3189"/>
      <c r="L102" s="3189">
        <v>8</v>
      </c>
      <c r="M102" s="3189">
        <v>3</v>
      </c>
      <c r="N102" s="3189">
        <v>1</v>
      </c>
      <c r="O102" s="3189">
        <v>48</v>
      </c>
      <c r="P102" s="3189">
        <v>6115.4</v>
      </c>
    </row>
    <row r="103" spans="1:16" hidden="1">
      <c r="A103" s="3188" t="s">
        <v>3159</v>
      </c>
      <c r="B103" s="3188" t="s">
        <v>3176</v>
      </c>
      <c r="C103" s="3189">
        <f t="shared" si="3"/>
        <v>7910.56</v>
      </c>
      <c r="D103" s="3189">
        <v>4540.51</v>
      </c>
      <c r="E103" s="3189">
        <f>78</f>
        <v>78</v>
      </c>
      <c r="F103" s="3189">
        <f>450+200</f>
        <v>650</v>
      </c>
      <c r="G103" s="3189">
        <f>50+200</f>
        <v>250</v>
      </c>
      <c r="H103" s="3189">
        <v>1294.5899999999999</v>
      </c>
      <c r="I103" s="3189">
        <v>867.46</v>
      </c>
      <c r="J103" s="3189"/>
      <c r="K103" s="3189">
        <v>230</v>
      </c>
      <c r="L103" s="3189">
        <v>8</v>
      </c>
      <c r="M103" s="3189">
        <v>3</v>
      </c>
      <c r="N103" s="3189">
        <v>1</v>
      </c>
      <c r="O103" s="3189">
        <v>30</v>
      </c>
      <c r="P103" s="3189">
        <v>4191.8999999999996</v>
      </c>
    </row>
    <row r="104" spans="1:16" hidden="1">
      <c r="A104" s="3188" t="s">
        <v>3160</v>
      </c>
      <c r="B104" s="3188" t="s">
        <v>3176</v>
      </c>
      <c r="C104" s="3189">
        <f t="shared" si="3"/>
        <v>6088.81</v>
      </c>
      <c r="D104" s="3189">
        <v>4545.8500000000004</v>
      </c>
      <c r="E104" s="3189">
        <f>70+20</f>
        <v>90</v>
      </c>
      <c r="F104" s="3189">
        <f>100+120</f>
        <v>220</v>
      </c>
      <c r="G104" s="3189"/>
      <c r="H104" s="3189">
        <v>897.65</v>
      </c>
      <c r="I104" s="3189">
        <v>285.31</v>
      </c>
      <c r="J104" s="3189">
        <v>50</v>
      </c>
      <c r="K104" s="3189"/>
      <c r="L104" s="3189">
        <v>8</v>
      </c>
      <c r="M104" s="3189">
        <v>3</v>
      </c>
      <c r="N104" s="3189">
        <v>1</v>
      </c>
      <c r="O104" s="3189">
        <v>30</v>
      </c>
      <c r="P104" s="3189">
        <v>4191.8999999999996</v>
      </c>
    </row>
    <row r="105" spans="1:16" hidden="1">
      <c r="A105" s="3188" t="s">
        <v>3161</v>
      </c>
      <c r="B105" s="3188" t="s">
        <v>3176</v>
      </c>
      <c r="C105" s="3189">
        <f t="shared" si="3"/>
        <v>5398.7100000000009</v>
      </c>
      <c r="D105" s="3189">
        <v>4168.8</v>
      </c>
      <c r="E105" s="3189"/>
      <c r="F105" s="3189"/>
      <c r="G105" s="3189"/>
      <c r="H105" s="3189">
        <v>1062.98</v>
      </c>
      <c r="I105" s="3189">
        <v>166.93</v>
      </c>
      <c r="J105" s="3189"/>
      <c r="K105" s="3189"/>
      <c r="L105" s="3189">
        <v>8</v>
      </c>
      <c r="M105" s="3189">
        <v>3</v>
      </c>
      <c r="N105" s="3189">
        <v>1</v>
      </c>
      <c r="O105" s="3189">
        <v>28</v>
      </c>
      <c r="P105" s="3189">
        <v>1364</v>
      </c>
    </row>
    <row r="106" spans="1:16" hidden="1">
      <c r="A106" s="3188" t="s">
        <v>3162</v>
      </c>
      <c r="B106" s="3188" t="s">
        <v>3176</v>
      </c>
      <c r="C106" s="3189">
        <f t="shared" si="3"/>
        <v>5398.7100000000009</v>
      </c>
      <c r="D106" s="3189">
        <v>4168.8</v>
      </c>
      <c r="E106" s="3189"/>
      <c r="F106" s="3189"/>
      <c r="G106" s="3189"/>
      <c r="H106" s="3189">
        <v>1062.98</v>
      </c>
      <c r="I106" s="3189">
        <v>166.93</v>
      </c>
      <c r="J106" s="3189"/>
      <c r="K106" s="3189"/>
      <c r="L106" s="3189">
        <v>8</v>
      </c>
      <c r="M106" s="3189">
        <v>3</v>
      </c>
      <c r="N106" s="3189">
        <v>1</v>
      </c>
      <c r="O106" s="3189">
        <v>28</v>
      </c>
      <c r="P106" s="3189">
        <v>0</v>
      </c>
    </row>
    <row r="107" spans="1:16" hidden="1">
      <c r="A107" s="3188" t="s">
        <v>3175</v>
      </c>
      <c r="B107" s="3188" t="s">
        <v>3176</v>
      </c>
      <c r="C107" s="3189">
        <f t="shared" si="3"/>
        <v>5398.7100000000009</v>
      </c>
      <c r="D107" s="3189">
        <v>4168.8</v>
      </c>
      <c r="E107" s="3189"/>
      <c r="F107" s="3189"/>
      <c r="G107" s="3189"/>
      <c r="H107" s="3189">
        <v>1062.98</v>
      </c>
      <c r="I107" s="3189">
        <v>166.93</v>
      </c>
      <c r="J107" s="3189"/>
      <c r="K107" s="3189"/>
      <c r="L107" s="3189">
        <v>8</v>
      </c>
      <c r="M107" s="3189">
        <v>3</v>
      </c>
      <c r="N107" s="3189">
        <v>1</v>
      </c>
      <c r="O107" s="3189">
        <v>28</v>
      </c>
      <c r="P107" s="3189">
        <v>3582.1</v>
      </c>
    </row>
    <row r="108" spans="1:16" hidden="1">
      <c r="A108" s="3188" t="s">
        <v>3182</v>
      </c>
      <c r="B108" s="3188" t="s">
        <v>3183</v>
      </c>
      <c r="C108" s="3189">
        <f t="shared" si="3"/>
        <v>1000</v>
      </c>
      <c r="D108" s="3189"/>
      <c r="E108" s="3189"/>
      <c r="F108" s="3189">
        <v>1000</v>
      </c>
      <c r="G108" s="3189"/>
      <c r="H108" s="3189"/>
      <c r="I108" s="3189"/>
      <c r="J108" s="3189"/>
      <c r="K108" s="3189"/>
      <c r="L108" s="3189"/>
      <c r="M108" s="3189"/>
      <c r="N108" s="3189"/>
      <c r="O108" s="3189"/>
      <c r="P108" s="3189"/>
    </row>
    <row r="109" spans="1:16" hidden="1">
      <c r="A109" s="3188" t="s">
        <v>3163</v>
      </c>
      <c r="B109" s="3189"/>
      <c r="C109" s="3189">
        <f>SUM(C100:C108)</f>
        <v>58492.749999999993</v>
      </c>
      <c r="D109" s="3189">
        <f>SUM(D100:D108)</f>
        <v>42524.340000000011</v>
      </c>
      <c r="E109" s="3189">
        <f>SUM(E100:E108)</f>
        <v>168</v>
      </c>
      <c r="F109" s="3189">
        <f t="shared" ref="F109:K109" si="4">SUM(F100:F108)</f>
        <v>1870</v>
      </c>
      <c r="G109" s="3189">
        <f t="shared" si="4"/>
        <v>250</v>
      </c>
      <c r="H109" s="3189">
        <f t="shared" si="4"/>
        <v>10172.129999999999</v>
      </c>
      <c r="I109" s="3189">
        <f t="shared" si="4"/>
        <v>3228.2799999999997</v>
      </c>
      <c r="J109" s="3189">
        <f t="shared" si="4"/>
        <v>50</v>
      </c>
      <c r="K109" s="3189">
        <f t="shared" si="4"/>
        <v>230</v>
      </c>
      <c r="L109" s="3189"/>
      <c r="M109" s="3189"/>
      <c r="N109" s="3189"/>
      <c r="O109" s="3189"/>
      <c r="P109" s="3189">
        <f>SUM(P100:P108)</f>
        <v>31676.1</v>
      </c>
    </row>
    <row r="111" spans="1:16" s="3249" customFormat="1">
      <c r="B111" s="3250" t="s">
        <v>3219</v>
      </c>
      <c r="C111" s="3249">
        <v>64089.62</v>
      </c>
    </row>
    <row r="112" spans="1:16">
      <c r="B112" s="3204" t="s">
        <v>3220</v>
      </c>
      <c r="C112">
        <v>91043.21</v>
      </c>
    </row>
    <row r="113" spans="1:13">
      <c r="B113" s="3204"/>
      <c r="C113" s="3189"/>
      <c r="D113" s="3188" t="s">
        <v>3062</v>
      </c>
      <c r="E113" s="3189"/>
      <c r="F113" s="3188" t="s">
        <v>3226</v>
      </c>
      <c r="G113" s="3189"/>
      <c r="H113" s="3189"/>
      <c r="I113" s="3189"/>
    </row>
    <row r="114" spans="1:13">
      <c r="B114" s="3187" t="s">
        <v>3227</v>
      </c>
      <c r="C114" s="3188" t="s">
        <v>3217</v>
      </c>
      <c r="D114" s="3188" t="s">
        <v>3218</v>
      </c>
      <c r="E114" s="3188" t="s">
        <v>3168</v>
      </c>
      <c r="F114" s="3188" t="s">
        <v>3222</v>
      </c>
      <c r="G114" s="3188" t="s">
        <v>3223</v>
      </c>
      <c r="H114" s="3188" t="s">
        <v>3168</v>
      </c>
      <c r="I114" s="3188" t="s">
        <v>3224</v>
      </c>
      <c r="L114" s="3185" t="s">
        <v>3171</v>
      </c>
    </row>
    <row r="115" spans="1:13">
      <c r="B115" s="3174">
        <f>SUM(C115:I115)</f>
        <v>168826</v>
      </c>
      <c r="C115" s="3188">
        <f>64616-D115</f>
        <v>40845.619999999995</v>
      </c>
      <c r="D115" s="3189">
        <v>23770.38</v>
      </c>
      <c r="E115" s="3189">
        <f>78</f>
        <v>78</v>
      </c>
      <c r="F115" s="3189">
        <v>64403</v>
      </c>
      <c r="G115" s="3189">
        <f>990</f>
        <v>990</v>
      </c>
      <c r="H115" s="3189">
        <f>757+10933</f>
        <v>11690</v>
      </c>
      <c r="I115" s="3189">
        <f>31217-4168</f>
        <v>27049</v>
      </c>
      <c r="K115" s="3185" t="s">
        <v>3225</v>
      </c>
      <c r="L115">
        <f>36+4168</f>
        <v>4204</v>
      </c>
      <c r="M115">
        <f>B115+L115</f>
        <v>173030</v>
      </c>
    </row>
    <row r="116" spans="1:13">
      <c r="C116" s="3185" t="s">
        <v>3273</v>
      </c>
      <c r="D116" s="3185" t="s">
        <v>3274</v>
      </c>
      <c r="E116" s="3185" t="s">
        <v>3275</v>
      </c>
      <c r="F116" s="3232" t="s">
        <v>3276</v>
      </c>
      <c r="K116">
        <f>I115/684</f>
        <v>39.545321637426902</v>
      </c>
    </row>
    <row r="117" spans="1:13">
      <c r="C117">
        <v>37366</v>
      </c>
      <c r="D117">
        <v>27250</v>
      </c>
      <c r="E117">
        <v>3356</v>
      </c>
      <c r="F117">
        <f>F115-E117</f>
        <v>61047</v>
      </c>
    </row>
    <row r="119" spans="1:13">
      <c r="C119">
        <f>C111+C112</f>
        <v>155132.83000000002</v>
      </c>
    </row>
    <row r="120" spans="1:13">
      <c r="A120" s="3187" t="s">
        <v>3302</v>
      </c>
      <c r="B120" s="3187" t="s">
        <v>3312</v>
      </c>
      <c r="C120" s="3174"/>
      <c r="D120" s="3187" t="s">
        <v>3061</v>
      </c>
      <c r="E120" s="3187"/>
      <c r="F120" s="3187" t="s">
        <v>3063</v>
      </c>
      <c r="G120" s="3187"/>
      <c r="H120" s="3174"/>
      <c r="I120" s="3174"/>
      <c r="J120" s="3174"/>
      <c r="K120" s="3174"/>
    </row>
    <row r="121" spans="1:13">
      <c r="A121" s="3187"/>
      <c r="B121" s="3174"/>
      <c r="C121" s="3187" t="s">
        <v>3310</v>
      </c>
      <c r="D121" s="3187" t="s">
        <v>923</v>
      </c>
      <c r="E121" s="3187" t="s">
        <v>3303</v>
      </c>
      <c r="F121" s="3187" t="s">
        <v>3072</v>
      </c>
      <c r="G121" s="3187" t="s">
        <v>3304</v>
      </c>
      <c r="H121" s="3187" t="s">
        <v>3305</v>
      </c>
      <c r="I121" s="3187" t="s">
        <v>3306</v>
      </c>
      <c r="J121" s="3187" t="s">
        <v>3307</v>
      </c>
      <c r="K121" s="3187" t="s">
        <v>3308</v>
      </c>
    </row>
    <row r="122" spans="1:13">
      <c r="A122" s="3187" t="s">
        <v>3311</v>
      </c>
      <c r="B122" s="3187" t="s">
        <v>3309</v>
      </c>
      <c r="C122">
        <f>D122+E122+F122+G122</f>
        <v>1226.19</v>
      </c>
      <c r="D122">
        <v>423.44</v>
      </c>
      <c r="F122">
        <v>729.25</v>
      </c>
      <c r="G122">
        <v>73.5</v>
      </c>
      <c r="H122">
        <v>2</v>
      </c>
      <c r="I122">
        <v>3</v>
      </c>
      <c r="J122">
        <v>1</v>
      </c>
      <c r="K122">
        <v>3</v>
      </c>
    </row>
    <row r="123" spans="1:13">
      <c r="A123" s="3185" t="s">
        <v>3313</v>
      </c>
      <c r="B123" s="3187" t="s">
        <v>3309</v>
      </c>
      <c r="C123">
        <f t="shared" ref="C123:C179" si="5">D123+E123+F123+G123</f>
        <v>2411.12</v>
      </c>
      <c r="D123">
        <v>868.45</v>
      </c>
      <c r="F123">
        <v>1346.67</v>
      </c>
      <c r="G123">
        <v>196</v>
      </c>
      <c r="H123">
        <v>2</v>
      </c>
      <c r="I123">
        <v>3</v>
      </c>
      <c r="J123">
        <v>1</v>
      </c>
      <c r="K123">
        <v>8</v>
      </c>
    </row>
    <row r="124" spans="1:13">
      <c r="A124" s="3187" t="s">
        <v>3314</v>
      </c>
      <c r="B124" s="3187" t="s">
        <v>3309</v>
      </c>
      <c r="C124">
        <f t="shared" si="5"/>
        <v>2411.12</v>
      </c>
      <c r="D124">
        <v>868.45</v>
      </c>
      <c r="F124">
        <v>1346.67</v>
      </c>
      <c r="G124">
        <v>196</v>
      </c>
      <c r="H124">
        <v>2</v>
      </c>
      <c r="I124">
        <v>3</v>
      </c>
      <c r="J124">
        <v>1</v>
      </c>
      <c r="K124">
        <v>8</v>
      </c>
    </row>
    <row r="125" spans="1:13">
      <c r="A125" s="3187" t="s">
        <v>3315</v>
      </c>
      <c r="B125" s="3187" t="s">
        <v>3309</v>
      </c>
      <c r="C125">
        <f t="shared" si="5"/>
        <v>2411.12</v>
      </c>
      <c r="D125">
        <v>868.45</v>
      </c>
      <c r="F125">
        <v>1346.67</v>
      </c>
      <c r="G125">
        <v>196</v>
      </c>
      <c r="H125">
        <v>2</v>
      </c>
      <c r="I125">
        <v>3</v>
      </c>
      <c r="J125">
        <v>1</v>
      </c>
      <c r="K125">
        <v>8</v>
      </c>
    </row>
    <row r="126" spans="1:13">
      <c r="A126" s="3187" t="s">
        <v>3316</v>
      </c>
      <c r="B126" s="3187" t="s">
        <v>3309</v>
      </c>
      <c r="C126">
        <f t="shared" si="5"/>
        <v>932.81</v>
      </c>
      <c r="D126">
        <v>337.54</v>
      </c>
      <c r="F126">
        <v>521.77</v>
      </c>
      <c r="G126">
        <v>73.5</v>
      </c>
      <c r="H126">
        <v>2</v>
      </c>
      <c r="I126">
        <v>3</v>
      </c>
      <c r="J126">
        <v>1</v>
      </c>
      <c r="K126">
        <v>3</v>
      </c>
    </row>
    <row r="127" spans="1:13">
      <c r="A127" s="3187" t="s">
        <v>3317</v>
      </c>
      <c r="B127" s="3187" t="s">
        <v>3309</v>
      </c>
      <c r="C127">
        <f t="shared" si="5"/>
        <v>1241.49</v>
      </c>
      <c r="D127">
        <v>449.6</v>
      </c>
      <c r="F127">
        <v>693.89</v>
      </c>
      <c r="G127">
        <v>98</v>
      </c>
      <c r="H127">
        <v>2</v>
      </c>
      <c r="I127">
        <v>3</v>
      </c>
      <c r="J127">
        <v>1</v>
      </c>
      <c r="K127">
        <v>4</v>
      </c>
    </row>
    <row r="128" spans="1:13">
      <c r="A128" s="3187" t="s">
        <v>3318</v>
      </c>
      <c r="B128" s="3187" t="s">
        <v>3309</v>
      </c>
      <c r="C128">
        <f t="shared" si="5"/>
        <v>2411.12</v>
      </c>
      <c r="D128">
        <v>868.45</v>
      </c>
      <c r="F128">
        <v>1346.67</v>
      </c>
      <c r="G128">
        <v>196</v>
      </c>
      <c r="H128">
        <v>2</v>
      </c>
      <c r="I128">
        <v>3</v>
      </c>
      <c r="J128">
        <v>1</v>
      </c>
      <c r="K128">
        <v>8</v>
      </c>
    </row>
    <row r="129" spans="1:11">
      <c r="A129" s="3187" t="s">
        <v>3319</v>
      </c>
      <c r="B129" s="3187" t="s">
        <v>3309</v>
      </c>
      <c r="C129">
        <f t="shared" si="5"/>
        <v>2411.12</v>
      </c>
      <c r="D129">
        <v>868.45</v>
      </c>
      <c r="F129">
        <v>1346.67</v>
      </c>
      <c r="G129">
        <v>196</v>
      </c>
      <c r="H129">
        <v>2</v>
      </c>
      <c r="I129">
        <v>3</v>
      </c>
      <c r="J129">
        <v>1</v>
      </c>
      <c r="K129">
        <v>8</v>
      </c>
    </row>
    <row r="130" spans="1:11">
      <c r="A130" s="3187" t="s">
        <v>3320</v>
      </c>
      <c r="B130" s="3187" t="s">
        <v>3309</v>
      </c>
      <c r="C130">
        <f t="shared" si="5"/>
        <v>2411.12</v>
      </c>
      <c r="D130">
        <v>868.45</v>
      </c>
      <c r="F130">
        <v>1346.67</v>
      </c>
      <c r="G130">
        <v>196</v>
      </c>
      <c r="H130">
        <v>2</v>
      </c>
      <c r="I130">
        <v>3</v>
      </c>
      <c r="J130">
        <v>1</v>
      </c>
      <c r="K130">
        <v>8</v>
      </c>
    </row>
    <row r="131" spans="1:11">
      <c r="A131" s="3187" t="s">
        <v>3321</v>
      </c>
      <c r="B131" s="3187" t="s">
        <v>3309</v>
      </c>
      <c r="C131">
        <f t="shared" si="5"/>
        <v>2411.12</v>
      </c>
      <c r="D131">
        <v>868.45</v>
      </c>
      <c r="F131">
        <v>1346.67</v>
      </c>
      <c r="G131">
        <v>196</v>
      </c>
      <c r="H131">
        <v>2</v>
      </c>
      <c r="I131">
        <v>3</v>
      </c>
      <c r="J131">
        <v>1</v>
      </c>
      <c r="K131">
        <v>8</v>
      </c>
    </row>
    <row r="132" spans="1:11">
      <c r="A132" s="3187" t="s">
        <v>3322</v>
      </c>
      <c r="B132" s="3187" t="s">
        <v>3309</v>
      </c>
      <c r="C132">
        <f t="shared" si="5"/>
        <v>1632.62</v>
      </c>
      <c r="D132">
        <v>564.07000000000005</v>
      </c>
      <c r="F132">
        <v>970.55</v>
      </c>
      <c r="G132">
        <v>98</v>
      </c>
      <c r="H132">
        <v>2</v>
      </c>
      <c r="I132">
        <v>3</v>
      </c>
      <c r="J132">
        <v>1</v>
      </c>
      <c r="K132">
        <v>4</v>
      </c>
    </row>
    <row r="133" spans="1:11">
      <c r="A133" s="3187" t="s">
        <v>3323</v>
      </c>
      <c r="B133" s="3187" t="s">
        <v>3309</v>
      </c>
      <c r="C133">
        <f t="shared" si="5"/>
        <v>1632.62</v>
      </c>
      <c r="D133">
        <v>564.07000000000005</v>
      </c>
      <c r="F133">
        <v>970.55</v>
      </c>
      <c r="G133">
        <v>98</v>
      </c>
      <c r="H133">
        <v>2</v>
      </c>
      <c r="I133">
        <v>3</v>
      </c>
      <c r="J133">
        <v>1</v>
      </c>
      <c r="K133">
        <v>4</v>
      </c>
    </row>
    <row r="134" spans="1:11">
      <c r="A134" s="3187" t="s">
        <v>3324</v>
      </c>
      <c r="B134" s="3187" t="s">
        <v>3309</v>
      </c>
      <c r="C134">
        <f t="shared" si="5"/>
        <v>2407.25</v>
      </c>
      <c r="D134">
        <v>868.45</v>
      </c>
      <c r="F134">
        <v>1342.8</v>
      </c>
      <c r="G134">
        <v>196</v>
      </c>
      <c r="H134">
        <v>2</v>
      </c>
      <c r="I134">
        <v>3</v>
      </c>
      <c r="J134">
        <v>1</v>
      </c>
      <c r="K134">
        <v>8</v>
      </c>
    </row>
    <row r="135" spans="1:11">
      <c r="A135" s="3187" t="s">
        <v>3325</v>
      </c>
      <c r="B135" s="3187" t="s">
        <v>3309</v>
      </c>
      <c r="C135">
        <f t="shared" si="5"/>
        <v>688.92000000000007</v>
      </c>
      <c r="D135">
        <v>225.49</v>
      </c>
      <c r="F135">
        <v>414.43</v>
      </c>
      <c r="G135">
        <v>49</v>
      </c>
      <c r="H135">
        <v>2</v>
      </c>
      <c r="I135">
        <v>3</v>
      </c>
      <c r="J135">
        <v>1</v>
      </c>
      <c r="K135">
        <v>2</v>
      </c>
    </row>
    <row r="136" spans="1:11">
      <c r="A136" s="3187" t="s">
        <v>3326</v>
      </c>
      <c r="B136" s="3187" t="s">
        <v>3309</v>
      </c>
      <c r="C136">
        <f t="shared" si="5"/>
        <v>1027.96</v>
      </c>
      <c r="D136">
        <v>337.54</v>
      </c>
      <c r="F136">
        <v>616.91999999999996</v>
      </c>
      <c r="G136">
        <v>73.5</v>
      </c>
      <c r="H136">
        <v>2</v>
      </c>
      <c r="I136">
        <v>3</v>
      </c>
      <c r="J136">
        <v>1</v>
      </c>
      <c r="K136">
        <v>3</v>
      </c>
    </row>
    <row r="137" spans="1:11">
      <c r="A137" s="3187" t="s">
        <v>3327</v>
      </c>
      <c r="B137" s="3187" t="s">
        <v>3309</v>
      </c>
      <c r="C137">
        <f t="shared" si="5"/>
        <v>1807.52</v>
      </c>
      <c r="D137">
        <v>652</v>
      </c>
      <c r="F137">
        <v>1008.52</v>
      </c>
      <c r="G137">
        <v>147</v>
      </c>
      <c r="H137">
        <v>2</v>
      </c>
      <c r="I137">
        <v>3</v>
      </c>
      <c r="J137">
        <v>1</v>
      </c>
      <c r="K137">
        <v>6</v>
      </c>
    </row>
    <row r="138" spans="1:11">
      <c r="A138" s="3187" t="s">
        <v>3328</v>
      </c>
      <c r="B138" s="3187" t="s">
        <v>3309</v>
      </c>
      <c r="C138">
        <f t="shared" si="5"/>
        <v>1207.9000000000001</v>
      </c>
      <c r="D138">
        <v>435.55</v>
      </c>
      <c r="F138">
        <v>674.35</v>
      </c>
      <c r="G138">
        <v>98</v>
      </c>
      <c r="H138">
        <v>2</v>
      </c>
      <c r="I138">
        <v>3</v>
      </c>
      <c r="J138">
        <v>1</v>
      </c>
      <c r="K138">
        <v>4</v>
      </c>
    </row>
    <row r="139" spans="1:11">
      <c r="A139" s="3187" t="s">
        <v>3329</v>
      </c>
      <c r="B139" s="3187" t="s">
        <v>3309</v>
      </c>
      <c r="C139">
        <f t="shared" si="5"/>
        <v>1516.65</v>
      </c>
      <c r="D139">
        <v>547.6</v>
      </c>
      <c r="F139">
        <v>846.55</v>
      </c>
      <c r="G139">
        <v>122.5</v>
      </c>
      <c r="H139">
        <v>2</v>
      </c>
      <c r="I139">
        <v>3</v>
      </c>
      <c r="J139">
        <v>1</v>
      </c>
      <c r="K139">
        <v>5</v>
      </c>
    </row>
    <row r="140" spans="1:11">
      <c r="A140" s="3187" t="s">
        <v>3330</v>
      </c>
      <c r="B140" s="3187" t="s">
        <v>3309</v>
      </c>
      <c r="C140">
        <f t="shared" si="5"/>
        <v>1207.9000000000001</v>
      </c>
      <c r="D140">
        <v>435.55</v>
      </c>
      <c r="F140">
        <v>674.35</v>
      </c>
      <c r="G140">
        <v>98</v>
      </c>
      <c r="H140">
        <v>2</v>
      </c>
      <c r="I140">
        <v>3</v>
      </c>
      <c r="J140">
        <v>1</v>
      </c>
      <c r="K140">
        <v>4</v>
      </c>
    </row>
    <row r="141" spans="1:11">
      <c r="A141" s="3187" t="s">
        <v>3331</v>
      </c>
      <c r="B141" s="3187" t="s">
        <v>3309</v>
      </c>
      <c r="C141">
        <f t="shared" si="5"/>
        <v>1904.75</v>
      </c>
      <c r="D141">
        <v>652</v>
      </c>
      <c r="F141">
        <v>1105.75</v>
      </c>
      <c r="G141">
        <v>147</v>
      </c>
      <c r="H141">
        <v>2</v>
      </c>
      <c r="I141">
        <v>3</v>
      </c>
      <c r="J141">
        <v>1</v>
      </c>
      <c r="K141">
        <v>6</v>
      </c>
    </row>
    <row r="142" spans="1:11">
      <c r="A142" s="3187" t="s">
        <v>3332</v>
      </c>
      <c r="B142" s="3187" t="s">
        <v>3309</v>
      </c>
      <c r="C142">
        <f t="shared" si="5"/>
        <v>1272.3499999999999</v>
      </c>
      <c r="D142">
        <v>435.55</v>
      </c>
      <c r="F142">
        <v>738.8</v>
      </c>
      <c r="G142">
        <v>98</v>
      </c>
      <c r="H142">
        <v>2</v>
      </c>
      <c r="I142">
        <v>3</v>
      </c>
      <c r="J142">
        <v>1</v>
      </c>
      <c r="K142">
        <v>4</v>
      </c>
    </row>
    <row r="143" spans="1:11">
      <c r="A143" s="3187" t="s">
        <v>3333</v>
      </c>
      <c r="B143" s="3187" t="s">
        <v>3309</v>
      </c>
      <c r="C143">
        <f t="shared" si="5"/>
        <v>1207.9000000000001</v>
      </c>
      <c r="D143">
        <v>435.55</v>
      </c>
      <c r="F143">
        <v>674.35</v>
      </c>
      <c r="G143">
        <v>98</v>
      </c>
      <c r="H143">
        <v>2</v>
      </c>
      <c r="I143">
        <v>3</v>
      </c>
      <c r="J143">
        <v>1</v>
      </c>
      <c r="K143">
        <v>4</v>
      </c>
    </row>
    <row r="144" spans="1:11">
      <c r="A144" s="3187" t="s">
        <v>3334</v>
      </c>
      <c r="B144" s="3187" t="s">
        <v>3309</v>
      </c>
      <c r="C144">
        <f t="shared" si="5"/>
        <v>2407.25</v>
      </c>
      <c r="D144">
        <v>868.45</v>
      </c>
      <c r="F144">
        <v>1342.8</v>
      </c>
      <c r="G144">
        <v>196</v>
      </c>
      <c r="H144">
        <v>2</v>
      </c>
      <c r="I144">
        <v>3</v>
      </c>
      <c r="J144">
        <v>1</v>
      </c>
      <c r="K144">
        <v>8</v>
      </c>
    </row>
    <row r="145" spans="1:11">
      <c r="A145" s="3187" t="s">
        <v>3335</v>
      </c>
      <c r="B145" s="3187" t="s">
        <v>3309</v>
      </c>
      <c r="C145">
        <f t="shared" si="5"/>
        <v>2116.77</v>
      </c>
      <c r="D145">
        <v>764.05</v>
      </c>
      <c r="F145">
        <v>1181.22</v>
      </c>
      <c r="G145">
        <v>171.5</v>
      </c>
      <c r="H145">
        <v>2</v>
      </c>
      <c r="I145">
        <v>3</v>
      </c>
      <c r="J145">
        <v>1</v>
      </c>
      <c r="K145">
        <v>7</v>
      </c>
    </row>
    <row r="146" spans="1:11">
      <c r="A146" s="3187" t="s">
        <v>3336</v>
      </c>
      <c r="B146" s="3187" t="s">
        <v>3309</v>
      </c>
      <c r="C146">
        <f t="shared" si="5"/>
        <v>1207.9000000000001</v>
      </c>
      <c r="D146">
        <v>435.55</v>
      </c>
      <c r="F146">
        <v>674.35</v>
      </c>
      <c r="G146">
        <v>98</v>
      </c>
      <c r="H146">
        <v>2</v>
      </c>
      <c r="I146">
        <v>3</v>
      </c>
      <c r="J146">
        <v>1</v>
      </c>
      <c r="K146">
        <v>4</v>
      </c>
    </row>
    <row r="147" spans="1:11">
      <c r="A147" s="3187" t="s">
        <v>3337</v>
      </c>
      <c r="B147" s="3187" t="s">
        <v>3309</v>
      </c>
      <c r="C147">
        <f t="shared" si="5"/>
        <v>1549.5900000000001</v>
      </c>
      <c r="D147">
        <v>547.6</v>
      </c>
      <c r="F147">
        <v>879.49</v>
      </c>
      <c r="G147">
        <v>122.5</v>
      </c>
      <c r="H147">
        <v>2</v>
      </c>
      <c r="I147">
        <v>3</v>
      </c>
      <c r="J147">
        <v>1</v>
      </c>
      <c r="K147">
        <v>5</v>
      </c>
    </row>
    <row r="148" spans="1:11">
      <c r="A148" s="3187" t="s">
        <v>3338</v>
      </c>
      <c r="B148" s="3187" t="s">
        <v>3309</v>
      </c>
      <c r="C148">
        <f t="shared" si="5"/>
        <v>1904.75</v>
      </c>
      <c r="D148">
        <v>652</v>
      </c>
      <c r="F148">
        <v>1105.75</v>
      </c>
      <c r="G148">
        <v>147</v>
      </c>
      <c r="H148">
        <v>2</v>
      </c>
      <c r="I148">
        <v>3</v>
      </c>
      <c r="J148">
        <v>1</v>
      </c>
      <c r="K148">
        <v>6</v>
      </c>
    </row>
    <row r="149" spans="1:11">
      <c r="A149" s="3187" t="s">
        <v>3339</v>
      </c>
      <c r="B149" s="3187" t="s">
        <v>3309</v>
      </c>
      <c r="C149">
        <f t="shared" si="5"/>
        <v>1807.52</v>
      </c>
      <c r="D149">
        <v>652</v>
      </c>
      <c r="F149">
        <v>1008.52</v>
      </c>
      <c r="G149">
        <v>147</v>
      </c>
      <c r="H149">
        <v>2</v>
      </c>
      <c r="I149">
        <v>3</v>
      </c>
      <c r="J149">
        <v>1</v>
      </c>
      <c r="K149">
        <v>6</v>
      </c>
    </row>
    <row r="150" spans="1:11">
      <c r="A150" s="3187" t="s">
        <v>3340</v>
      </c>
      <c r="B150" s="3187" t="s">
        <v>3309</v>
      </c>
      <c r="C150">
        <f t="shared" si="5"/>
        <v>1207.9000000000001</v>
      </c>
      <c r="D150">
        <v>435.55</v>
      </c>
      <c r="F150">
        <v>674.35</v>
      </c>
      <c r="G150">
        <v>98</v>
      </c>
      <c r="H150">
        <v>2</v>
      </c>
      <c r="I150">
        <v>3</v>
      </c>
      <c r="J150">
        <v>1</v>
      </c>
      <c r="K150">
        <v>4</v>
      </c>
    </row>
    <row r="151" spans="1:11">
      <c r="A151" s="3187" t="s">
        <v>3341</v>
      </c>
      <c r="B151" s="3187" t="s">
        <v>3309</v>
      </c>
      <c r="C151">
        <f t="shared" si="5"/>
        <v>1226.19</v>
      </c>
      <c r="D151">
        <v>423.44</v>
      </c>
      <c r="F151">
        <v>729.25</v>
      </c>
      <c r="G151">
        <v>73.5</v>
      </c>
      <c r="H151">
        <v>2</v>
      </c>
      <c r="I151">
        <v>3</v>
      </c>
      <c r="J151">
        <v>1</v>
      </c>
      <c r="K151">
        <v>3</v>
      </c>
    </row>
    <row r="152" spans="1:11">
      <c r="A152" s="3187" t="s">
        <v>3342</v>
      </c>
      <c r="B152" s="3187" t="s">
        <v>3309</v>
      </c>
      <c r="C152">
        <f t="shared" si="5"/>
        <v>819.96</v>
      </c>
      <c r="D152">
        <v>282.8</v>
      </c>
      <c r="F152">
        <v>488.16</v>
      </c>
      <c r="G152">
        <v>49</v>
      </c>
      <c r="H152">
        <v>2</v>
      </c>
      <c r="I152">
        <v>3</v>
      </c>
      <c r="J152">
        <v>1</v>
      </c>
      <c r="K152">
        <v>2</v>
      </c>
    </row>
    <row r="153" spans="1:11">
      <c r="A153" s="3187" t="s">
        <v>3343</v>
      </c>
      <c r="B153" s="3187" t="s">
        <v>3309</v>
      </c>
      <c r="C153">
        <f t="shared" si="5"/>
        <v>1226.19</v>
      </c>
      <c r="D153">
        <v>423.44</v>
      </c>
      <c r="F153">
        <v>729.25</v>
      </c>
      <c r="G153">
        <v>73.5</v>
      </c>
      <c r="H153">
        <v>2</v>
      </c>
      <c r="I153">
        <v>3</v>
      </c>
      <c r="J153">
        <v>1</v>
      </c>
      <c r="K153">
        <v>3</v>
      </c>
    </row>
    <row r="154" spans="1:11">
      <c r="A154" s="3187" t="s">
        <v>3344</v>
      </c>
      <c r="B154" s="3187" t="s">
        <v>3309</v>
      </c>
      <c r="C154">
        <f t="shared" si="5"/>
        <v>1807.52</v>
      </c>
      <c r="D154">
        <v>652</v>
      </c>
      <c r="F154">
        <v>1008.52</v>
      </c>
      <c r="G154">
        <v>147</v>
      </c>
      <c r="H154">
        <v>2</v>
      </c>
      <c r="I154">
        <v>3</v>
      </c>
      <c r="J154">
        <v>1</v>
      </c>
      <c r="K154">
        <v>6</v>
      </c>
    </row>
    <row r="155" spans="1:11">
      <c r="A155" s="3187" t="s">
        <v>3345</v>
      </c>
      <c r="B155" s="3187" t="s">
        <v>3309</v>
      </c>
      <c r="C155">
        <f t="shared" si="5"/>
        <v>1369.02</v>
      </c>
      <c r="D155">
        <v>449.6</v>
      </c>
      <c r="F155">
        <v>821.42</v>
      </c>
      <c r="G155">
        <v>98</v>
      </c>
      <c r="H155">
        <v>2</v>
      </c>
      <c r="I155">
        <v>3</v>
      </c>
      <c r="J155">
        <v>1</v>
      </c>
      <c r="K155">
        <v>4</v>
      </c>
    </row>
    <row r="156" spans="1:11">
      <c r="A156" s="3187" t="s">
        <v>3346</v>
      </c>
      <c r="B156" s="3187" t="s">
        <v>3309</v>
      </c>
      <c r="C156">
        <f t="shared" si="5"/>
        <v>3039.07</v>
      </c>
      <c r="D156">
        <v>1084.9000000000001</v>
      </c>
      <c r="F156">
        <v>1709.17</v>
      </c>
      <c r="G156">
        <v>245</v>
      </c>
      <c r="H156">
        <v>2</v>
      </c>
      <c r="I156">
        <v>3</v>
      </c>
      <c r="J156">
        <v>1</v>
      </c>
      <c r="K156">
        <v>10</v>
      </c>
    </row>
    <row r="157" spans="1:11">
      <c r="A157" s="3187" t="s">
        <v>3347</v>
      </c>
      <c r="B157" s="3187" t="s">
        <v>3309</v>
      </c>
      <c r="C157">
        <f t="shared" si="5"/>
        <v>2720.66</v>
      </c>
      <c r="D157">
        <v>981.76</v>
      </c>
      <c r="F157">
        <v>1518.4</v>
      </c>
      <c r="G157">
        <v>220.5</v>
      </c>
      <c r="H157">
        <v>2</v>
      </c>
      <c r="I157">
        <v>3</v>
      </c>
      <c r="J157">
        <v>1</v>
      </c>
      <c r="K157">
        <v>9</v>
      </c>
    </row>
    <row r="158" spans="1:11">
      <c r="A158" s="3187" t="s">
        <v>3348</v>
      </c>
      <c r="B158" s="3187" t="s">
        <v>3309</v>
      </c>
      <c r="C158">
        <f t="shared" si="5"/>
        <v>3006.77</v>
      </c>
      <c r="D158">
        <v>1084.9000000000001</v>
      </c>
      <c r="F158">
        <v>1676.87</v>
      </c>
      <c r="G158">
        <v>245</v>
      </c>
      <c r="H158">
        <v>2</v>
      </c>
      <c r="I158">
        <v>3</v>
      </c>
      <c r="J158">
        <v>1</v>
      </c>
      <c r="K158">
        <v>10</v>
      </c>
    </row>
    <row r="159" spans="1:11">
      <c r="A159" s="3187" t="s">
        <v>3349</v>
      </c>
      <c r="B159" s="3187" t="s">
        <v>3309</v>
      </c>
      <c r="C159">
        <f t="shared" si="5"/>
        <v>1904.75</v>
      </c>
      <c r="D159">
        <v>652</v>
      </c>
      <c r="F159">
        <v>1105.75</v>
      </c>
      <c r="G159">
        <v>147</v>
      </c>
      <c r="H159">
        <v>2</v>
      </c>
      <c r="I159">
        <v>3</v>
      </c>
      <c r="J159">
        <v>1</v>
      </c>
      <c r="K159">
        <v>6</v>
      </c>
    </row>
    <row r="160" spans="1:11">
      <c r="A160" s="3187" t="s">
        <v>3350</v>
      </c>
      <c r="B160" s="3187" t="s">
        <v>3309</v>
      </c>
      <c r="C160">
        <f t="shared" si="5"/>
        <v>1872.39</v>
      </c>
      <c r="D160">
        <v>652</v>
      </c>
      <c r="F160">
        <v>1073.3900000000001</v>
      </c>
      <c r="G160">
        <v>147</v>
      </c>
      <c r="H160">
        <v>2</v>
      </c>
      <c r="I160">
        <v>3</v>
      </c>
      <c r="J160">
        <v>1</v>
      </c>
      <c r="K160">
        <v>6</v>
      </c>
    </row>
    <row r="161" spans="1:11">
      <c r="A161" s="3187" t="s">
        <v>3351</v>
      </c>
      <c r="B161" s="3187" t="s">
        <v>3309</v>
      </c>
      <c r="C161">
        <f t="shared" si="5"/>
        <v>1807.52</v>
      </c>
      <c r="D161">
        <v>652</v>
      </c>
      <c r="F161">
        <v>1008.52</v>
      </c>
      <c r="G161">
        <v>147</v>
      </c>
      <c r="H161">
        <v>2</v>
      </c>
      <c r="I161">
        <v>3</v>
      </c>
      <c r="J161">
        <v>1</v>
      </c>
      <c r="K161">
        <v>6</v>
      </c>
    </row>
    <row r="162" spans="1:11">
      <c r="A162" s="3187" t="s">
        <v>3352</v>
      </c>
      <c r="B162" s="3187" t="s">
        <v>3309</v>
      </c>
      <c r="C162">
        <f t="shared" si="5"/>
        <v>1516.26</v>
      </c>
      <c r="D162">
        <v>547.6</v>
      </c>
      <c r="F162">
        <v>846.16</v>
      </c>
      <c r="G162">
        <v>122.5</v>
      </c>
      <c r="H162">
        <v>2</v>
      </c>
      <c r="I162">
        <v>3</v>
      </c>
      <c r="J162">
        <v>1</v>
      </c>
      <c r="K162">
        <v>5</v>
      </c>
    </row>
    <row r="163" spans="1:11">
      <c r="A163" s="3187" t="s">
        <v>3353</v>
      </c>
      <c r="B163" s="3187" t="s">
        <v>3309</v>
      </c>
      <c r="C163">
        <f t="shared" si="5"/>
        <v>1807.52</v>
      </c>
      <c r="D163">
        <v>652</v>
      </c>
      <c r="F163">
        <v>1008.52</v>
      </c>
      <c r="G163">
        <v>147</v>
      </c>
      <c r="H163">
        <v>2</v>
      </c>
      <c r="I163">
        <v>3</v>
      </c>
      <c r="J163">
        <v>1</v>
      </c>
      <c r="K163">
        <v>6</v>
      </c>
    </row>
    <row r="164" spans="1:11">
      <c r="A164" s="3187" t="s">
        <v>3354</v>
      </c>
      <c r="B164" s="3187" t="s">
        <v>3309</v>
      </c>
      <c r="C164">
        <f t="shared" si="5"/>
        <v>1807.52</v>
      </c>
      <c r="D164">
        <v>652</v>
      </c>
      <c r="F164">
        <v>1008.52</v>
      </c>
      <c r="G164">
        <v>147</v>
      </c>
      <c r="H164">
        <v>2</v>
      </c>
      <c r="I164">
        <v>3</v>
      </c>
      <c r="J164">
        <v>1</v>
      </c>
      <c r="K164">
        <v>6</v>
      </c>
    </row>
    <row r="165" spans="1:11">
      <c r="A165" s="3187" t="s">
        <v>3355</v>
      </c>
      <c r="B165" s="3187" t="s">
        <v>3309</v>
      </c>
      <c r="C165">
        <f t="shared" si="5"/>
        <v>1807.52</v>
      </c>
      <c r="D165">
        <v>652</v>
      </c>
      <c r="F165">
        <v>1008.52</v>
      </c>
      <c r="G165">
        <v>147</v>
      </c>
      <c r="H165">
        <v>2</v>
      </c>
      <c r="I165">
        <v>3</v>
      </c>
      <c r="J165">
        <v>1</v>
      </c>
      <c r="K165">
        <v>6</v>
      </c>
    </row>
    <row r="166" spans="1:11">
      <c r="A166" s="3187" t="s">
        <v>3356</v>
      </c>
      <c r="B166" s="3187" t="s">
        <v>3309</v>
      </c>
      <c r="C166">
        <f t="shared" si="5"/>
        <v>1516.65</v>
      </c>
      <c r="D166">
        <v>547.6</v>
      </c>
      <c r="F166">
        <v>846.55</v>
      </c>
      <c r="G166">
        <v>122.5</v>
      </c>
      <c r="H166">
        <v>2</v>
      </c>
      <c r="I166">
        <v>3</v>
      </c>
      <c r="J166">
        <v>1</v>
      </c>
      <c r="K166">
        <v>5</v>
      </c>
    </row>
    <row r="167" spans="1:11">
      <c r="A167" s="3187" t="s">
        <v>3357</v>
      </c>
      <c r="B167" s="3187" t="s">
        <v>3309</v>
      </c>
      <c r="C167">
        <f t="shared" si="5"/>
        <v>1632.62</v>
      </c>
      <c r="D167">
        <v>564.07000000000005</v>
      </c>
      <c r="F167">
        <v>970.55</v>
      </c>
      <c r="G167">
        <v>98</v>
      </c>
      <c r="H167">
        <v>2</v>
      </c>
      <c r="I167">
        <v>3</v>
      </c>
      <c r="J167">
        <v>1</v>
      </c>
      <c r="K167">
        <v>4</v>
      </c>
    </row>
    <row r="168" spans="1:11">
      <c r="A168" s="3187" t="s">
        <v>3358</v>
      </c>
      <c r="B168" s="3187" t="s">
        <v>3309</v>
      </c>
      <c r="C168">
        <f t="shared" si="5"/>
        <v>1632.62</v>
      </c>
      <c r="D168">
        <v>564.07000000000005</v>
      </c>
      <c r="F168">
        <v>970.55</v>
      </c>
      <c r="G168">
        <v>98</v>
      </c>
      <c r="H168">
        <v>2</v>
      </c>
      <c r="I168">
        <v>3</v>
      </c>
      <c r="J168">
        <v>1</v>
      </c>
      <c r="K168">
        <v>4</v>
      </c>
    </row>
    <row r="169" spans="1:11">
      <c r="A169" s="3187" t="s">
        <v>3359</v>
      </c>
      <c r="B169" s="3187" t="s">
        <v>3309</v>
      </c>
      <c r="C169">
        <f t="shared" si="5"/>
        <v>2407.25</v>
      </c>
      <c r="D169">
        <v>868.45</v>
      </c>
      <c r="F169">
        <v>1342.8</v>
      </c>
      <c r="G169">
        <v>196</v>
      </c>
      <c r="H169">
        <v>2</v>
      </c>
      <c r="I169">
        <v>3</v>
      </c>
      <c r="J169">
        <v>1</v>
      </c>
      <c r="K169">
        <v>8</v>
      </c>
    </row>
    <row r="170" spans="1:11">
      <c r="A170" s="3187" t="s">
        <v>3360</v>
      </c>
      <c r="B170" s="3187" t="s">
        <v>3309</v>
      </c>
      <c r="C170">
        <f t="shared" si="5"/>
        <v>2407.25</v>
      </c>
      <c r="D170">
        <v>868.45</v>
      </c>
      <c r="F170">
        <v>1342.8</v>
      </c>
      <c r="G170">
        <v>196</v>
      </c>
      <c r="H170">
        <v>2</v>
      </c>
      <c r="I170">
        <v>3</v>
      </c>
      <c r="J170">
        <v>1</v>
      </c>
      <c r="K170">
        <v>8</v>
      </c>
    </row>
    <row r="171" spans="1:11">
      <c r="A171" s="3187" t="s">
        <v>3361</v>
      </c>
      <c r="B171" s="3187" t="s">
        <v>3309</v>
      </c>
      <c r="C171">
        <f t="shared" si="5"/>
        <v>2121.0500000000002</v>
      </c>
      <c r="D171">
        <v>765.31</v>
      </c>
      <c r="F171">
        <v>1184.24</v>
      </c>
      <c r="G171">
        <v>171.5</v>
      </c>
      <c r="H171">
        <v>2</v>
      </c>
      <c r="I171">
        <v>3</v>
      </c>
      <c r="J171">
        <v>1</v>
      </c>
      <c r="K171">
        <v>7</v>
      </c>
    </row>
    <row r="172" spans="1:11">
      <c r="A172" s="3187" t="s">
        <v>3362</v>
      </c>
      <c r="B172" s="3187" t="s">
        <v>3309</v>
      </c>
      <c r="C172">
        <f t="shared" si="5"/>
        <v>2536.59</v>
      </c>
      <c r="D172">
        <v>868.45</v>
      </c>
      <c r="F172">
        <v>1472.14</v>
      </c>
      <c r="G172">
        <v>196</v>
      </c>
      <c r="H172">
        <v>2</v>
      </c>
      <c r="I172">
        <v>3</v>
      </c>
      <c r="J172">
        <v>1</v>
      </c>
      <c r="K172">
        <v>8</v>
      </c>
    </row>
    <row r="173" spans="1:11">
      <c r="A173" s="3187" t="s">
        <v>3363</v>
      </c>
      <c r="B173" s="3187" t="s">
        <v>3309</v>
      </c>
      <c r="C173">
        <f t="shared" si="5"/>
        <v>2407.25</v>
      </c>
      <c r="D173">
        <v>868.45</v>
      </c>
      <c r="F173">
        <v>1342.8</v>
      </c>
      <c r="G173">
        <v>196</v>
      </c>
      <c r="H173">
        <v>2</v>
      </c>
      <c r="I173">
        <v>3</v>
      </c>
      <c r="J173">
        <v>1</v>
      </c>
      <c r="K173">
        <v>8</v>
      </c>
    </row>
    <row r="174" spans="1:11">
      <c r="A174" s="3187" t="s">
        <v>3364</v>
      </c>
      <c r="B174" s="3187" t="s">
        <v>3309</v>
      </c>
      <c r="C174">
        <f t="shared" si="5"/>
        <v>2407.25</v>
      </c>
      <c r="D174">
        <v>868.45</v>
      </c>
      <c r="F174">
        <v>1342.8</v>
      </c>
      <c r="G174">
        <v>196</v>
      </c>
      <c r="H174">
        <v>2</v>
      </c>
      <c r="I174">
        <v>3</v>
      </c>
      <c r="J174">
        <v>1</v>
      </c>
      <c r="K174">
        <v>8</v>
      </c>
    </row>
    <row r="175" spans="1:11">
      <c r="A175" s="3187" t="s">
        <v>3365</v>
      </c>
      <c r="B175" s="3187" t="s">
        <v>3309</v>
      </c>
      <c r="C175">
        <f t="shared" si="5"/>
        <v>2121.0500000000002</v>
      </c>
      <c r="D175">
        <v>765.31</v>
      </c>
      <c r="F175">
        <v>1184.24</v>
      </c>
      <c r="G175">
        <v>171.5</v>
      </c>
      <c r="H175">
        <v>2</v>
      </c>
      <c r="I175">
        <v>3</v>
      </c>
      <c r="J175">
        <v>1</v>
      </c>
      <c r="K175">
        <v>7</v>
      </c>
    </row>
    <row r="176" spans="1:11">
      <c r="A176" s="3187" t="s">
        <v>3366</v>
      </c>
      <c r="B176" s="3187" t="s">
        <v>3309</v>
      </c>
      <c r="C176">
        <f t="shared" si="5"/>
        <v>1239.5</v>
      </c>
      <c r="D176">
        <v>449.6</v>
      </c>
      <c r="F176">
        <v>691.9</v>
      </c>
      <c r="G176">
        <v>98</v>
      </c>
      <c r="H176">
        <v>2</v>
      </c>
      <c r="I176">
        <v>3</v>
      </c>
      <c r="J176">
        <v>1</v>
      </c>
      <c r="K176">
        <v>4</v>
      </c>
    </row>
    <row r="177" spans="1:13">
      <c r="A177" s="3187" t="s">
        <v>3367</v>
      </c>
      <c r="B177" s="3187" t="s">
        <v>3309</v>
      </c>
      <c r="C177">
        <f t="shared" si="5"/>
        <v>2407.25</v>
      </c>
      <c r="D177">
        <v>868.45</v>
      </c>
      <c r="F177">
        <v>1342.8</v>
      </c>
      <c r="G177">
        <v>196</v>
      </c>
      <c r="H177">
        <v>2</v>
      </c>
      <c r="I177">
        <v>3</v>
      </c>
      <c r="J177">
        <v>1</v>
      </c>
      <c r="K177">
        <v>8</v>
      </c>
    </row>
    <row r="178" spans="1:13">
      <c r="A178" s="3187" t="s">
        <v>3368</v>
      </c>
      <c r="B178" s="3187" t="s">
        <v>3309</v>
      </c>
      <c r="C178">
        <f t="shared" si="5"/>
        <v>1207.9000000000001</v>
      </c>
      <c r="D178">
        <v>435.55</v>
      </c>
      <c r="F178">
        <v>674.35</v>
      </c>
      <c r="G178">
        <v>98</v>
      </c>
      <c r="H178">
        <v>2</v>
      </c>
      <c r="I178">
        <v>3</v>
      </c>
      <c r="J178">
        <v>1</v>
      </c>
      <c r="K178">
        <v>4</v>
      </c>
    </row>
    <row r="179" spans="1:13">
      <c r="A179" s="3187" t="s">
        <v>3369</v>
      </c>
      <c r="B179" s="3187" t="s">
        <v>3309</v>
      </c>
      <c r="C179">
        <f t="shared" si="5"/>
        <v>1226.19</v>
      </c>
      <c r="D179">
        <v>423.44</v>
      </c>
      <c r="F179">
        <v>729.25</v>
      </c>
      <c r="G179">
        <v>73.5</v>
      </c>
      <c r="H179">
        <v>2</v>
      </c>
      <c r="I179">
        <v>3</v>
      </c>
      <c r="J179">
        <v>1</v>
      </c>
      <c r="K179">
        <v>3</v>
      </c>
    </row>
    <row r="180" spans="1:13">
      <c r="A180" s="3395" t="s">
        <v>3370</v>
      </c>
      <c r="B180" s="3396"/>
      <c r="C180">
        <f>SUM(C122:C179)</f>
        <v>105003.62999999998</v>
      </c>
      <c r="D180">
        <f>SUM(D122:D179)</f>
        <v>37366.439999999988</v>
      </c>
      <c r="F180">
        <f>SUM(F122:F179)</f>
        <v>59454.19</v>
      </c>
      <c r="G180">
        <f>SUM(G122:G179)</f>
        <v>8183</v>
      </c>
      <c r="K180">
        <f>SUM(K122:K179)</f>
        <v>334</v>
      </c>
    </row>
    <row r="181" spans="1:13">
      <c r="A181" s="3251" t="s">
        <v>3371</v>
      </c>
      <c r="D181">
        <v>36</v>
      </c>
      <c r="G181">
        <f>270+240+240+240+1875.5</f>
        <v>2865.5</v>
      </c>
    </row>
    <row r="182" spans="1:13">
      <c r="E182" s="3185"/>
      <c r="F182" s="3252">
        <f>30291.5+D181-4204</f>
        <v>26123.5</v>
      </c>
    </row>
    <row r="183" spans="1:13">
      <c r="B183" s="3393" t="s">
        <v>24</v>
      </c>
      <c r="C183" s="3393" t="s">
        <v>3061</v>
      </c>
      <c r="D183" s="3393"/>
      <c r="E183" s="3393"/>
      <c r="F183" s="3393"/>
      <c r="G183" s="3393" t="s">
        <v>3063</v>
      </c>
      <c r="H183" s="3393"/>
      <c r="I183" s="3393"/>
      <c r="J183" s="3393"/>
      <c r="K183" s="3393"/>
    </row>
    <row r="184" spans="1:13">
      <c r="B184" s="3394"/>
      <c r="C184" s="3247" t="s">
        <v>923</v>
      </c>
      <c r="D184" s="3247" t="s">
        <v>3304</v>
      </c>
      <c r="E184" s="3247" t="s">
        <v>3372</v>
      </c>
      <c r="F184" s="3247" t="s">
        <v>3377</v>
      </c>
      <c r="G184" s="3247" t="s">
        <v>3072</v>
      </c>
      <c r="H184" s="3247" t="s">
        <v>3169</v>
      </c>
      <c r="I184" s="3247" t="s">
        <v>3304</v>
      </c>
      <c r="J184" s="3191" t="s">
        <v>3372</v>
      </c>
      <c r="K184" s="3191" t="s">
        <v>3033</v>
      </c>
      <c r="L184" s="3254" t="s">
        <v>3373</v>
      </c>
    </row>
    <row r="185" spans="1:13">
      <c r="B185" s="3248">
        <f>SUM(C185:K185)</f>
        <v>133992.63</v>
      </c>
      <c r="C185" s="3248">
        <f>D180</f>
        <v>37366.439999999988</v>
      </c>
      <c r="D185" s="3248"/>
      <c r="E185" s="3248"/>
      <c r="F185" s="3248"/>
      <c r="G185" s="3248">
        <f>F180</f>
        <v>59454.19</v>
      </c>
      <c r="H185" s="3248">
        <f>F182</f>
        <v>26123.5</v>
      </c>
      <c r="I185" s="3248">
        <f>G180+G181</f>
        <v>11048.5</v>
      </c>
      <c r="J185" s="3248"/>
      <c r="K185" s="3248"/>
      <c r="L185">
        <v>4204</v>
      </c>
      <c r="M185">
        <f>B185+L185</f>
        <v>138196.63</v>
      </c>
    </row>
    <row r="186" spans="1:13">
      <c r="B186" s="3248">
        <f>SUM(C186:K186)</f>
        <v>35823.369999999995</v>
      </c>
      <c r="C186" s="3253">
        <f>D194-F186</f>
        <v>3473.1799999999967</v>
      </c>
      <c r="D186" s="3253">
        <f>E194</f>
        <v>84</v>
      </c>
      <c r="E186" s="3253"/>
      <c r="F186" s="3253">
        <f>L194</f>
        <v>23770.38</v>
      </c>
      <c r="G186" s="3253">
        <f>F194</f>
        <v>5874.31</v>
      </c>
      <c r="H186" s="3253"/>
      <c r="I186" s="3253">
        <f>G194</f>
        <v>1631.5</v>
      </c>
      <c r="J186" s="3253">
        <v>990</v>
      </c>
      <c r="K186" s="3253"/>
      <c r="L186">
        <f>L185-D181</f>
        <v>4168</v>
      </c>
    </row>
    <row r="187" spans="1:13">
      <c r="B187" s="3248">
        <f>SUM(B185:B186)</f>
        <v>169816</v>
      </c>
      <c r="C187" s="3248">
        <f t="shared" ref="C187:K187" si="6">SUM(C185:C186)</f>
        <v>40839.619999999981</v>
      </c>
      <c r="D187" s="3248">
        <f t="shared" si="6"/>
        <v>84</v>
      </c>
      <c r="E187" s="3248">
        <f t="shared" si="6"/>
        <v>0</v>
      </c>
      <c r="F187" s="3248">
        <f t="shared" si="6"/>
        <v>23770.38</v>
      </c>
      <c r="G187" s="3248">
        <f>SUM(G185:G186)</f>
        <v>65328.5</v>
      </c>
      <c r="H187" s="3248">
        <f t="shared" si="6"/>
        <v>26123.5</v>
      </c>
      <c r="I187" s="3248">
        <f>SUM(I185:I186)</f>
        <v>12680</v>
      </c>
      <c r="J187" s="3248">
        <v>990</v>
      </c>
      <c r="K187" s="3248">
        <f t="shared" si="6"/>
        <v>0</v>
      </c>
    </row>
    <row r="189" spans="1:13">
      <c r="C189" s="3174"/>
      <c r="D189" s="3187" t="s">
        <v>3061</v>
      </c>
      <c r="E189" s="3187"/>
      <c r="F189" s="3187" t="s">
        <v>3063</v>
      </c>
      <c r="G189" s="3187"/>
      <c r="H189" s="3174"/>
      <c r="I189" s="3174"/>
      <c r="J189" s="3174"/>
      <c r="K189" s="3174"/>
    </row>
    <row r="190" spans="1:13">
      <c r="A190" s="3185"/>
      <c r="C190" s="3187" t="s">
        <v>3310</v>
      </c>
      <c r="D190" s="3187" t="s">
        <v>923</v>
      </c>
      <c r="E190" s="3187" t="s">
        <v>3303</v>
      </c>
      <c r="F190" s="3187" t="s">
        <v>3072</v>
      </c>
      <c r="G190" s="3187" t="s">
        <v>3304</v>
      </c>
      <c r="H190" s="3187" t="s">
        <v>3305</v>
      </c>
      <c r="I190" s="3187" t="s">
        <v>3306</v>
      </c>
      <c r="J190" s="3187" t="s">
        <v>3307</v>
      </c>
      <c r="K190" s="3187" t="s">
        <v>3308</v>
      </c>
    </row>
    <row r="191" spans="1:13">
      <c r="A191" s="3185" t="s">
        <v>3374</v>
      </c>
      <c r="C191">
        <f>SUM(D191:G191)</f>
        <v>11468.789999999999</v>
      </c>
      <c r="D191">
        <v>9025.48</v>
      </c>
      <c r="F191">
        <v>2151.81</v>
      </c>
      <c r="G191">
        <v>291.5</v>
      </c>
      <c r="H191">
        <v>8</v>
      </c>
      <c r="I191">
        <v>3</v>
      </c>
      <c r="J191">
        <v>1</v>
      </c>
      <c r="K191">
        <v>64</v>
      </c>
      <c r="L191">
        <v>7879.05</v>
      </c>
    </row>
    <row r="192" spans="1:13">
      <c r="A192" s="3185" t="s">
        <v>3375</v>
      </c>
      <c r="C192">
        <f>SUM(D192:G192)</f>
        <v>11676.560000000001</v>
      </c>
      <c r="D192">
        <v>9192.68</v>
      </c>
      <c r="F192">
        <v>2192.38</v>
      </c>
      <c r="G192">
        <v>291.5</v>
      </c>
      <c r="H192">
        <v>8</v>
      </c>
      <c r="I192">
        <v>3</v>
      </c>
      <c r="J192">
        <v>1</v>
      </c>
      <c r="K192">
        <v>64</v>
      </c>
      <c r="L192">
        <v>8012.28</v>
      </c>
    </row>
    <row r="193" spans="1:13">
      <c r="A193" s="3185" t="s">
        <v>3376</v>
      </c>
      <c r="C193">
        <f>SUM(D193:G193)</f>
        <v>11688.02</v>
      </c>
      <c r="D193">
        <v>9025.4</v>
      </c>
      <c r="E193">
        <v>84</v>
      </c>
      <c r="F193">
        <v>1530.12</v>
      </c>
      <c r="G193">
        <f>757+291.5</f>
        <v>1048.5</v>
      </c>
      <c r="H193">
        <v>8</v>
      </c>
      <c r="I193">
        <v>3</v>
      </c>
      <c r="J193">
        <v>1</v>
      </c>
      <c r="K193">
        <v>64</v>
      </c>
      <c r="L193">
        <v>7879.05</v>
      </c>
    </row>
    <row r="194" spans="1:13">
      <c r="C194">
        <f>SUM(D194:G194)</f>
        <v>34833.369999999995</v>
      </c>
      <c r="D194">
        <f>SUM(D191:D193)</f>
        <v>27243.559999999998</v>
      </c>
      <c r="E194">
        <f>SUM(E191:E193)</f>
        <v>84</v>
      </c>
      <c r="F194">
        <f>SUM(F191:F193)</f>
        <v>5874.31</v>
      </c>
      <c r="G194">
        <f>SUM(G191:G193)</f>
        <v>1631.5</v>
      </c>
      <c r="K194">
        <f>SUM(K191:K193)</f>
        <v>192</v>
      </c>
      <c r="L194">
        <f>SUM(L191:L193)</f>
        <v>23770.38</v>
      </c>
    </row>
    <row r="197" spans="1:13">
      <c r="I197">
        <f>G181+F182</f>
        <v>28989</v>
      </c>
    </row>
    <row r="202" spans="1:13" ht="14.25" thickBot="1"/>
    <row r="203" spans="1:13" ht="14.25" thickBot="1">
      <c r="C203" s="3391" t="s">
        <v>27</v>
      </c>
      <c r="D203" s="3392"/>
      <c r="E203" s="3255">
        <v>105003.63</v>
      </c>
      <c r="F203" s="3255">
        <v>37366.44</v>
      </c>
      <c r="G203" s="3255">
        <v>0</v>
      </c>
      <c r="H203" s="3255">
        <v>59454.19</v>
      </c>
      <c r="I203" s="3255">
        <v>8183</v>
      </c>
      <c r="J203" s="3256">
        <v>0</v>
      </c>
      <c r="K203" s="3257" t="s">
        <v>952</v>
      </c>
      <c r="L203" s="3258" t="s">
        <v>952</v>
      </c>
      <c r="M203" s="3255">
        <v>334</v>
      </c>
    </row>
    <row r="204" spans="1:13" ht="14.25" thickBot="1">
      <c r="C204" s="3259" t="s">
        <v>3378</v>
      </c>
      <c r="D204" s="3260" t="s">
        <v>35</v>
      </c>
      <c r="E204" s="3261">
        <f>I204+J204</f>
        <v>29979</v>
      </c>
      <c r="F204" s="3262">
        <v>0</v>
      </c>
      <c r="G204" s="3262">
        <v>0</v>
      </c>
      <c r="H204" s="3261">
        <v>0</v>
      </c>
      <c r="I204" s="3262">
        <f>2865.5+990</f>
        <v>3855.5</v>
      </c>
      <c r="J204" s="3263">
        <v>26123.5</v>
      </c>
      <c r="K204" s="3260" t="s">
        <v>952</v>
      </c>
      <c r="L204" s="3260" t="s">
        <v>952</v>
      </c>
      <c r="M204" s="3260" t="s">
        <v>952</v>
      </c>
    </row>
    <row r="205" spans="1:13" ht="14.25" thickBot="1">
      <c r="C205" s="3259" t="s">
        <v>3379</v>
      </c>
      <c r="D205" s="3260" t="s">
        <v>3309</v>
      </c>
      <c r="E205" s="3261">
        <v>11468.79</v>
      </c>
      <c r="F205" s="3261">
        <v>9025.48</v>
      </c>
      <c r="G205" s="3261">
        <v>0</v>
      </c>
      <c r="H205" s="3261">
        <v>2151.81</v>
      </c>
      <c r="I205" s="3261">
        <v>291.5</v>
      </c>
      <c r="J205" s="3264">
        <v>0</v>
      </c>
      <c r="K205" s="3261">
        <v>8</v>
      </c>
      <c r="L205" s="3261">
        <v>3</v>
      </c>
      <c r="M205" s="3261">
        <v>64</v>
      </c>
    </row>
    <row r="206" spans="1:13" ht="14.25" thickBot="1">
      <c r="C206" s="3259" t="s">
        <v>3380</v>
      </c>
      <c r="D206" s="3260" t="s">
        <v>3309</v>
      </c>
      <c r="E206" s="3261">
        <v>11676.56</v>
      </c>
      <c r="F206" s="3261">
        <v>9192.68</v>
      </c>
      <c r="G206" s="3261">
        <v>0</v>
      </c>
      <c r="H206" s="3261">
        <v>2192.38</v>
      </c>
      <c r="I206" s="3261">
        <v>291.5</v>
      </c>
      <c r="J206" s="3264">
        <v>0</v>
      </c>
      <c r="K206" s="3261">
        <v>8</v>
      </c>
      <c r="L206" s="3261">
        <v>3</v>
      </c>
      <c r="M206" s="3261">
        <v>64</v>
      </c>
    </row>
    <row r="207" spans="1:13" ht="14.25" thickBot="1">
      <c r="C207" s="3259" t="s">
        <v>3381</v>
      </c>
      <c r="D207" s="3260" t="s">
        <v>3309</v>
      </c>
      <c r="E207" s="3261">
        <v>11688.02</v>
      </c>
      <c r="F207" s="3261">
        <v>9025.4</v>
      </c>
      <c r="G207" s="3261">
        <v>84</v>
      </c>
      <c r="H207" s="3261">
        <v>1530.12</v>
      </c>
      <c r="I207" s="3261">
        <v>1048.5</v>
      </c>
      <c r="J207" s="3264">
        <v>0</v>
      </c>
      <c r="K207" s="3261">
        <v>8</v>
      </c>
      <c r="L207" s="3261">
        <v>3</v>
      </c>
      <c r="M207" s="3261">
        <v>64</v>
      </c>
    </row>
    <row r="208" spans="1:13">
      <c r="C208" s="3266" t="s">
        <v>3382</v>
      </c>
      <c r="D208" s="3267"/>
      <c r="E208" s="1792">
        <f>SUM(E205:E207)</f>
        <v>34833.369999999995</v>
      </c>
      <c r="F208" s="1792">
        <f>SUM(F205:F207)</f>
        <v>27243.559999999998</v>
      </c>
      <c r="G208" s="1792">
        <f>SUM(G205:G207)</f>
        <v>84</v>
      </c>
      <c r="H208" s="1792">
        <f>SUM(H205:H207)</f>
        <v>5874.31</v>
      </c>
      <c r="I208" s="1792">
        <f>SUM(I205:I207)</f>
        <v>1631.5</v>
      </c>
      <c r="J208" s="1792"/>
      <c r="K208" s="1792"/>
      <c r="L208" s="1792"/>
      <c r="M208" s="1792"/>
    </row>
    <row r="209" spans="3:10">
      <c r="C209" s="3265" t="s">
        <v>3383</v>
      </c>
      <c r="D209" s="1792"/>
      <c r="E209" s="1792">
        <f t="shared" ref="E209:J209" si="7">E203+E204+E208</f>
        <v>169816</v>
      </c>
      <c r="F209" s="1792">
        <f t="shared" si="7"/>
        <v>64610</v>
      </c>
      <c r="G209" s="1792">
        <f t="shared" si="7"/>
        <v>84</v>
      </c>
      <c r="H209" s="1792">
        <f t="shared" si="7"/>
        <v>65328.5</v>
      </c>
      <c r="I209" s="1792">
        <f t="shared" si="7"/>
        <v>13670</v>
      </c>
      <c r="J209" s="1792">
        <f t="shared" si="7"/>
        <v>26123.5</v>
      </c>
    </row>
    <row r="256" ht="14.25" thickBot="1"/>
    <row r="257" spans="5:11" ht="24" customHeight="1" thickBot="1">
      <c r="E257" s="3371" t="s">
        <v>3282</v>
      </c>
      <c r="F257" s="3384" t="s">
        <v>3283</v>
      </c>
      <c r="G257" s="3384" t="s">
        <v>3284</v>
      </c>
      <c r="H257" s="3386" t="s">
        <v>3384</v>
      </c>
      <c r="I257" s="3387"/>
      <c r="J257" s="3388"/>
      <c r="K257" s="3389" t="s">
        <v>3385</v>
      </c>
    </row>
    <row r="258" spans="5:11" ht="14.25" thickBot="1">
      <c r="E258" s="3372"/>
      <c r="F258" s="3385"/>
      <c r="G258" s="3385"/>
      <c r="H258" s="3269" t="s">
        <v>24</v>
      </c>
      <c r="I258" s="3270" t="s">
        <v>3061</v>
      </c>
      <c r="J258" s="3270" t="s">
        <v>3063</v>
      </c>
      <c r="K258" s="3390"/>
    </row>
    <row r="259" spans="5:11" ht="14.25" thickBot="1">
      <c r="E259" s="3372"/>
      <c r="F259" s="3374" t="s">
        <v>3286</v>
      </c>
      <c r="G259" s="3271" t="s">
        <v>3197</v>
      </c>
      <c r="H259" s="3272">
        <v>40265.83</v>
      </c>
      <c r="I259" s="3272">
        <v>40265.83</v>
      </c>
      <c r="J259" s="3272">
        <v>0</v>
      </c>
      <c r="K259" s="3377">
        <v>60947.48</v>
      </c>
    </row>
    <row r="260" spans="5:11" ht="14.25" thickBot="1">
      <c r="E260" s="3372"/>
      <c r="F260" s="3375"/>
      <c r="G260" s="3271" t="s">
        <v>3199</v>
      </c>
      <c r="H260" s="3272">
        <v>10848.24</v>
      </c>
      <c r="I260" s="3272">
        <v>10848.24</v>
      </c>
      <c r="J260" s="3272">
        <v>0</v>
      </c>
      <c r="K260" s="3378"/>
    </row>
    <row r="261" spans="5:11" ht="14.25" thickBot="1">
      <c r="E261" s="3372"/>
      <c r="F261" s="3375"/>
      <c r="G261" s="3271" t="s">
        <v>3201</v>
      </c>
      <c r="H261" s="3272">
        <v>31676.1</v>
      </c>
      <c r="I261" s="3272">
        <v>31676.1</v>
      </c>
      <c r="J261" s="3272">
        <v>0</v>
      </c>
      <c r="K261" s="3378"/>
    </row>
    <row r="262" spans="5:11" ht="14.25" thickBot="1">
      <c r="E262" s="3372"/>
      <c r="F262" s="3375"/>
      <c r="G262" s="3271" t="s">
        <v>3033</v>
      </c>
      <c r="H262" s="3272">
        <v>480</v>
      </c>
      <c r="I262" s="3272">
        <v>250</v>
      </c>
      <c r="J262" s="3272">
        <v>230</v>
      </c>
      <c r="K262" s="3378"/>
    </row>
    <row r="263" spans="5:11" ht="14.25" thickBot="1">
      <c r="E263" s="3372"/>
      <c r="F263" s="3375"/>
      <c r="G263" s="3271" t="s">
        <v>35</v>
      </c>
      <c r="H263" s="3272">
        <v>33813.93</v>
      </c>
      <c r="I263" s="3272">
        <v>0</v>
      </c>
      <c r="J263" s="3272">
        <v>33813.93</v>
      </c>
      <c r="K263" s="3378"/>
    </row>
    <row r="264" spans="5:11" ht="14.25" thickBot="1">
      <c r="E264" s="3372"/>
      <c r="F264" s="3375"/>
      <c r="G264" s="3271" t="s">
        <v>3287</v>
      </c>
      <c r="H264" s="3272">
        <v>10172.129999999999</v>
      </c>
      <c r="I264" s="3272">
        <v>0</v>
      </c>
      <c r="J264" s="3272">
        <v>10172.129999999999</v>
      </c>
      <c r="K264" s="3378"/>
    </row>
    <row r="265" spans="5:11" ht="14.25" thickBot="1">
      <c r="E265" s="3372"/>
      <c r="F265" s="3376"/>
      <c r="G265" s="3271" t="s">
        <v>3229</v>
      </c>
      <c r="H265" s="3272">
        <v>74192.240000000005</v>
      </c>
      <c r="I265" s="3272">
        <v>0</v>
      </c>
      <c r="J265" s="3272">
        <v>74192.240000000005</v>
      </c>
      <c r="K265" s="3378"/>
    </row>
    <row r="266" spans="5:11" ht="14.25" thickBot="1">
      <c r="E266" s="3372"/>
      <c r="F266" s="3380" t="s">
        <v>3288</v>
      </c>
      <c r="G266" s="3381"/>
      <c r="H266" s="3273">
        <v>201448.47</v>
      </c>
      <c r="I266" s="3273">
        <v>83040.17</v>
      </c>
      <c r="J266" s="3273">
        <v>118408.3</v>
      </c>
      <c r="K266" s="3378"/>
    </row>
    <row r="267" spans="5:11" ht="14.25" thickBot="1">
      <c r="E267" s="3372"/>
      <c r="F267" s="3374" t="s">
        <v>1680</v>
      </c>
      <c r="G267" s="3271" t="s">
        <v>2314</v>
      </c>
      <c r="H267" s="3272">
        <v>4741.9399999999996</v>
      </c>
      <c r="I267" s="3272">
        <v>168</v>
      </c>
      <c r="J267" s="3272">
        <v>4573.9399999999996</v>
      </c>
      <c r="K267" s="3378"/>
    </row>
    <row r="268" spans="5:11" ht="14.25" thickBot="1">
      <c r="E268" s="3372"/>
      <c r="F268" s="3376"/>
      <c r="G268" s="3271" t="s">
        <v>3289</v>
      </c>
      <c r="H268" s="3272">
        <v>1920</v>
      </c>
      <c r="I268" s="3272">
        <v>1870</v>
      </c>
      <c r="J268" s="3272">
        <v>50</v>
      </c>
      <c r="K268" s="3378"/>
    </row>
    <row r="269" spans="5:11" ht="14.25" thickBot="1">
      <c r="E269" s="3372"/>
      <c r="F269" s="3380" t="s">
        <v>3290</v>
      </c>
      <c r="G269" s="3381"/>
      <c r="H269" s="3273">
        <v>6661.94</v>
      </c>
      <c r="I269" s="3273">
        <v>2038</v>
      </c>
      <c r="J269" s="3273">
        <v>4623.9399999999996</v>
      </c>
      <c r="K269" s="3378"/>
    </row>
    <row r="270" spans="5:11" ht="14.25" thickBot="1">
      <c r="E270" s="3373"/>
      <c r="F270" s="3382" t="s">
        <v>3291</v>
      </c>
      <c r="G270" s="3383"/>
      <c r="H270" s="3273">
        <v>208110.41</v>
      </c>
      <c r="I270" s="3273">
        <v>85078.17</v>
      </c>
      <c r="J270" s="3273">
        <v>123032.24</v>
      </c>
      <c r="K270" s="3379"/>
    </row>
    <row r="271" spans="5:11" ht="14.25" thickBot="1">
      <c r="E271" s="3371" t="s">
        <v>3292</v>
      </c>
      <c r="F271" s="3374" t="s">
        <v>3286</v>
      </c>
      <c r="G271" s="3271" t="s">
        <v>3197</v>
      </c>
      <c r="H271" s="3272">
        <v>37366.44</v>
      </c>
      <c r="I271" s="3272">
        <v>37366.44</v>
      </c>
      <c r="J271" s="3272">
        <v>0</v>
      </c>
      <c r="K271" s="3377">
        <v>0</v>
      </c>
    </row>
    <row r="272" spans="5:11" ht="14.25" thickBot="1">
      <c r="E272" s="3372"/>
      <c r="F272" s="3375"/>
      <c r="G272" s="3271" t="s">
        <v>3199</v>
      </c>
      <c r="H272" s="3272">
        <v>3473.18</v>
      </c>
      <c r="I272" s="3272">
        <v>3473.18</v>
      </c>
      <c r="J272" s="3272">
        <v>0</v>
      </c>
      <c r="K272" s="3378"/>
    </row>
    <row r="273" spans="5:11" ht="14.25" thickBot="1">
      <c r="E273" s="3372"/>
      <c r="F273" s="3375"/>
      <c r="G273" s="3271" t="s">
        <v>3201</v>
      </c>
      <c r="H273" s="3272">
        <v>23770.38</v>
      </c>
      <c r="I273" s="3272">
        <v>23770.38</v>
      </c>
      <c r="J273" s="3272">
        <v>0</v>
      </c>
      <c r="K273" s="3378"/>
    </row>
    <row r="274" spans="5:11" ht="14.25" thickBot="1">
      <c r="E274" s="3372"/>
      <c r="F274" s="3375"/>
      <c r="G274" s="3271" t="s">
        <v>35</v>
      </c>
      <c r="H274" s="3272">
        <v>26123.5</v>
      </c>
      <c r="I274" s="3272">
        <v>0</v>
      </c>
      <c r="J274" s="3272">
        <v>26123.5</v>
      </c>
      <c r="K274" s="3378"/>
    </row>
    <row r="275" spans="5:11" ht="14.25" thickBot="1">
      <c r="E275" s="3372"/>
      <c r="F275" s="3375"/>
      <c r="G275" s="3271" t="s">
        <v>3287</v>
      </c>
      <c r="H275" s="3272">
        <v>5874.31</v>
      </c>
      <c r="I275" s="3272">
        <v>0</v>
      </c>
      <c r="J275" s="3272">
        <v>5874.31</v>
      </c>
      <c r="K275" s="3378"/>
    </row>
    <row r="276" spans="5:11" ht="14.25" thickBot="1">
      <c r="E276" s="3372"/>
      <c r="F276" s="3376"/>
      <c r="G276" s="3271" t="s">
        <v>3229</v>
      </c>
      <c r="H276" s="3272">
        <v>59454.19</v>
      </c>
      <c r="I276" s="3272">
        <v>0</v>
      </c>
      <c r="J276" s="3272">
        <v>59454.19</v>
      </c>
      <c r="K276" s="3378"/>
    </row>
    <row r="277" spans="5:11" ht="14.25" thickBot="1">
      <c r="E277" s="3372"/>
      <c r="F277" s="3380" t="s">
        <v>3293</v>
      </c>
      <c r="G277" s="3381"/>
      <c r="H277" s="3272">
        <v>156062</v>
      </c>
      <c r="I277" s="3272">
        <v>64610</v>
      </c>
      <c r="J277" s="3272">
        <v>91452</v>
      </c>
      <c r="K277" s="3378"/>
    </row>
    <row r="278" spans="5:11" ht="14.25" thickBot="1">
      <c r="E278" s="3372"/>
      <c r="F278" s="3374" t="s">
        <v>1680</v>
      </c>
      <c r="G278" s="3271" t="s">
        <v>2314</v>
      </c>
      <c r="H278" s="3272">
        <v>12764</v>
      </c>
      <c r="I278" s="3272">
        <v>84</v>
      </c>
      <c r="J278" s="3272">
        <v>12680</v>
      </c>
      <c r="K278" s="3378"/>
    </row>
    <row r="279" spans="5:11" ht="14.25" thickBot="1">
      <c r="E279" s="3372"/>
      <c r="F279" s="3376"/>
      <c r="G279" s="3271" t="s">
        <v>3289</v>
      </c>
      <c r="H279" s="3272">
        <v>990</v>
      </c>
      <c r="I279" s="3272">
        <v>0</v>
      </c>
      <c r="J279" s="3272">
        <v>990</v>
      </c>
      <c r="K279" s="3378"/>
    </row>
    <row r="280" spans="5:11" ht="14.25" thickBot="1">
      <c r="E280" s="3372"/>
      <c r="F280" s="3380" t="s">
        <v>3294</v>
      </c>
      <c r="G280" s="3381"/>
      <c r="H280" s="3272">
        <v>13754</v>
      </c>
      <c r="I280" s="3272">
        <v>84</v>
      </c>
      <c r="J280" s="3272">
        <v>13670</v>
      </c>
      <c r="K280" s="3378"/>
    </row>
    <row r="281" spans="5:11" ht="14.25" thickBot="1">
      <c r="E281" s="3373"/>
      <c r="F281" s="3382" t="s">
        <v>3295</v>
      </c>
      <c r="G281" s="3383"/>
      <c r="H281" s="3273">
        <v>169816</v>
      </c>
      <c r="I281" s="3273">
        <v>64694</v>
      </c>
      <c r="J281" s="3273">
        <v>105122</v>
      </c>
      <c r="K281" s="3379"/>
    </row>
    <row r="282" spans="5:11" ht="14.25" thickBot="1">
      <c r="E282" s="3366" t="s">
        <v>3296</v>
      </c>
      <c r="F282" s="3367"/>
      <c r="G282" s="3368"/>
      <c r="H282" s="3273">
        <f>H270+H281</f>
        <v>377926.41000000003</v>
      </c>
      <c r="I282" s="3273">
        <f t="shared" ref="I282:J282" si="8">I270+I281</f>
        <v>149772.16999999998</v>
      </c>
      <c r="J282" s="3273">
        <f t="shared" si="8"/>
        <v>228154.23999999999</v>
      </c>
      <c r="K282" s="3274">
        <f>K259</f>
        <v>60947.48</v>
      </c>
    </row>
    <row r="290" spans="3:12" ht="14.25" thickBot="1"/>
    <row r="291" spans="3:12" ht="39" thickTop="1">
      <c r="C291" s="3369" t="s">
        <v>3386</v>
      </c>
      <c r="D291" s="3369" t="s">
        <v>3387</v>
      </c>
      <c r="E291" s="3369" t="s">
        <v>3388</v>
      </c>
      <c r="F291" s="3275" t="s">
        <v>3385</v>
      </c>
      <c r="G291" s="3364" t="s">
        <v>3390</v>
      </c>
      <c r="H291" s="3365"/>
      <c r="I291" s="3364" t="s">
        <v>3391</v>
      </c>
      <c r="J291" s="3365"/>
      <c r="K291" s="3364" t="s">
        <v>3392</v>
      </c>
      <c r="L291" s="3365"/>
    </row>
    <row r="292" spans="3:12" ht="25.5">
      <c r="C292" s="3370"/>
      <c r="D292" s="3370"/>
      <c r="E292" s="3370"/>
      <c r="F292" s="3276" t="s">
        <v>3389</v>
      </c>
      <c r="G292" s="3276" t="s">
        <v>2932</v>
      </c>
      <c r="H292" s="3276" t="s">
        <v>3393</v>
      </c>
      <c r="I292" s="3276" t="s">
        <v>3394</v>
      </c>
      <c r="J292" s="3276" t="s">
        <v>3393</v>
      </c>
      <c r="K292" s="3276" t="s">
        <v>3394</v>
      </c>
      <c r="L292" s="3276" t="s">
        <v>3393</v>
      </c>
    </row>
    <row r="293" spans="3:12" ht="114.75">
      <c r="C293" s="3277" t="s">
        <v>3395</v>
      </c>
      <c r="D293" s="3278">
        <v>208110.41</v>
      </c>
      <c r="E293" s="3278">
        <v>72636.320000000007</v>
      </c>
      <c r="F293" s="3279">
        <v>60947.48</v>
      </c>
      <c r="G293" s="3278">
        <v>438261</v>
      </c>
      <c r="H293" s="3278">
        <v>21060</v>
      </c>
      <c r="I293" s="3278">
        <v>16367</v>
      </c>
      <c r="J293" s="3278">
        <v>786</v>
      </c>
      <c r="K293" s="3278">
        <v>454628</v>
      </c>
      <c r="L293" s="3278">
        <v>21846</v>
      </c>
    </row>
    <row r="294" spans="3:12" ht="89.25">
      <c r="C294" s="3277" t="s">
        <v>3396</v>
      </c>
      <c r="D294" s="3278">
        <v>169816</v>
      </c>
      <c r="E294" s="3278">
        <v>62541.33</v>
      </c>
      <c r="F294" s="3278">
        <v>0</v>
      </c>
      <c r="G294" s="3278">
        <v>311695</v>
      </c>
      <c r="H294" s="3278">
        <v>18355</v>
      </c>
      <c r="I294" s="3278">
        <v>0</v>
      </c>
      <c r="J294" s="3278">
        <v>0</v>
      </c>
      <c r="K294" s="3278">
        <v>311695</v>
      </c>
      <c r="L294" s="3278">
        <v>18355</v>
      </c>
    </row>
    <row r="295" spans="3:12">
      <c r="C295" s="3277" t="s">
        <v>24</v>
      </c>
      <c r="D295" s="3278">
        <v>377926.41</v>
      </c>
      <c r="E295" s="3278">
        <v>135177.65</v>
      </c>
      <c r="F295" s="3279">
        <v>60947.48</v>
      </c>
      <c r="G295" s="3356">
        <f>G293+G294</f>
        <v>749956</v>
      </c>
      <c r="H295" s="3358"/>
      <c r="I295" s="3356">
        <f>I293+I294</f>
        <v>16367</v>
      </c>
      <c r="J295" s="3358"/>
      <c r="K295" s="3356">
        <f>K293+K294</f>
        <v>766323</v>
      </c>
      <c r="L295" s="3358"/>
    </row>
    <row r="296" spans="3:12" ht="25.5" customHeight="1">
      <c r="C296" s="3350" t="s">
        <v>3397</v>
      </c>
      <c r="D296" s="3351"/>
      <c r="E296" s="3351"/>
      <c r="F296" s="3352"/>
      <c r="G296" s="3362">
        <f>G295*10000</f>
        <v>7499560000</v>
      </c>
      <c r="H296" s="3363"/>
      <c r="I296" s="3362">
        <f t="shared" ref="I296" si="9">I295*10000</f>
        <v>163670000</v>
      </c>
      <c r="J296" s="3363"/>
      <c r="K296" s="3362">
        <f t="shared" ref="K296" si="10">K295*10000</f>
        <v>7663230000</v>
      </c>
      <c r="L296" s="3363"/>
    </row>
    <row r="297" spans="3:12">
      <c r="C297" s="3353" t="s">
        <v>3399</v>
      </c>
      <c r="D297" s="3354"/>
      <c r="E297" s="3354"/>
      <c r="F297" s="3355"/>
      <c r="G297" s="3356">
        <v>0</v>
      </c>
      <c r="H297" s="3357"/>
      <c r="I297" s="3357"/>
      <c r="J297" s="3357"/>
      <c r="K297" s="3357"/>
      <c r="L297" s="3358"/>
    </row>
    <row r="298" spans="3:12">
      <c r="C298" s="3350" t="s">
        <v>3397</v>
      </c>
      <c r="D298" s="3351"/>
      <c r="E298" s="3351"/>
      <c r="F298" s="3352"/>
      <c r="G298" s="3350" t="s">
        <v>3400</v>
      </c>
      <c r="H298" s="3351"/>
      <c r="I298" s="3351"/>
      <c r="J298" s="3351"/>
      <c r="K298" s="3351"/>
      <c r="L298" s="3352"/>
    </row>
    <row r="299" spans="3:12">
      <c r="C299" s="3353" t="s">
        <v>3401</v>
      </c>
      <c r="D299" s="3354"/>
      <c r="E299" s="3354"/>
      <c r="F299" s="3355"/>
      <c r="G299" s="3356">
        <v>790992</v>
      </c>
      <c r="H299" s="3357"/>
      <c r="I299" s="3357"/>
      <c r="J299" s="3357"/>
      <c r="K299" s="3357"/>
      <c r="L299" s="3358"/>
    </row>
    <row r="300" spans="3:12" ht="14.25" thickBot="1">
      <c r="C300" s="3359" t="s">
        <v>3397</v>
      </c>
      <c r="D300" s="3360"/>
      <c r="E300" s="3360"/>
      <c r="F300" s="3361"/>
      <c r="G300" s="3359" t="s">
        <v>3398</v>
      </c>
      <c r="H300" s="3360"/>
      <c r="I300" s="3360"/>
      <c r="J300" s="3360"/>
      <c r="K300" s="3360"/>
      <c r="L300" s="3361"/>
    </row>
    <row r="301" spans="3:12" ht="14.25" thickTop="1"/>
  </sheetData>
  <mergeCells count="48">
    <mergeCell ref="C203:D203"/>
    <mergeCell ref="B92:B93"/>
    <mergeCell ref="C92:F92"/>
    <mergeCell ref="G92:K92"/>
    <mergeCell ref="A180:B180"/>
    <mergeCell ref="B183:B184"/>
    <mergeCell ref="C183:F183"/>
    <mergeCell ref="G183:K183"/>
    <mergeCell ref="E257:E270"/>
    <mergeCell ref="F257:F258"/>
    <mergeCell ref="G257:G258"/>
    <mergeCell ref="H257:J257"/>
    <mergeCell ref="K257:K258"/>
    <mergeCell ref="F259:F265"/>
    <mergeCell ref="K259:K270"/>
    <mergeCell ref="F266:G266"/>
    <mergeCell ref="F267:F268"/>
    <mergeCell ref="F269:G269"/>
    <mergeCell ref="F270:G270"/>
    <mergeCell ref="E271:E281"/>
    <mergeCell ref="F271:F276"/>
    <mergeCell ref="K271:K281"/>
    <mergeCell ref="F277:G277"/>
    <mergeCell ref="F278:F279"/>
    <mergeCell ref="F280:G280"/>
    <mergeCell ref="F281:G281"/>
    <mergeCell ref="E282:G282"/>
    <mergeCell ref="C291:C292"/>
    <mergeCell ref="D291:D292"/>
    <mergeCell ref="E291:E292"/>
    <mergeCell ref="G291:H291"/>
    <mergeCell ref="I291:J291"/>
    <mergeCell ref="K291:L291"/>
    <mergeCell ref="G295:H295"/>
    <mergeCell ref="I295:J295"/>
    <mergeCell ref="K295:L295"/>
    <mergeCell ref="C296:F296"/>
    <mergeCell ref="G296:H296"/>
    <mergeCell ref="I296:J296"/>
    <mergeCell ref="K296:L296"/>
    <mergeCell ref="C297:F297"/>
    <mergeCell ref="G297:L297"/>
    <mergeCell ref="C298:F298"/>
    <mergeCell ref="G298:L298"/>
    <mergeCell ref="C299:F299"/>
    <mergeCell ref="G299:L299"/>
    <mergeCell ref="C300:F300"/>
    <mergeCell ref="G300:L300"/>
  </mergeCells>
  <phoneticPr fontId="234"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F34" sqref="F3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406" t="s">
        <v>203</v>
      </c>
      <c r="B2" s="3406"/>
      <c r="C2" s="3406"/>
      <c r="D2" s="1972" t="s">
        <v>204</v>
      </c>
      <c r="E2" s="106" t="s">
        <v>205</v>
      </c>
      <c r="F2" s="1981"/>
      <c r="G2" s="1197"/>
      <c r="H2" s="1198"/>
      <c r="I2" s="1199" t="s">
        <v>857</v>
      </c>
      <c r="J2" s="1981"/>
      <c r="K2" s="1981"/>
      <c r="L2" s="1981"/>
    </row>
    <row r="3" spans="1:16" ht="15.75" thickBot="1">
      <c r="A3" s="3407" t="s">
        <v>206</v>
      </c>
      <c r="B3" s="3407"/>
      <c r="C3" s="3407"/>
      <c r="D3" s="107">
        <f>'数据-基础表'!AY6</f>
        <v>62541.33</v>
      </c>
      <c r="E3" s="107">
        <f>'数据-基础表'!AZ5</f>
        <v>169816</v>
      </c>
      <c r="F3" s="1981"/>
      <c r="G3" s="279" t="s">
        <v>858</v>
      </c>
      <c r="H3" s="274" t="s">
        <v>859</v>
      </c>
      <c r="I3" s="1973">
        <f>ROUND('数据-基础表'!B3/'数据-基础表'!A3,2)</f>
        <v>2.72</v>
      </c>
      <c r="J3" s="1981"/>
      <c r="K3" s="1981"/>
      <c r="L3" s="1981"/>
    </row>
    <row r="4" spans="1:16" ht="15">
      <c r="A4" s="3408"/>
      <c r="B4" s="3409"/>
      <c r="C4" s="3410"/>
      <c r="D4" s="108" t="s">
        <v>204</v>
      </c>
      <c r="E4" s="109" t="s">
        <v>205</v>
      </c>
      <c r="F4" s="1981"/>
      <c r="G4" s="1200"/>
      <c r="H4" s="274" t="s">
        <v>860</v>
      </c>
      <c r="I4" s="1973">
        <f>ROUND(SUMIF('数据-基础表'!I9:AS9,"地上",'数据-基础表'!I5:AS5)/'数据-基础表'!A3,2)</f>
        <v>1.01</v>
      </c>
      <c r="J4" s="1981"/>
      <c r="K4" s="1981"/>
      <c r="L4" s="1981"/>
    </row>
    <row r="5" spans="1:16">
      <c r="A5" s="110" t="s">
        <v>207</v>
      </c>
      <c r="B5" s="3411" t="s">
        <v>230</v>
      </c>
      <c r="C5" s="3411"/>
      <c r="D5" s="111">
        <f>ROUND($D$3*E5/$E$3,2)</f>
        <v>23795.14</v>
      </c>
      <c r="E5" s="112">
        <f>SUMIF('数据-基础表'!$11:$11,"住宅",'数据-基础表'!$5:$5)</f>
        <v>64609.999999999985</v>
      </c>
      <c r="F5" s="1981"/>
      <c r="G5" s="279" t="s">
        <v>861</v>
      </c>
      <c r="H5" s="274" t="s">
        <v>859</v>
      </c>
      <c r="I5" s="1973">
        <f>ROUND(E31/D31,2)</f>
        <v>2.72</v>
      </c>
      <c r="J5" s="1981"/>
      <c r="K5" s="1981"/>
      <c r="L5" s="1981"/>
    </row>
    <row r="6" spans="1:16" ht="15" thickBot="1">
      <c r="A6" s="113"/>
      <c r="B6" s="3411" t="s">
        <v>208</v>
      </c>
      <c r="C6" s="3411"/>
      <c r="D6" s="111">
        <f>ROUND($D$3*E6/$E$3,2)</f>
        <v>38746.19</v>
      </c>
      <c r="E6" s="112">
        <f>E3-E5</f>
        <v>105206.00000000001</v>
      </c>
      <c r="F6" s="1981"/>
      <c r="G6" s="1200"/>
      <c r="H6" s="274" t="s">
        <v>860</v>
      </c>
      <c r="I6" s="1973">
        <f>ROUND(F31/D31,2)</f>
        <v>1.03</v>
      </c>
      <c r="J6" s="1981"/>
      <c r="K6" s="1981"/>
      <c r="L6" s="1981"/>
    </row>
    <row r="7" spans="1:16" ht="15">
      <c r="A7" s="3403"/>
      <c r="B7" s="3404"/>
      <c r="C7" s="3405"/>
      <c r="D7" s="108" t="s">
        <v>204</v>
      </c>
      <c r="E7" s="114" t="s">
        <v>231</v>
      </c>
      <c r="F7" s="1981"/>
      <c r="G7" s="1155" t="s">
        <v>1646</v>
      </c>
      <c r="H7" s="1156"/>
      <c r="I7" s="1843"/>
      <c r="J7" s="1981"/>
      <c r="K7" s="1981"/>
      <c r="L7" s="1981"/>
    </row>
    <row r="8" spans="1:16">
      <c r="A8" s="110" t="s">
        <v>209</v>
      </c>
      <c r="B8" s="115" t="s">
        <v>210</v>
      </c>
      <c r="C8" s="111" t="s">
        <v>211</v>
      </c>
      <c r="D8" s="111">
        <f t="shared" ref="D8:D15" si="0">ROUND($D$3*E8/$E$3,2)</f>
        <v>23795.14</v>
      </c>
      <c r="E8" s="116">
        <f>SUMIF('数据-基础表'!BB10:BK10,"地上",'数据-基础表'!BB5:BK5)</f>
        <v>64609.999999999985</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24059.75</v>
      </c>
      <c r="E12" s="116">
        <f>SUMPRODUCT(('数据-基础表'!BB10:BK10="地下")*('数据-基础表'!BB11:BK11="仓储")*('数据-基础表'!BB5:BK5))</f>
        <v>65328.5</v>
      </c>
      <c r="F12" s="1981"/>
      <c r="G12" s="1983"/>
      <c r="H12" s="1983"/>
      <c r="I12" s="1981"/>
      <c r="J12" s="1981"/>
      <c r="K12" s="1981"/>
      <c r="L12" s="1981"/>
    </row>
    <row r="13" spans="1:16">
      <c r="A13" s="117"/>
      <c r="B13" s="118"/>
      <c r="C13" s="2328" t="s">
        <v>2332</v>
      </c>
      <c r="D13" s="111">
        <f t="shared" si="0"/>
        <v>9620.99</v>
      </c>
      <c r="E13" s="116">
        <f>SUMPRODUCT(('数据-基础表'!BB10:BK10="地下")*('数据-基础表'!BB11:BK11="车库")*('数据-基础表'!BB5:BK5))</f>
        <v>26123.5</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57475.88</v>
      </c>
      <c r="E16" s="120">
        <f>SUM(E8:E15)</f>
        <v>156062</v>
      </c>
      <c r="F16" s="1981"/>
      <c r="G16" s="1983"/>
      <c r="H16" s="967" t="s">
        <v>219</v>
      </c>
      <c r="I16" s="968"/>
      <c r="J16" s="1981"/>
      <c r="K16" s="3397" t="s">
        <v>2564</v>
      </c>
      <c r="L16" s="3398"/>
      <c r="M16" s="3398"/>
      <c r="N16" s="3398"/>
      <c r="O16" s="3398"/>
      <c r="P16" s="3399"/>
    </row>
    <row r="17" spans="1:19" ht="15">
      <c r="A17" s="121" t="s">
        <v>216</v>
      </c>
      <c r="B17" s="122" t="s">
        <v>217</v>
      </c>
      <c r="C17" s="2295" t="s">
        <v>2313</v>
      </c>
      <c r="D17" s="108" t="s">
        <v>204</v>
      </c>
      <c r="E17" s="124" t="s">
        <v>205</v>
      </c>
      <c r="F17" s="125"/>
      <c r="G17" s="1364"/>
      <c r="H17" s="969" t="s">
        <v>218</v>
      </c>
      <c r="I17" s="970" t="s">
        <v>2312</v>
      </c>
      <c r="J17" s="1981"/>
      <c r="K17" s="3400" t="s">
        <v>2565</v>
      </c>
      <c r="L17" s="3401"/>
      <c r="M17" s="3402"/>
      <c r="N17" s="3400" t="s">
        <v>2566</v>
      </c>
      <c r="O17" s="3401"/>
      <c r="P17" s="3402"/>
      <c r="R17" s="2296" t="s">
        <v>2311</v>
      </c>
      <c r="S17" s="143"/>
    </row>
    <row r="18" spans="1:19" ht="15">
      <c r="A18" s="117"/>
      <c r="B18" s="128"/>
      <c r="C18" s="129"/>
      <c r="D18" s="2639"/>
      <c r="E18" s="130" t="s">
        <v>220</v>
      </c>
      <c r="F18" s="131" t="s">
        <v>221</v>
      </c>
      <c r="G18" s="1365" t="s">
        <v>222</v>
      </c>
      <c r="H18" s="971" t="s">
        <v>223</v>
      </c>
      <c r="I18" s="972" t="s">
        <v>224</v>
      </c>
      <c r="J18" s="1981"/>
      <c r="K18" s="2602" t="s">
        <v>2567</v>
      </c>
      <c r="L18" s="2603" t="s">
        <v>2568</v>
      </c>
      <c r="M18" s="2604" t="s">
        <v>2569</v>
      </c>
      <c r="N18" s="2602" t="s">
        <v>2567</v>
      </c>
      <c r="O18" s="2603" t="s">
        <v>2568</v>
      </c>
      <c r="P18" s="2604" t="s">
        <v>2569</v>
      </c>
      <c r="R18" s="2297" t="s">
        <v>2309</v>
      </c>
      <c r="S18" s="2297" t="s">
        <v>2310</v>
      </c>
    </row>
    <row r="19" spans="1:19">
      <c r="A19" s="133"/>
      <c r="B19" s="115" t="s">
        <v>225</v>
      </c>
      <c r="C19" s="3021" t="s">
        <v>3198</v>
      </c>
      <c r="D19" s="111">
        <f t="shared" ref="D19:D26" si="1">ROUND($D$3*E19/$E$3,2)</f>
        <v>13761.64</v>
      </c>
      <c r="E19" s="134">
        <f t="shared" ref="E19:E26" si="2">SUM(F19:G19)</f>
        <v>37366.439999999988</v>
      </c>
      <c r="F19" s="135">
        <f>'数据-基础表'!I14</f>
        <v>37366.439999999988</v>
      </c>
      <c r="G19" s="1366"/>
      <c r="H19" s="973">
        <f>ROUND($D$3*I19/$E$3,2)</f>
        <v>1336.4</v>
      </c>
      <c r="I19" s="116">
        <f>IF($I$17="自定义",P19,M19)</f>
        <v>3628.6800000000003</v>
      </c>
      <c r="J19" s="1981"/>
      <c r="K19" s="2605">
        <f t="shared" ref="K19:K26" si="3">ROUND(E$28*E19/E$27,2)</f>
        <v>3056.13</v>
      </c>
      <c r="L19" s="274">
        <f t="shared" ref="L19:L26" si="4">ROUND(IF(COUNTIF(C19,"*住宅*")&gt;0,E$29*E19/E$32,0),2)</f>
        <v>572.54999999999995</v>
      </c>
      <c r="M19" s="2606">
        <f>K19+L19</f>
        <v>3628.6800000000003</v>
      </c>
      <c r="N19" s="2607"/>
      <c r="O19" s="2608"/>
      <c r="P19" s="2609">
        <f>N19+O19</f>
        <v>0</v>
      </c>
      <c r="R19" s="274">
        <f t="shared" ref="R19:S26" si="5">D19+H19</f>
        <v>15098.039999999999</v>
      </c>
      <c r="S19" s="2298">
        <f t="shared" si="5"/>
        <v>40995.119999999988</v>
      </c>
    </row>
    <row r="20" spans="1:19">
      <c r="A20" s="138"/>
      <c r="B20" s="115" t="s">
        <v>226</v>
      </c>
      <c r="C20" s="3021" t="s">
        <v>3200</v>
      </c>
      <c r="D20" s="111">
        <f t="shared" si="1"/>
        <v>1279.1300000000001</v>
      </c>
      <c r="E20" s="134">
        <f t="shared" si="2"/>
        <v>3473.1799999999967</v>
      </c>
      <c r="F20" s="135">
        <f>'数据-基础表'!K14</f>
        <v>3473.1799999999967</v>
      </c>
      <c r="G20" s="1366"/>
      <c r="H20" s="973">
        <f t="shared" ref="H20:H26" si="6">ROUND($D$3*I20/$E$3,2)</f>
        <v>124.22</v>
      </c>
      <c r="I20" s="116">
        <f t="shared" ref="I20:I26" si="7">IF($I$17="自定义",P20,M20)</f>
        <v>337.28</v>
      </c>
      <c r="J20" s="1981"/>
      <c r="K20" s="2605">
        <f t="shared" si="3"/>
        <v>284.06</v>
      </c>
      <c r="L20" s="274">
        <f t="shared" si="4"/>
        <v>53.22</v>
      </c>
      <c r="M20" s="2606">
        <f t="shared" ref="M20:M26" si="8">K20+L20</f>
        <v>337.28</v>
      </c>
      <c r="N20" s="2607"/>
      <c r="O20" s="2608"/>
      <c r="P20" s="2609">
        <f t="shared" ref="P20:P26" si="9">N20+O20</f>
        <v>0</v>
      </c>
      <c r="R20" s="274">
        <f t="shared" si="5"/>
        <v>1403.3500000000001</v>
      </c>
      <c r="S20" s="2298">
        <f t="shared" si="5"/>
        <v>3810.4599999999964</v>
      </c>
    </row>
    <row r="21" spans="1:19">
      <c r="A21" s="138"/>
      <c r="B21" s="115" t="s">
        <v>226</v>
      </c>
      <c r="C21" s="3021" t="s">
        <v>3202</v>
      </c>
      <c r="D21" s="111">
        <f t="shared" si="1"/>
        <v>8754.36</v>
      </c>
      <c r="E21" s="134">
        <f t="shared" si="2"/>
        <v>23770.38</v>
      </c>
      <c r="F21" s="135">
        <f>'数据-基础表'!M14</f>
        <v>23770.38</v>
      </c>
      <c r="G21" s="1366"/>
      <c r="H21" s="973">
        <f t="shared" si="6"/>
        <v>850.14</v>
      </c>
      <c r="I21" s="116">
        <f t="shared" si="7"/>
        <v>2308.36</v>
      </c>
      <c r="J21" s="1981"/>
      <c r="K21" s="2605">
        <f t="shared" si="3"/>
        <v>1944.13</v>
      </c>
      <c r="L21" s="274">
        <f t="shared" si="4"/>
        <v>364.23</v>
      </c>
      <c r="M21" s="2606">
        <f t="shared" si="8"/>
        <v>2308.36</v>
      </c>
      <c r="N21" s="2607"/>
      <c r="O21" s="2608"/>
      <c r="P21" s="2609">
        <f t="shared" si="9"/>
        <v>0</v>
      </c>
      <c r="R21" s="274">
        <f t="shared" si="5"/>
        <v>9604.5</v>
      </c>
      <c r="S21" s="2298">
        <f t="shared" si="5"/>
        <v>26078.74</v>
      </c>
    </row>
    <row r="22" spans="1:19">
      <c r="A22" s="138"/>
      <c r="B22" s="115" t="s">
        <v>226</v>
      </c>
      <c r="C22" s="3192" t="s">
        <v>3192</v>
      </c>
      <c r="D22" s="111">
        <f t="shared" si="1"/>
        <v>0</v>
      </c>
      <c r="E22" s="134">
        <f t="shared" si="2"/>
        <v>0</v>
      </c>
      <c r="F22" s="139"/>
      <c r="G22" s="1367"/>
      <c r="H22" s="973">
        <f t="shared" si="6"/>
        <v>0</v>
      </c>
      <c r="I22" s="116">
        <f t="shared" si="7"/>
        <v>0</v>
      </c>
      <c r="J22" s="1981"/>
      <c r="K22" s="2605">
        <f t="shared" si="3"/>
        <v>0</v>
      </c>
      <c r="L22" s="274">
        <f t="shared" si="4"/>
        <v>0</v>
      </c>
      <c r="M22" s="2606">
        <f t="shared" si="8"/>
        <v>0</v>
      </c>
      <c r="N22" s="2607"/>
      <c r="O22" s="2608"/>
      <c r="P22" s="2609">
        <f t="shared" si="9"/>
        <v>0</v>
      </c>
      <c r="R22" s="274">
        <f t="shared" si="5"/>
        <v>0</v>
      </c>
      <c r="S22" s="2298">
        <f t="shared" si="5"/>
        <v>0</v>
      </c>
    </row>
    <row r="23" spans="1:19">
      <c r="A23" s="138"/>
      <c r="B23" s="115" t="s">
        <v>226</v>
      </c>
      <c r="C23" s="3192" t="s">
        <v>3193</v>
      </c>
      <c r="D23" s="111">
        <f>ROUND($D$3*E23/$E$3,2)</f>
        <v>9620.99</v>
      </c>
      <c r="E23" s="134">
        <f>SUM(F23:G23)</f>
        <v>26123.5</v>
      </c>
      <c r="F23" s="139"/>
      <c r="G23" s="1367">
        <f>'数据-基础表'!S14</f>
        <v>26123.5</v>
      </c>
      <c r="H23" s="973">
        <f>ROUND($D$3*I23/$E$3,2)</f>
        <v>786.88</v>
      </c>
      <c r="I23" s="116">
        <f t="shared" si="7"/>
        <v>2136.59</v>
      </c>
      <c r="J23" s="1981"/>
      <c r="K23" s="2605">
        <f t="shared" si="3"/>
        <v>2136.59</v>
      </c>
      <c r="L23" s="274">
        <f t="shared" si="4"/>
        <v>0</v>
      </c>
      <c r="M23" s="2606">
        <f t="shared" si="8"/>
        <v>2136.59</v>
      </c>
      <c r="N23" s="2607"/>
      <c r="O23" s="2608"/>
      <c r="P23" s="2609">
        <f t="shared" si="9"/>
        <v>0</v>
      </c>
      <c r="R23" s="274">
        <f t="shared" si="5"/>
        <v>10407.869999999999</v>
      </c>
      <c r="S23" s="2298">
        <f t="shared" si="5"/>
        <v>28260.09</v>
      </c>
    </row>
    <row r="24" spans="1:19">
      <c r="A24" s="138"/>
      <c r="B24" s="115" t="s">
        <v>226</v>
      </c>
      <c r="C24" s="3192" t="s">
        <v>3196</v>
      </c>
      <c r="D24" s="111">
        <f>ROUND($D$3*E24/$E$3,2)</f>
        <v>2163.44</v>
      </c>
      <c r="E24" s="134">
        <f>SUM(F24:G24)</f>
        <v>5874.31</v>
      </c>
      <c r="F24" s="139"/>
      <c r="G24" s="1367">
        <f>'数据-基础表'!W14</f>
        <v>5874.31</v>
      </c>
      <c r="H24" s="973">
        <f>ROUND($D$3*I24/$E$3,2)</f>
        <v>176.94</v>
      </c>
      <c r="I24" s="116">
        <f t="shared" si="7"/>
        <v>480.45</v>
      </c>
      <c r="J24" s="1981"/>
      <c r="K24" s="2605">
        <f t="shared" si="3"/>
        <v>480.45</v>
      </c>
      <c r="L24" s="274">
        <f t="shared" si="4"/>
        <v>0</v>
      </c>
      <c r="M24" s="2606">
        <f t="shared" si="8"/>
        <v>480.45</v>
      </c>
      <c r="N24" s="2607"/>
      <c r="O24" s="2608"/>
      <c r="P24" s="2609">
        <f t="shared" si="9"/>
        <v>0</v>
      </c>
      <c r="R24" s="274">
        <f t="shared" si="5"/>
        <v>2340.38</v>
      </c>
      <c r="S24" s="2298">
        <f t="shared" si="5"/>
        <v>6354.76</v>
      </c>
    </row>
    <row r="25" spans="1:19">
      <c r="A25" s="138"/>
      <c r="B25" s="115" t="s">
        <v>226</v>
      </c>
      <c r="C25" s="3192" t="s">
        <v>3230</v>
      </c>
      <c r="D25" s="111">
        <f t="shared" si="1"/>
        <v>21896.31</v>
      </c>
      <c r="E25" s="134">
        <f t="shared" si="2"/>
        <v>59454.19</v>
      </c>
      <c r="F25" s="139"/>
      <c r="G25" s="1367">
        <f>'数据-基础表'!U14</f>
        <v>59454.19</v>
      </c>
      <c r="H25" s="110">
        <f t="shared" si="6"/>
        <v>1790.86</v>
      </c>
      <c r="I25" s="116">
        <f t="shared" si="7"/>
        <v>4862.6400000000003</v>
      </c>
      <c r="J25" s="1981"/>
      <c r="K25" s="2605">
        <f t="shared" si="3"/>
        <v>4862.6400000000003</v>
      </c>
      <c r="L25" s="274">
        <f t="shared" si="4"/>
        <v>0</v>
      </c>
      <c r="M25" s="2606">
        <f t="shared" si="8"/>
        <v>4862.6400000000003</v>
      </c>
      <c r="N25" s="2607"/>
      <c r="O25" s="2608"/>
      <c r="P25" s="2609">
        <f t="shared" si="9"/>
        <v>0</v>
      </c>
      <c r="R25" s="274">
        <f t="shared" si="5"/>
        <v>23687.170000000002</v>
      </c>
      <c r="S25" s="2298">
        <f t="shared" si="5"/>
        <v>64316.83</v>
      </c>
    </row>
    <row r="26" spans="1:19">
      <c r="A26" s="138"/>
      <c r="B26" s="115" t="s">
        <v>226</v>
      </c>
      <c r="C26" s="141"/>
      <c r="D26" s="111">
        <f t="shared" si="1"/>
        <v>0</v>
      </c>
      <c r="E26" s="134">
        <f t="shared" si="2"/>
        <v>0</v>
      </c>
      <c r="F26" s="139"/>
      <c r="G26" s="1367"/>
      <c r="H26" s="110">
        <f t="shared" si="6"/>
        <v>0</v>
      </c>
      <c r="I26" s="116">
        <f t="shared" si="7"/>
        <v>0</v>
      </c>
      <c r="J26" s="1981"/>
      <c r="K26" s="2610">
        <f t="shared" si="3"/>
        <v>0</v>
      </c>
      <c r="L26" s="279">
        <f t="shared" si="4"/>
        <v>0</v>
      </c>
      <c r="M26" s="145">
        <f t="shared" si="8"/>
        <v>0</v>
      </c>
      <c r="N26" s="2611"/>
      <c r="O26" s="2612"/>
      <c r="P26" s="2613">
        <f t="shared" si="9"/>
        <v>0</v>
      </c>
      <c r="R26" s="274">
        <f t="shared" si="5"/>
        <v>0</v>
      </c>
      <c r="S26" s="2298">
        <f t="shared" si="5"/>
        <v>0</v>
      </c>
    </row>
    <row r="27" spans="1:19" ht="29.25" thickBot="1">
      <c r="A27" s="138"/>
      <c r="B27" s="111"/>
      <c r="C27" s="127" t="s">
        <v>215</v>
      </c>
      <c r="D27" s="134">
        <f>SUM(D19:D26)</f>
        <v>57475.87000000001</v>
      </c>
      <c r="E27" s="142">
        <f>IF(SUM(E19:E26)='数据-基础表'!BA5,SUM(E19:E26),IF(F27="地上面积有误","面积有误","地下面积有误"))</f>
        <v>156062</v>
      </c>
      <c r="F27" s="134">
        <f>IF(SUM(F19:F26)=E8,SUM(F19:F26),"地上面积有误")</f>
        <v>64609.999999999985</v>
      </c>
      <c r="G27" s="112">
        <f>SUM(G19:G26)</f>
        <v>91452</v>
      </c>
      <c r="H27" s="974">
        <f>SUM(H19:H26)</f>
        <v>5065.4400000000005</v>
      </c>
      <c r="I27" s="975">
        <f>SUM(I19:I26)</f>
        <v>13754</v>
      </c>
      <c r="J27" s="1981"/>
      <c r="K27" s="2614">
        <f t="shared" ref="K27:P27" si="10">SUM(K19:K26)</f>
        <v>12764</v>
      </c>
      <c r="L27" s="2615">
        <f t="shared" si="10"/>
        <v>990</v>
      </c>
      <c r="M27" s="2616">
        <f t="shared" si="10"/>
        <v>13754</v>
      </c>
      <c r="N27" s="2614">
        <f t="shared" si="10"/>
        <v>0</v>
      </c>
      <c r="O27" s="2615">
        <f t="shared" si="10"/>
        <v>0</v>
      </c>
      <c r="P27" s="2617">
        <f t="shared" si="10"/>
        <v>0</v>
      </c>
      <c r="R27" s="2302" t="str">
        <f>IF(SUM(R19:R26)=$D$3,SUM(R19:R26),SUM(R19:R26)&amp;"误差"&amp;ROUND(SUM(R19:R26)-$D$3,2))</f>
        <v>62541.31误差-0.02</v>
      </c>
      <c r="S27" s="274">
        <f>IF(SUM(S19:S26)=$E$3,SUM(S19:S26),SUM(S19:S26)&amp;"误差"&amp;ROUND(SUM(S19:S26)-E3,2))</f>
        <v>169816</v>
      </c>
    </row>
    <row r="28" spans="1:19">
      <c r="A28" s="138"/>
      <c r="B28" s="115" t="s">
        <v>227</v>
      </c>
      <c r="C28" s="136" t="s">
        <v>228</v>
      </c>
      <c r="D28" s="111">
        <f>ROUND($D$3*E28/$E$3,2)</f>
        <v>4700.84</v>
      </c>
      <c r="E28" s="134">
        <f>SUM(F28:G28)</f>
        <v>12764</v>
      </c>
      <c r="F28" s="143">
        <f>'数据-基础表'!BQ5+'数据-基础表'!BS5</f>
        <v>84</v>
      </c>
      <c r="G28" s="144">
        <f>'数据-基础表'!BR5+'数据-基础表'!BT5</f>
        <v>12680</v>
      </c>
      <c r="H28" s="1981"/>
      <c r="I28" s="1981"/>
      <c r="J28" s="1981"/>
      <c r="K28" s="1981"/>
      <c r="L28" s="1981"/>
    </row>
    <row r="29" spans="1:19">
      <c r="A29" s="138"/>
      <c r="B29" s="115" t="s">
        <v>227</v>
      </c>
      <c r="C29" s="2310" t="s">
        <v>2320</v>
      </c>
      <c r="D29" s="111">
        <f>ROUND($D$3*E29/$E$3,2)</f>
        <v>364.61</v>
      </c>
      <c r="E29" s="134">
        <f>SUM(F29:G29)</f>
        <v>990</v>
      </c>
      <c r="F29" s="143">
        <f>'数据-基础表'!BM5+'数据-基础表'!BO5</f>
        <v>0</v>
      </c>
      <c r="G29" s="145">
        <f>'数据-基础表'!BN5+'数据-基础表'!BP5</f>
        <v>990</v>
      </c>
      <c r="H29" s="1981"/>
      <c r="I29" s="1981"/>
      <c r="J29" s="1981"/>
      <c r="K29" s="1981"/>
      <c r="L29" s="1981"/>
    </row>
    <row r="30" spans="1:19">
      <c r="A30" s="138"/>
      <c r="B30" s="111"/>
      <c r="C30" s="146" t="s">
        <v>215</v>
      </c>
      <c r="D30" s="134">
        <f>SUM(D28:D29)</f>
        <v>5065.45</v>
      </c>
      <c r="E30" s="134">
        <f>SUM(E28:E29)</f>
        <v>13754</v>
      </c>
      <c r="F30" s="134">
        <f>SUM(F28:F29)</f>
        <v>84</v>
      </c>
      <c r="G30" s="112">
        <f>SUM(G28:G29)</f>
        <v>13670</v>
      </c>
      <c r="H30" s="1981"/>
      <c r="I30" s="1981"/>
      <c r="J30" s="1981"/>
      <c r="K30" s="1981"/>
      <c r="L30" s="1981"/>
    </row>
    <row r="31" spans="1:19" ht="32.25" customHeight="1" thickBot="1">
      <c r="A31" s="1368"/>
      <c r="B31" s="1369" t="s">
        <v>229</v>
      </c>
      <c r="C31" s="2327" t="s">
        <v>2322</v>
      </c>
      <c r="D31" s="1370">
        <f>D27+D30</f>
        <v>62541.320000000007</v>
      </c>
      <c r="E31" s="1370">
        <f>E27+E30</f>
        <v>169816</v>
      </c>
      <c r="F31" s="1371">
        <f>F27+F30</f>
        <v>64693.999999999985</v>
      </c>
      <c r="G31" s="1372">
        <f>G27+G30</f>
        <v>105122</v>
      </c>
      <c r="H31" s="1981"/>
      <c r="I31" s="1981"/>
      <c r="J31" s="1981"/>
      <c r="K31" s="1981"/>
      <c r="L31" s="1981"/>
    </row>
    <row r="32" spans="1:19">
      <c r="A32" s="1981"/>
      <c r="B32" s="2360" t="s">
        <v>2321</v>
      </c>
      <c r="C32" s="2644"/>
      <c r="D32" s="1200"/>
      <c r="E32" s="1200">
        <f>SUMIF(C19:C26,"*住宅*",E19:E26)</f>
        <v>64609.999999999985</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7"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H29" sqref="H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7"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8" t="s">
        <v>235</v>
      </c>
      <c r="B2" s="2335">
        <f>项目基本情况!D3</f>
        <v>43444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40.5">
      <c r="A5" s="2301"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2825</v>
      </c>
      <c r="O5" s="162" t="s">
        <v>246</v>
      </c>
      <c r="P5" s="164" t="s">
        <v>247</v>
      </c>
      <c r="Q5" s="165" t="s">
        <v>248</v>
      </c>
      <c r="R5" s="166" t="s">
        <v>249</v>
      </c>
      <c r="S5" s="2618" t="s">
        <v>2570</v>
      </c>
      <c r="T5" s="167" t="s">
        <v>250</v>
      </c>
      <c r="U5" s="168" t="s">
        <v>251</v>
      </c>
      <c r="V5" s="158" t="s">
        <v>252</v>
      </c>
      <c r="W5" s="158" t="s">
        <v>253</v>
      </c>
      <c r="X5" s="1815"/>
      <c r="Y5" s="169" t="s">
        <v>254</v>
      </c>
      <c r="Z5" s="170" t="s">
        <v>255</v>
      </c>
      <c r="AA5" s="158" t="s">
        <v>252</v>
      </c>
      <c r="AB5" s="158" t="s">
        <v>253</v>
      </c>
      <c r="AC5" s="1816"/>
      <c r="AD5" s="171" t="s">
        <v>254</v>
      </c>
      <c r="AE5" s="1" t="s">
        <v>870</v>
      </c>
      <c r="AF5" s="158" t="s">
        <v>256</v>
      </c>
      <c r="AG5" s="169" t="s">
        <v>257</v>
      </c>
      <c r="AH5" s="1816" t="s">
        <v>2323</v>
      </c>
      <c r="AI5" s="170" t="s">
        <v>2292</v>
      </c>
      <c r="AJ5" s="170" t="s">
        <v>258</v>
      </c>
      <c r="AK5" s="158" t="s">
        <v>259</v>
      </c>
      <c r="AL5" s="158" t="s">
        <v>260</v>
      </c>
      <c r="AM5" s="171" t="s">
        <v>261</v>
      </c>
      <c r="AN5" s="2388" t="s">
        <v>2371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低密度住宅</v>
      </c>
      <c r="B6" s="2334" t="str">
        <f>IF(A6=0,"","经营性")</f>
        <v>经营性</v>
      </c>
      <c r="C6" s="172" t="s">
        <v>923</v>
      </c>
      <c r="D6" s="2305">
        <f>SUMIF(项目基本情况!D$15:I$15,C6,项目基本情况!D$18:I$18)</f>
        <v>70</v>
      </c>
      <c r="E6" s="2306">
        <f>IF(B6="","",SUMIF(项目基本情况!D$15:I$15,C6,项目基本情况!D$17:I$17))</f>
        <v>68510</v>
      </c>
      <c r="F6" s="173">
        <f>SUMIF(项目基本情况!D$15:I$15,C6,项目基本情况!D$19:I$19)</f>
        <v>68.67</v>
      </c>
      <c r="G6" s="174">
        <f t="shared" ref="G6:G13" si="0">IF(ISERROR(ROUND(POWER(1+H6,D6-F6)*(POWER(1+H6,F6)-1)/(POWER(1+H6,D6)-1),3)),0,ROUND(POWER(1+H6,D6-F6)*(POWER(1+H6,F6)-1)/(POWER(1+H6,D6)-1),3))</f>
        <v>0.997</v>
      </c>
      <c r="H6" s="3022">
        <v>4.4999999999999998E-2</v>
      </c>
      <c r="I6" s="3022">
        <v>0.05</v>
      </c>
      <c r="J6" s="175">
        <v>8.5000000000000006E-2</v>
      </c>
      <c r="K6" s="178">
        <f>SUMIF('数据-汇总表'!C$19:C$33,'数据-取费表'!A6,'数据-汇总表'!E$19:E$33)</f>
        <v>37366.439999999988</v>
      </c>
      <c r="L6" s="3023">
        <v>4000</v>
      </c>
      <c r="M6" s="176">
        <f t="shared" ref="M6:M14" si="1">ROUND(K6*L6/10000,0)</f>
        <v>14947</v>
      </c>
      <c r="N6" s="3024">
        <v>0</v>
      </c>
      <c r="O6" s="176">
        <f>IF($N$5="成新度","——",ROUND(M6*N6,0))</f>
        <v>0</v>
      </c>
      <c r="P6" s="177">
        <f>IF($N$5="成新度","——",M6-O6)</f>
        <v>14947</v>
      </c>
      <c r="Q6" s="3025">
        <f>'[1]数据-取费表'!$Q$6</f>
        <v>0.1</v>
      </c>
      <c r="R6" s="178">
        <f>SUMIF('数据-汇总表'!C$19:C$33,A6,'数据-汇总表'!R$19:R$33)</f>
        <v>15098.039999999999</v>
      </c>
      <c r="S6" s="132">
        <f>IF('数据-汇总表'!$I$17="按面积比例",SUMIF('数据-汇总表'!C$19:C$33,A6,'数据-汇总表'!K$19:K$33),SUMIF('数据-汇总表'!C$19:C$33,A6,'数据-汇总表'!N$19:N$33))</f>
        <v>3056.13</v>
      </c>
      <c r="T6" s="2231">
        <f>IF($T$4="按面积比例",IF(ISERROR(ROUND($M$14*S6/S$16,0)),"0",ROUND($M$14*S6/S$16,0)),"需自行计算录入")</f>
        <v>733</v>
      </c>
      <c r="U6" s="179"/>
      <c r="V6" s="180"/>
      <c r="W6" s="180"/>
      <c r="X6" s="2318"/>
      <c r="Y6" s="181"/>
      <c r="Z6" s="182"/>
      <c r="AA6" s="175"/>
      <c r="AB6" s="175"/>
      <c r="AC6" s="2321"/>
      <c r="AD6" s="183"/>
      <c r="AE6" s="971">
        <f ca="1">IF(AN6="",0,SUMIF(INDIRECT("'"&amp;AN6&amp;"'"&amp;"!E:E"),$AE$5,INDIRECT("'"&amp;AN6&amp;"'"&amp;"!F:F")))</f>
        <v>0</v>
      </c>
      <c r="AF6" s="140"/>
      <c r="AG6" s="1212">
        <f>IF(AF6="",0,AE6-AF6)</f>
        <v>0</v>
      </c>
      <c r="AH6" s="140"/>
      <c r="AI6" s="186"/>
      <c r="AJ6" s="187"/>
      <c r="AK6" s="188"/>
      <c r="AL6" s="189"/>
      <c r="AM6" s="3036"/>
      <c r="AN6" s="2389"/>
      <c r="AO6" s="1997"/>
      <c r="AP6" s="1203">
        <f>ROUND(1-1/(1+H6)^F6,3)</f>
        <v>0.95099999999999996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多层住宅</v>
      </c>
      <c r="B7" s="2334" t="str">
        <f t="shared" ref="B7:B13" si="2">IF(A7=0,"","经营性")</f>
        <v>经营性</v>
      </c>
      <c r="C7" s="172" t="s">
        <v>923</v>
      </c>
      <c r="D7" s="2305">
        <f>SUMIF(项目基本情况!D$15:I$15,C7,项目基本情况!D$18:I$18)</f>
        <v>70</v>
      </c>
      <c r="E7" s="2306">
        <f>IF(B7="","",SUMIF(项目基本情况!D$15:I$15,C7,项目基本情况!D$17:I$17))</f>
        <v>68510</v>
      </c>
      <c r="F7" s="173">
        <f>SUMIF(项目基本情况!D$15:I$15,C7,项目基本情况!D$19:I$19)</f>
        <v>68.67</v>
      </c>
      <c r="G7" s="174">
        <f t="shared" si="0"/>
        <v>0.997</v>
      </c>
      <c r="H7" s="3022">
        <v>4.4999999999999998E-2</v>
      </c>
      <c r="I7" s="3022">
        <v>0.05</v>
      </c>
      <c r="J7" s="175">
        <v>8.5000000000000006E-2</v>
      </c>
      <c r="K7" s="178">
        <f>SUMIF('数据-汇总表'!C$19:C$33,'数据-取费表'!A7,'数据-汇总表'!E$19:E$33)</f>
        <v>3473.1799999999967</v>
      </c>
      <c r="L7" s="3023">
        <f>L6</f>
        <v>4000</v>
      </c>
      <c r="M7" s="176">
        <f t="shared" si="1"/>
        <v>1389</v>
      </c>
      <c r="N7" s="3024">
        <v>0</v>
      </c>
      <c r="O7" s="176">
        <f t="shared" ref="O7:O14" si="3">IF($N$5="成新度","——",ROUND(M7*N7,0))</f>
        <v>0</v>
      </c>
      <c r="P7" s="177">
        <f t="shared" ref="P7:P14" si="4">IF($N$5="成新度","——",M7-O7)</f>
        <v>1389</v>
      </c>
      <c r="Q7" s="3025">
        <f>'[1]数据-取费表'!$Q$7</f>
        <v>0.1</v>
      </c>
      <c r="R7" s="178">
        <f>SUMIF('数据-汇总表'!C$19:C$33,A7,'数据-汇总表'!R$19:R$33)</f>
        <v>1403.3500000000001</v>
      </c>
      <c r="S7" s="132">
        <f>IF('数据-汇总表'!$I$17="按面积比例",SUMIF('数据-汇总表'!C$19:C$33,A7,'数据-汇总表'!K$19:K$33),SUMIF('数据-汇总表'!C$19:C$33,A7,'数据-汇总表'!N$19:N$33))</f>
        <v>284.06</v>
      </c>
      <c r="T7" s="2231">
        <f t="shared" ref="T7:T13" si="5">IF($T$4="按面积比例",IF(ISERROR(ROUND($M$14*S7/S$16,0)),"0",ROUND($M$14*S7/S$16,0)),"需自行计算录入")</f>
        <v>68</v>
      </c>
      <c r="U7" s="179"/>
      <c r="V7" s="180"/>
      <c r="W7" s="180"/>
      <c r="X7" s="2318"/>
      <c r="Y7" s="181"/>
      <c r="Z7" s="182"/>
      <c r="AA7" s="175"/>
      <c r="AB7" s="175"/>
      <c r="AC7" s="2321"/>
      <c r="AD7" s="183"/>
      <c r="AE7" s="971">
        <f t="shared" ref="AE7:AE13" ca="1" si="6">IF(AN7="",0,SUMIF(INDIRECT("'"&amp;AN7&amp;"'"&amp;"!E:E"),$AE$5,INDIRECT("'"&amp;AN7&amp;"'"&amp;"!F:F")))</f>
        <v>0</v>
      </c>
      <c r="AF7" s="140"/>
      <c r="AG7" s="1212">
        <f t="shared" ref="AG7:AG13" si="7">IF(AF7="",0,AE7-AF7)</f>
        <v>0</v>
      </c>
      <c r="AH7" s="140"/>
      <c r="AI7" s="186"/>
      <c r="AJ7" s="187"/>
      <c r="AK7" s="188"/>
      <c r="AL7" s="189"/>
      <c r="AM7" s="2387"/>
      <c r="AN7" s="2389"/>
      <c r="AO7" s="1997"/>
      <c r="AP7" s="1203">
        <f t="shared" ref="AP7:AP13" si="8">ROUND(1-1/(1+H7)^F7,3)</f>
        <v>0.95099999999999996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自持住宅</v>
      </c>
      <c r="B8" s="2334" t="str">
        <f t="shared" si="2"/>
        <v>经营性</v>
      </c>
      <c r="C8" s="172" t="s">
        <v>923</v>
      </c>
      <c r="D8" s="2305">
        <f>SUMIF(项目基本情况!D$15:I$15,C8,项目基本情况!D$18:I$18)</f>
        <v>70</v>
      </c>
      <c r="E8" s="2306">
        <f>IF(B8="","",SUMIF(项目基本情况!D$15:I$15,C8,项目基本情况!D$17:I$17))</f>
        <v>68510</v>
      </c>
      <c r="F8" s="173">
        <f>SUMIF(项目基本情况!D$15:I$15,C8,项目基本情况!D$19:I$19)</f>
        <v>68.67</v>
      </c>
      <c r="G8" s="174">
        <f t="shared" si="0"/>
        <v>0.997</v>
      </c>
      <c r="H8" s="3022">
        <v>4.4999999999999998E-2</v>
      </c>
      <c r="I8" s="3022">
        <v>0.05</v>
      </c>
      <c r="J8" s="175">
        <v>8.5000000000000006E-2</v>
      </c>
      <c r="K8" s="178">
        <f>SUMIF('数据-汇总表'!C$19:C$33,'数据-取费表'!A8,'数据-汇总表'!E$19:E$33)</f>
        <v>23770.38</v>
      </c>
      <c r="L8" s="3023">
        <f>L6</f>
        <v>4000</v>
      </c>
      <c r="M8" s="176">
        <f>ROUND(K8*L8/10000,0)</f>
        <v>9508</v>
      </c>
      <c r="N8" s="3024">
        <v>0</v>
      </c>
      <c r="O8" s="176">
        <f t="shared" si="3"/>
        <v>0</v>
      </c>
      <c r="P8" s="177">
        <f t="shared" si="4"/>
        <v>9508</v>
      </c>
      <c r="Q8" s="3025">
        <f>'[1]数据-取费表'!$Q$8</f>
        <v>0.05</v>
      </c>
      <c r="R8" s="178">
        <f>SUMIF('数据-汇总表'!C$19:C$33,A8,'数据-汇总表'!R$19:R$33)</f>
        <v>9604.5</v>
      </c>
      <c r="S8" s="132">
        <f>IF('数据-汇总表'!$I$17="按面积比例",SUMIF('数据-汇总表'!C$19:C$33,A8,'数据-汇总表'!K$19:K$33),SUMIF('数据-汇总表'!C$19:C$33,A8,'数据-汇总表'!N$19:N$33))</f>
        <v>1944.13</v>
      </c>
      <c r="T8" s="2231">
        <f t="shared" si="5"/>
        <v>467</v>
      </c>
      <c r="U8" s="184">
        <f>'[1]数据-取费表'!$U$8</f>
        <v>3</v>
      </c>
      <c r="V8" s="180">
        <f>'[1]数据-取费表'!$V$8</f>
        <v>0.03</v>
      </c>
      <c r="W8" s="180">
        <f>'[1]数据-取费表'!$W$8</f>
        <v>0.1</v>
      </c>
      <c r="X8" s="2318"/>
      <c r="Y8" s="181">
        <v>1</v>
      </c>
      <c r="Z8" s="182"/>
      <c r="AA8" s="175"/>
      <c r="AB8" s="175"/>
      <c r="AC8" s="2321"/>
      <c r="AD8" s="183"/>
      <c r="AE8" s="971">
        <f t="shared" ca="1" si="6"/>
        <v>66.67</v>
      </c>
      <c r="AF8" s="140"/>
      <c r="AG8" s="1212">
        <f t="shared" si="7"/>
        <v>0</v>
      </c>
      <c r="AH8" s="140"/>
      <c r="AI8" s="186">
        <v>365</v>
      </c>
      <c r="AJ8" s="187"/>
      <c r="AK8" s="188">
        <f>'[1]数据-取费表'!$AK$8</f>
        <v>1.4999999999999999E-2</v>
      </c>
      <c r="AL8" s="189">
        <f>'[1]数据-取费表'!$AL$8</f>
        <v>1.5E-3</v>
      </c>
      <c r="AM8" s="2387">
        <f>'[1]数据-取费表'!$AM$8</f>
        <v>1.4999999999999999E-2</v>
      </c>
      <c r="AN8" s="2389" t="s">
        <v>3232</v>
      </c>
      <c r="AO8" s="1997"/>
      <c r="AP8" s="1203">
        <f t="shared" si="8"/>
        <v>0.95099999999999996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商业</v>
      </c>
      <c r="B9" s="2334" t="str">
        <f t="shared" si="2"/>
        <v>经营性</v>
      </c>
      <c r="C9" s="172" t="s">
        <v>3033</v>
      </c>
      <c r="D9" s="2305">
        <f>SUMIF(项目基本情况!D$15:I$15,C9,项目基本情况!D$18:I$18)</f>
        <v>40</v>
      </c>
      <c r="E9" s="2306">
        <f>IF(B9="","",SUMIF(项目基本情况!D$15:I$15,C9,项目基本情况!D$17:I$17))</f>
        <v>57553</v>
      </c>
      <c r="F9" s="173">
        <f>SUMIF(项目基本情况!D$15:I$15,C9,项目基本情况!D$19:I$19)</f>
        <v>38.65</v>
      </c>
      <c r="G9" s="174">
        <f t="shared" si="0"/>
        <v>0.98899999999999999</v>
      </c>
      <c r="H9" s="3022">
        <v>0.05</v>
      </c>
      <c r="I9" s="3022">
        <v>5.5E-2</v>
      </c>
      <c r="J9" s="175">
        <v>8.5000000000000006E-2</v>
      </c>
      <c r="K9" s="178">
        <f>SUMIF('数据-汇总表'!C$19:C$33,'数据-取费表'!A9,'数据-汇总表'!E$19:E$33)</f>
        <v>0</v>
      </c>
      <c r="L9" s="192">
        <f>L6</f>
        <v>4000</v>
      </c>
      <c r="M9" s="176">
        <f t="shared" si="1"/>
        <v>0</v>
      </c>
      <c r="N9" s="193">
        <v>0</v>
      </c>
      <c r="O9" s="176">
        <f t="shared" si="3"/>
        <v>0</v>
      </c>
      <c r="P9" s="177">
        <f t="shared" si="4"/>
        <v>0</v>
      </c>
      <c r="Q9" s="191">
        <f>'[1]数据-取费表'!$Q$9</f>
        <v>0.15</v>
      </c>
      <c r="R9" s="178">
        <f>SUMIF('数据-汇总表'!C$19:C$33,A9,'数据-汇总表'!R$19:R$33)</f>
        <v>0</v>
      </c>
      <c r="S9" s="132">
        <f>IF('数据-汇总表'!$I$17="按面积比例",SUMIF('数据-汇总表'!C$19:C$33,A9,'数据-汇总表'!K$19:K$33),SUMIF('数据-汇总表'!C$19:C$33,A9,'数据-汇总表'!N$19:N$33))</f>
        <v>0</v>
      </c>
      <c r="T9" s="2231">
        <f t="shared" si="5"/>
        <v>0</v>
      </c>
      <c r="U9" s="184"/>
      <c r="V9" s="180"/>
      <c r="W9" s="180"/>
      <c r="X9" s="2318"/>
      <c r="Y9" s="181">
        <v>1</v>
      </c>
      <c r="Z9" s="182"/>
      <c r="AA9" s="175"/>
      <c r="AB9" s="175"/>
      <c r="AC9" s="2321"/>
      <c r="AD9" s="183"/>
      <c r="AE9" s="971">
        <f t="shared" ca="1" si="6"/>
        <v>36.65</v>
      </c>
      <c r="AF9" s="140"/>
      <c r="AG9" s="1212">
        <f t="shared" si="7"/>
        <v>0</v>
      </c>
      <c r="AH9" s="140"/>
      <c r="AI9" s="186">
        <v>365</v>
      </c>
      <c r="AJ9" s="187"/>
      <c r="AK9" s="188"/>
      <c r="AL9" s="189"/>
      <c r="AM9" s="2387">
        <f>'[1]数据-取费表'!$AM$8</f>
        <v>1.4999999999999999E-2</v>
      </c>
      <c r="AN9" s="3246" t="s">
        <v>3299</v>
      </c>
      <c r="AO9" s="1997"/>
      <c r="AP9" s="1203">
        <f t="shared" si="8"/>
        <v>0.84799999999999998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地下车库</v>
      </c>
      <c r="B10" s="2334" t="str">
        <f t="shared" si="2"/>
        <v>经营性</v>
      </c>
      <c r="C10" s="172" t="s">
        <v>3169</v>
      </c>
      <c r="D10" s="2305">
        <f>SUMIF(项目基本情况!D$15:I$15,C10,项目基本情况!D$18:I$18)</f>
        <v>50</v>
      </c>
      <c r="E10" s="2306">
        <f>IF(B10="","",SUMIF(项目基本情况!D$15:I$15,C10,项目基本情况!D$17:I$17))</f>
        <v>61205</v>
      </c>
      <c r="F10" s="173">
        <f>SUMIF(项目基本情况!D$15:I$15,C10,项目基本情况!D$19:I$19)</f>
        <v>48.66</v>
      </c>
      <c r="G10" s="174">
        <f t="shared" si="0"/>
        <v>0.99199999999999999</v>
      </c>
      <c r="H10" s="3022">
        <v>4.4999999999999998E-2</v>
      </c>
      <c r="I10" s="3022">
        <v>0.05</v>
      </c>
      <c r="J10" s="175">
        <v>8.5000000000000006E-2</v>
      </c>
      <c r="K10" s="178">
        <f>SUMIF('数据-汇总表'!C$19:C$33,'数据-取费表'!A10,'数据-汇总表'!E$19:E$33)</f>
        <v>26123.5</v>
      </c>
      <c r="L10" s="192">
        <v>2400</v>
      </c>
      <c r="M10" s="176">
        <f t="shared" si="1"/>
        <v>6270</v>
      </c>
      <c r="N10" s="193">
        <v>0</v>
      </c>
      <c r="O10" s="176">
        <f t="shared" si="3"/>
        <v>0</v>
      </c>
      <c r="P10" s="177">
        <f t="shared" si="4"/>
        <v>6270</v>
      </c>
      <c r="Q10" s="191">
        <f>'[1]数据-取费表'!$Q$10</f>
        <v>0.05</v>
      </c>
      <c r="R10" s="178">
        <f>SUMIF('数据-汇总表'!C$19:C$33,A10,'数据-汇总表'!R$19:R$33)</f>
        <v>10407.869999999999</v>
      </c>
      <c r="S10" s="132">
        <f>IF('数据-汇总表'!$I$17="按面积比例",SUMIF('数据-汇总表'!C$19:C$33,A10,'数据-汇总表'!K$19:K$33),SUMIF('数据-汇总表'!C$19:C$33,A10,'数据-汇总表'!N$19:N$33))</f>
        <v>2136.59</v>
      </c>
      <c r="T10" s="2231">
        <f t="shared" si="5"/>
        <v>513</v>
      </c>
      <c r="U10" s="184">
        <v>1</v>
      </c>
      <c r="V10" s="180">
        <v>0.03</v>
      </c>
      <c r="W10" s="180">
        <f>'[1]数据-取费表'!$W$10</f>
        <v>0.1</v>
      </c>
      <c r="X10" s="2318"/>
      <c r="Y10" s="181">
        <v>1</v>
      </c>
      <c r="Z10" s="182"/>
      <c r="AA10" s="175"/>
      <c r="AB10" s="175"/>
      <c r="AC10" s="2321"/>
      <c r="AD10" s="183"/>
      <c r="AE10" s="971">
        <f t="shared" ca="1" si="6"/>
        <v>46.66</v>
      </c>
      <c r="AF10" s="140"/>
      <c r="AG10" s="1212">
        <f t="shared" si="7"/>
        <v>0</v>
      </c>
      <c r="AH10" s="140"/>
      <c r="AI10" s="186">
        <v>365</v>
      </c>
      <c r="AJ10" s="187"/>
      <c r="AK10" s="188">
        <f>'[1]数据-取费表'!$AK$10</f>
        <v>1.4999999999999999E-2</v>
      </c>
      <c r="AL10" s="189">
        <f>'[1]数据-取费表'!$AL$10</f>
        <v>1.5E-3</v>
      </c>
      <c r="AM10" s="2387">
        <f>'[1]数据-取费表'!$AM$8</f>
        <v>1.4999999999999999E-2</v>
      </c>
      <c r="AN10" s="2389" t="s">
        <v>3258</v>
      </c>
      <c r="AO10" s="1997"/>
      <c r="AP10" s="1203">
        <f t="shared" si="8"/>
        <v>0.88300000000000001</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t="str">
        <f>'数据-汇总表'!C24</f>
        <v>库房</v>
      </c>
      <c r="B11" s="2334" t="str">
        <f t="shared" si="2"/>
        <v>经营性</v>
      </c>
      <c r="C11" s="172" t="s">
        <v>3194</v>
      </c>
      <c r="D11" s="2305">
        <f>SUMIF(项目基本情况!D$15:I$15,C11,项目基本情况!D$18:I$18)</f>
        <v>50</v>
      </c>
      <c r="E11" s="2306">
        <f>IF(B11="","",SUMIF(项目基本情况!D$15:I$15,C11,项目基本情况!D$17:I$17))</f>
        <v>61205</v>
      </c>
      <c r="F11" s="173">
        <f>SUMIF(项目基本情况!D$15:I$15,C11,项目基本情况!D$19:I$19)</f>
        <v>48.66</v>
      </c>
      <c r="G11" s="174">
        <f t="shared" si="0"/>
        <v>0.99199999999999999</v>
      </c>
      <c r="H11" s="3022">
        <v>4.4999999999999998E-2</v>
      </c>
      <c r="I11" s="3022">
        <v>0.05</v>
      </c>
      <c r="J11" s="175">
        <v>8.5000000000000006E-2</v>
      </c>
      <c r="K11" s="178">
        <f>SUMIF('数据-汇总表'!C$19:C$33,'数据-取费表'!A11,'数据-汇总表'!E$19:E$33)</f>
        <v>5874.31</v>
      </c>
      <c r="L11" s="192">
        <v>2400</v>
      </c>
      <c r="M11" s="176">
        <f t="shared" si="1"/>
        <v>1410</v>
      </c>
      <c r="N11" s="193">
        <v>0</v>
      </c>
      <c r="O11" s="176">
        <f t="shared" si="3"/>
        <v>0</v>
      </c>
      <c r="P11" s="177">
        <f t="shared" si="4"/>
        <v>1410</v>
      </c>
      <c r="Q11" s="191">
        <v>0.05</v>
      </c>
      <c r="R11" s="178">
        <f>SUMIF('数据-汇总表'!C$19:C$33,A11,'数据-汇总表'!R$19:R$33)</f>
        <v>2340.38</v>
      </c>
      <c r="S11" s="132">
        <f>IF('数据-汇总表'!$I$17="按面积比例",SUMIF('数据-汇总表'!C$19:C$33,A11,'数据-汇总表'!K$19:K$33),SUMIF('数据-汇总表'!C$19:C$33,A11,'数据-汇总表'!N$19:N$33))</f>
        <v>480.45</v>
      </c>
      <c r="T11" s="2231">
        <f t="shared" si="5"/>
        <v>115</v>
      </c>
      <c r="U11" s="184">
        <v>1.5</v>
      </c>
      <c r="V11" s="175">
        <v>0.03</v>
      </c>
      <c r="W11" s="175">
        <f>'[1]数据-取费表'!$W$11</f>
        <v>0.1</v>
      </c>
      <c r="X11" s="2321"/>
      <c r="Y11" s="181">
        <v>1</v>
      </c>
      <c r="Z11" s="194"/>
      <c r="AA11" s="175"/>
      <c r="AB11" s="175"/>
      <c r="AC11" s="2321"/>
      <c r="AD11" s="183"/>
      <c r="AE11" s="971">
        <f t="shared" ca="1" si="6"/>
        <v>46.66</v>
      </c>
      <c r="AF11" s="140"/>
      <c r="AG11" s="1212">
        <f t="shared" si="7"/>
        <v>0</v>
      </c>
      <c r="AH11" s="140"/>
      <c r="AI11" s="186">
        <v>365</v>
      </c>
      <c r="AJ11" s="187"/>
      <c r="AK11" s="195">
        <f>'[1]数据-取费表'!$AK$11</f>
        <v>1.4999999999999999E-2</v>
      </c>
      <c r="AL11" s="196">
        <f>'[1]数据-取费表'!$AL$11</f>
        <v>1.5E-3</v>
      </c>
      <c r="AM11" s="2387">
        <f>'[1]数据-取费表'!$AM$8</f>
        <v>1.4999999999999999E-2</v>
      </c>
      <c r="AN11" s="2389" t="s">
        <v>3259</v>
      </c>
      <c r="AO11" s="1997"/>
      <c r="AP11" s="1203">
        <f t="shared" si="8"/>
        <v>0.88300000000000001</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t="str">
        <f>'数据-汇总表'!C25</f>
        <v>低密度地下库房</v>
      </c>
      <c r="B12" s="2334" t="str">
        <f t="shared" si="2"/>
        <v>经营性</v>
      </c>
      <c r="C12" s="172" t="s">
        <v>3194</v>
      </c>
      <c r="D12" s="2305">
        <f>SUMIF(项目基本情况!D$15:I$15,C12,项目基本情况!D$18:I$18)</f>
        <v>50</v>
      </c>
      <c r="E12" s="2306">
        <f>IF(B12="","",SUMIF(项目基本情况!D$15:I$15,C12,项目基本情况!D$17:I$17))</f>
        <v>61205</v>
      </c>
      <c r="F12" s="173">
        <f>SUMIF(项目基本情况!D$15:I$15,C12,项目基本情况!D$19:I$19)</f>
        <v>48.66</v>
      </c>
      <c r="G12" s="174">
        <f t="shared" si="0"/>
        <v>0.99199999999999999</v>
      </c>
      <c r="H12" s="3022">
        <v>4.4999999999999998E-2</v>
      </c>
      <c r="I12" s="3022">
        <v>0.05</v>
      </c>
      <c r="J12" s="175">
        <v>8.5000000000000006E-2</v>
      </c>
      <c r="K12" s="178">
        <f>SUMIF('数据-汇总表'!C$19:C$33,'数据-取费表'!A12,'数据-汇总表'!E$19:E$33)</f>
        <v>59454.19</v>
      </c>
      <c r="L12" s="192">
        <v>2400</v>
      </c>
      <c r="M12" s="176">
        <f>ROUND(K12*L12/10000,0)</f>
        <v>14269</v>
      </c>
      <c r="N12" s="193">
        <v>0</v>
      </c>
      <c r="O12" s="176">
        <f t="shared" si="3"/>
        <v>0</v>
      </c>
      <c r="P12" s="177">
        <f t="shared" si="4"/>
        <v>14269</v>
      </c>
      <c r="Q12" s="191">
        <v>0.1</v>
      </c>
      <c r="R12" s="178">
        <f>SUMIF('数据-汇总表'!C$19:C$33,A12,'数据-汇总表'!R$19:R$33)</f>
        <v>23687.170000000002</v>
      </c>
      <c r="S12" s="132">
        <f>IF('数据-汇总表'!$I$17="按面积比例",SUMIF('数据-汇总表'!C$19:C$33,A12,'数据-汇总表'!K$19:K$33),SUMIF('数据-汇总表'!C$19:C$33,A12,'数据-汇总表'!N$19:N$33))</f>
        <v>4862.6400000000003</v>
      </c>
      <c r="T12" s="2231">
        <f t="shared" si="5"/>
        <v>1167</v>
      </c>
      <c r="U12" s="184"/>
      <c r="V12" s="175"/>
      <c r="W12" s="175"/>
      <c r="X12" s="2321"/>
      <c r="Y12" s="181"/>
      <c r="Z12" s="194"/>
      <c r="AA12" s="175"/>
      <c r="AB12" s="175"/>
      <c r="AC12" s="2321"/>
      <c r="AD12" s="183"/>
      <c r="AE12" s="971">
        <f t="shared" ca="1" si="6"/>
        <v>0</v>
      </c>
      <c r="AF12" s="140"/>
      <c r="AG12" s="1212">
        <f t="shared" si="7"/>
        <v>0</v>
      </c>
      <c r="AH12" s="140"/>
      <c r="AI12" s="186"/>
      <c r="AJ12" s="187"/>
      <c r="AK12" s="195"/>
      <c r="AL12" s="196"/>
      <c r="AM12" s="2387"/>
      <c r="AN12" s="2389"/>
      <c r="AO12" s="1997"/>
      <c r="AP12" s="1203">
        <f t="shared" si="8"/>
        <v>0.88300000000000001</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2"/>
        <v/>
      </c>
      <c r="C13" s="172"/>
      <c r="D13" s="2305">
        <f>SUMIF(项目基本情况!D$15:I$15,C13,项目基本情况!D$18:I$18)</f>
        <v>0</v>
      </c>
      <c r="E13" s="2306"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1">
        <f t="shared" si="5"/>
        <v>0</v>
      </c>
      <c r="U13" s="179"/>
      <c r="V13" s="180"/>
      <c r="W13" s="180"/>
      <c r="X13" s="2318"/>
      <c r="Y13" s="181"/>
      <c r="Z13" s="182"/>
      <c r="AA13" s="175"/>
      <c r="AB13" s="175"/>
      <c r="AC13" s="2321"/>
      <c r="AD13" s="183"/>
      <c r="AE13" s="971">
        <f t="shared" ca="1" si="6"/>
        <v>0</v>
      </c>
      <c r="AF13" s="140"/>
      <c r="AG13" s="1212">
        <f t="shared" si="7"/>
        <v>0</v>
      </c>
      <c r="AH13" s="140"/>
      <c r="AI13" s="186"/>
      <c r="AJ13" s="187"/>
      <c r="AK13" s="188"/>
      <c r="AL13" s="189"/>
      <c r="AM13" s="2387"/>
      <c r="AN13" s="2389"/>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2314</v>
      </c>
      <c r="B14" s="2303" t="s">
        <v>1680</v>
      </c>
      <c r="C14" s="2304" t="s">
        <v>2314</v>
      </c>
      <c r="D14" s="2305"/>
      <c r="E14" s="2306"/>
      <c r="F14" s="173"/>
      <c r="G14" s="174"/>
      <c r="H14" s="2307"/>
      <c r="I14" s="2307"/>
      <c r="J14" s="2307"/>
      <c r="K14" s="178">
        <f>SUMIF('数据-汇总表'!C$19:C$33,'数据-取费表'!A14,'数据-汇总表'!E$19:E$33)</f>
        <v>12764</v>
      </c>
      <c r="L14" s="192">
        <f>L10</f>
        <v>2400</v>
      </c>
      <c r="M14" s="176">
        <f t="shared" si="1"/>
        <v>3063</v>
      </c>
      <c r="N14" s="193">
        <v>0</v>
      </c>
      <c r="O14" s="176">
        <f t="shared" si="3"/>
        <v>0</v>
      </c>
      <c r="P14" s="177">
        <f t="shared" si="4"/>
        <v>3063</v>
      </c>
      <c r="Q14" s="2315"/>
      <c r="R14" s="178"/>
      <c r="S14" s="132"/>
      <c r="T14" s="2314"/>
      <c r="U14" s="973"/>
      <c r="V14" s="2317"/>
      <c r="W14" s="2317"/>
      <c r="X14" s="2318"/>
      <c r="Y14" s="2319"/>
      <c r="Z14" s="136"/>
      <c r="AA14" s="2320"/>
      <c r="AB14" s="2320"/>
      <c r="AC14" s="2321"/>
      <c r="AD14" s="2318"/>
      <c r="AE14" s="971"/>
      <c r="AF14" s="2293"/>
      <c r="AG14" s="1212"/>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2316</v>
      </c>
      <c r="B15" s="2303" t="s">
        <v>1680</v>
      </c>
      <c r="C15" s="2304" t="s">
        <v>2315</v>
      </c>
      <c r="D15" s="2305"/>
      <c r="E15" s="2306"/>
      <c r="F15" s="173"/>
      <c r="G15" s="174"/>
      <c r="H15" s="2307"/>
      <c r="I15" s="2307"/>
      <c r="J15" s="2307"/>
      <c r="K15" s="178">
        <f>SUMIF('数据-汇总表'!C$19:C$33,'数据-取费表'!A15,'数据-汇总表'!E$19:E$33)</f>
        <v>990</v>
      </c>
      <c r="L15" s="2313"/>
      <c r="M15" s="176"/>
      <c r="N15" s="2316"/>
      <c r="O15" s="176"/>
      <c r="P15" s="177"/>
      <c r="Q15" s="2315"/>
      <c r="R15" s="178"/>
      <c r="S15" s="132"/>
      <c r="T15" s="2314"/>
      <c r="U15" s="973"/>
      <c r="V15" s="2317"/>
      <c r="W15" s="2317"/>
      <c r="X15" s="2318"/>
      <c r="Y15" s="2319"/>
      <c r="Z15" s="136"/>
      <c r="AA15" s="2320"/>
      <c r="AB15" s="2320"/>
      <c r="AC15" s="2321"/>
      <c r="AD15" s="2318"/>
      <c r="AE15" s="971"/>
      <c r="AF15" s="2293"/>
      <c r="AG15" s="1212"/>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7" t="s">
        <v>262</v>
      </c>
      <c r="B16" s="198"/>
      <c r="C16" s="199"/>
      <c r="D16" s="200"/>
      <c r="E16" s="198"/>
      <c r="F16" s="198"/>
      <c r="G16" s="201">
        <f>ROUND(SUMPRODUCT(G6:G13,K6:K13)/SUMPRODUCT((G6:G13&gt;0)*(K6:K13)),3)</f>
        <v>0.99399999999999999</v>
      </c>
      <c r="H16" s="202">
        <f>ROUND(SUMPRODUCT(H6:H13,K6:K13)/SUMPRODUCT((H6:H13&gt;0)*(K6:K13)),3)</f>
        <v>4.4999999999999998E-2</v>
      </c>
      <c r="I16" s="203"/>
      <c r="J16" s="203"/>
      <c r="K16" s="204">
        <f>SUM(K6:K15)</f>
        <v>169816</v>
      </c>
      <c r="L16" s="205">
        <f>ROUND(M16*10000/SUM(K6:K14),0)</f>
        <v>3012</v>
      </c>
      <c r="M16" s="205">
        <f>SUM(M6:M14)</f>
        <v>50856</v>
      </c>
      <c r="N16" s="206">
        <f>ROUND(SUMPRODUCT(M6:M14,N6:N14)/M16,3)</f>
        <v>0</v>
      </c>
      <c r="O16" s="205">
        <f>SUM(O6:O14)</f>
        <v>0</v>
      </c>
      <c r="P16" s="205">
        <f>SUM(P6:P14)</f>
        <v>50856</v>
      </c>
      <c r="Q16" s="207">
        <f>ROUND(SUMPRODUCT(Q6:Q13,K6:K13)/SUMPRODUCT((Q6:Q13&gt;0)*(K6:K13)),2)</f>
        <v>0.08</v>
      </c>
      <c r="R16" s="2308">
        <f>SUM(R6:R13)</f>
        <v>62541.31</v>
      </c>
      <c r="S16" s="208">
        <f>SUM(S6:S13)</f>
        <v>12764</v>
      </c>
      <c r="T16" s="209">
        <f>IF(SUMIF(T6:T13,"&lt;9E307")=M14,SUMIF(T6:T13,"&lt;9E307"),"有误，请检查")</f>
        <v>3063</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0.91100000000000003</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2</v>
      </c>
      <c r="C20" s="2361"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5" t="s">
        <v>2336</v>
      </c>
      <c r="B27" s="226"/>
      <c r="C27" s="2364"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2337</v>
      </c>
      <c r="B28" s="228"/>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2335</v>
      </c>
      <c r="B29" s="231"/>
      <c r="C29" s="1551"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274</v>
      </c>
      <c r="B31" s="229">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6">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5" t="s">
        <v>278</v>
      </c>
      <c r="B33" s="1377">
        <v>0.03</v>
      </c>
      <c r="C33" s="2362" t="s">
        <v>2887</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0.03</v>
      </c>
      <c r="C34" s="2362" t="s">
        <v>2888</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2889</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2890</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f>'[2]数据-取费表'!$B$37</f>
        <v>0.02</v>
      </c>
      <c r="C37" s="2362" t="s">
        <v>2891</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62" t="s">
        <v>2891</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2454</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2455</v>
      </c>
      <c r="B40" s="2478">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9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62" t="s">
        <v>2892</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2893</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2894</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71" t="s">
        <v>2895</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72" t="s">
        <v>2896</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2" t="s">
        <v>2897</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1410</v>
      </c>
      <c r="C53" s="3073" t="s">
        <v>2898</v>
      </c>
      <c r="D53" s="3074" t="s">
        <v>2899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6" t="s">
        <v>2900</v>
      </c>
      <c r="B54" s="185"/>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6" t="s">
        <v>2901</v>
      </c>
      <c r="B55" s="185"/>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6" t="s">
        <v>2902</v>
      </c>
      <c r="B56" s="185"/>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6" t="s">
        <v>2903</v>
      </c>
      <c r="B57" s="185"/>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6" t="s">
        <v>2904</v>
      </c>
      <c r="B58" s="185"/>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6" t="s">
        <v>2905</v>
      </c>
      <c r="B59" s="185">
        <v>1.5</v>
      </c>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6" t="s">
        <v>2906</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6" t="s">
        <v>2907</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6" t="s">
        <v>2908</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2909</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4" type="noConversion"/>
  <conditionalFormatting sqref="T6:T15">
    <cfRule type="containsText" dxfId="163" priority="12" stopIfTrue="1" operator="containsText" text="自行计算">
      <formula>NOT(ISERROR(SEARCH("自行计算",T6)))</formula>
    </cfRule>
    <cfRule type="containsText" dxfId="162" priority="13" stopIfTrue="1" operator="containsText" text="自行计算">
      <formula>NOT(ISERROR(SEARCH("自行计算",T6)))</formula>
    </cfRule>
  </conditionalFormatting>
  <conditionalFormatting sqref="T6:T13">
    <cfRule type="containsText" dxfId="161" priority="10" stopIfTrue="1" operator="containsText" text="自行计算">
      <formula>NOT(ISERROR(SEARCH("自行计算",T6)))</formula>
    </cfRule>
    <cfRule type="containsText" dxfId="160" priority="11" stopIfTrue="1" operator="containsText" text="自行计算">
      <formula>NOT(ISERROR(SEARCH("自行计算",T6)))</formula>
    </cfRule>
  </conditionalFormatting>
  <conditionalFormatting sqref="T12:T13">
    <cfRule type="containsText" dxfId="159" priority="4" stopIfTrue="1" operator="containsText" text="自行计算">
      <formula>NOT(ISERROR(SEARCH("自行计算",T12)))</formula>
    </cfRule>
    <cfRule type="containsText" dxfId="158" priority="5" stopIfTrue="1" operator="containsText" text="自行计算">
      <formula>NOT(ISERROR(SEARCH("自行计算",T12)))</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412" t="s">
        <v>1664</v>
      </c>
      <c r="B1" s="3413"/>
      <c r="C1" s="3413"/>
      <c r="D1" s="3413"/>
      <c r="E1" s="3413"/>
      <c r="F1" s="3413"/>
      <c r="G1" s="3413"/>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27">
      <c r="A3" s="1226" t="s">
        <v>1667</v>
      </c>
      <c r="B3" s="1227" t="s">
        <v>1654</v>
      </c>
      <c r="C3" s="3193" t="s">
        <v>3204</v>
      </c>
      <c r="D3" s="2006"/>
      <c r="E3" s="1228" t="s">
        <v>1667</v>
      </c>
      <c r="F3" s="1229" t="s">
        <v>1655</v>
      </c>
      <c r="G3" s="3079"/>
      <c r="H3" s="2005"/>
      <c r="I3" s="2005"/>
      <c r="J3" s="2005"/>
      <c r="K3" s="2005"/>
      <c r="L3" s="2005"/>
      <c r="M3" s="2005"/>
      <c r="N3" s="2005"/>
      <c r="O3" s="2005"/>
      <c r="P3" s="2005"/>
      <c r="Q3" s="2005"/>
      <c r="R3" s="2005"/>
    </row>
    <row r="4" spans="1:18" ht="14.25">
      <c r="A4" s="1228"/>
      <c r="B4" s="1230" t="s">
        <v>1668</v>
      </c>
      <c r="C4" s="3194" t="s">
        <v>3205</v>
      </c>
      <c r="D4" s="2006"/>
      <c r="E4" s="1231"/>
      <c r="F4" s="1232" t="s">
        <v>1669</v>
      </c>
      <c r="G4" s="3078"/>
      <c r="H4" s="2005"/>
      <c r="I4" s="2005"/>
      <c r="J4" s="2005"/>
      <c r="K4" s="2005"/>
      <c r="L4" s="2005"/>
      <c r="M4" s="2005"/>
      <c r="N4" s="2005"/>
      <c r="O4" s="2005"/>
      <c r="P4" s="2005"/>
      <c r="Q4" s="2005"/>
      <c r="R4" s="2005"/>
    </row>
    <row r="5" spans="1:18" ht="14.25">
      <c r="A5" s="1228"/>
      <c r="B5" s="1230" t="s">
        <v>1670</v>
      </c>
      <c r="C5" s="3195"/>
      <c r="D5" s="2006"/>
      <c r="E5" s="1231"/>
      <c r="F5" s="1230" t="s">
        <v>2544</v>
      </c>
      <c r="G5" s="3078"/>
      <c r="H5" s="2005"/>
      <c r="I5" s="2005"/>
      <c r="J5" s="2005"/>
      <c r="K5" s="2005"/>
      <c r="L5" s="2005"/>
      <c r="M5" s="2005"/>
      <c r="N5" s="2005"/>
      <c r="O5" s="2005"/>
      <c r="P5" s="2005"/>
      <c r="Q5" s="2005"/>
      <c r="R5" s="2005"/>
    </row>
    <row r="6" spans="1:18" ht="14.25">
      <c r="A6" s="1228"/>
      <c r="B6" s="1230" t="s">
        <v>1656</v>
      </c>
      <c r="C6" s="3196" t="s">
        <v>3204</v>
      </c>
      <c r="D6" s="2006"/>
      <c r="E6" s="1231"/>
      <c r="F6" s="1230" t="s">
        <v>2545</v>
      </c>
      <c r="G6" s="3078"/>
      <c r="H6" s="2005"/>
      <c r="I6" s="2005"/>
      <c r="J6" s="2005"/>
      <c r="K6" s="2005"/>
      <c r="L6" s="2005"/>
      <c r="M6" s="2005"/>
      <c r="N6" s="2005"/>
      <c r="O6" s="2005"/>
      <c r="P6" s="2005"/>
      <c r="Q6" s="2005"/>
      <c r="R6" s="2005"/>
    </row>
    <row r="7" spans="1:18" ht="15" thickBot="1">
      <c r="A7" s="1228"/>
      <c r="B7" s="1230" t="s">
        <v>2544</v>
      </c>
      <c r="C7" s="3196" t="s">
        <v>3204</v>
      </c>
      <c r="D7" s="2007"/>
      <c r="E7" s="1233"/>
      <c r="F7" s="1234" t="s">
        <v>1671</v>
      </c>
      <c r="G7" s="3080"/>
      <c r="H7" s="2005"/>
      <c r="I7" s="2005"/>
      <c r="J7" s="2005"/>
      <c r="K7" s="2005"/>
      <c r="L7" s="2005"/>
      <c r="M7" s="2005"/>
      <c r="N7" s="2005"/>
      <c r="O7" s="2005"/>
      <c r="P7" s="2005"/>
      <c r="Q7" s="2005"/>
      <c r="R7" s="2005"/>
    </row>
    <row r="8" spans="1:18" ht="19.5" customHeight="1">
      <c r="A8" s="1228"/>
      <c r="B8" s="1230" t="s">
        <v>2545</v>
      </c>
      <c r="C8" s="3196" t="s">
        <v>3206</v>
      </c>
      <c r="D8" s="2007"/>
      <c r="E8" s="2007"/>
      <c r="F8" s="1552"/>
      <c r="G8" s="1552"/>
      <c r="H8" s="2005"/>
      <c r="I8" s="2005"/>
      <c r="J8" s="2005"/>
      <c r="K8" s="2005"/>
      <c r="L8" s="2005"/>
      <c r="M8" s="2005"/>
      <c r="N8" s="2005"/>
      <c r="O8" s="2005"/>
      <c r="P8" s="2005"/>
      <c r="Q8" s="2005"/>
      <c r="R8" s="2005"/>
    </row>
    <row r="9" spans="1:18">
      <c r="A9" s="1228"/>
      <c r="B9" s="1230" t="s">
        <v>1657</v>
      </c>
      <c r="C9" s="3194" t="s">
        <v>3204</v>
      </c>
      <c r="D9" s="2006"/>
      <c r="E9" s="2007"/>
      <c r="F9" s="1552"/>
      <c r="G9" s="1552"/>
      <c r="H9" s="2005"/>
      <c r="I9" s="2005"/>
      <c r="J9" s="2005"/>
      <c r="K9" s="2005"/>
      <c r="L9" s="2005"/>
      <c r="M9" s="2005"/>
      <c r="N9" s="2005"/>
      <c r="O9" s="2005"/>
      <c r="P9" s="2005"/>
      <c r="Q9" s="2005"/>
      <c r="R9" s="2005"/>
    </row>
    <row r="10" spans="1:18" s="2013" customFormat="1" ht="14.25" thickBot="1">
      <c r="A10" s="1235"/>
      <c r="B10" s="1236" t="s">
        <v>1672</v>
      </c>
      <c r="C10" s="3197" t="s">
        <v>3298</v>
      </c>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3"/>
      <c r="E13" s="2575"/>
      <c r="F13" s="2575"/>
      <c r="G13" s="2575"/>
    </row>
    <row r="14" spans="1:18" ht="14.25" thickBot="1">
      <c r="A14" s="1237"/>
      <c r="B14" s="1238"/>
      <c r="C14" s="1239" t="s">
        <v>1665</v>
      </c>
      <c r="D14" s="2006"/>
      <c r="E14" s="1240"/>
      <c r="F14" s="1240"/>
      <c r="G14" s="1222" t="s">
        <v>1666</v>
      </c>
    </row>
    <row r="15" spans="1:18" ht="27">
      <c r="A15" s="2585" t="s">
        <v>1658</v>
      </c>
      <c r="B15" s="1241" t="s">
        <v>1654</v>
      </c>
      <c r="C15" s="1242" t="str">
        <f>C3</f>
        <v>一般</v>
      </c>
      <c r="D15" s="2006"/>
      <c r="E15" s="2582" t="s">
        <v>1659</v>
      </c>
      <c r="F15" s="1241" t="s">
        <v>1674</v>
      </c>
      <c r="G15" s="1243">
        <f>G3</f>
        <v>0</v>
      </c>
    </row>
    <row r="16" spans="1:18">
      <c r="A16" s="2586"/>
      <c r="B16" s="1244" t="s">
        <v>1668</v>
      </c>
      <c r="C16" s="1245" t="str">
        <f>C4</f>
        <v>较差</v>
      </c>
      <c r="D16" s="2006"/>
      <c r="E16" s="2583"/>
      <c r="F16" s="1246" t="s">
        <v>1669</v>
      </c>
      <c r="G16" s="1004">
        <f>G4</f>
        <v>0</v>
      </c>
    </row>
    <row r="17" spans="1:7" ht="14.25">
      <c r="A17" s="2586"/>
      <c r="B17" s="1244" t="s">
        <v>1670</v>
      </c>
      <c r="C17" s="1245">
        <f>C5</f>
        <v>0</v>
      </c>
      <c r="D17" s="2007"/>
      <c r="E17" s="2583"/>
      <c r="F17" s="1246" t="s">
        <v>1675</v>
      </c>
      <c r="G17" s="2791"/>
    </row>
    <row r="18" spans="1:7">
      <c r="A18" s="2586"/>
      <c r="B18" s="1246" t="s">
        <v>1656</v>
      </c>
      <c r="C18" s="1004" t="str">
        <f>C6</f>
        <v>一般</v>
      </c>
      <c r="D18" s="2007"/>
      <c r="E18" s="2583"/>
      <c r="F18" s="1246" t="s">
        <v>1671</v>
      </c>
      <c r="G18" s="1004">
        <f>G7</f>
        <v>0</v>
      </c>
    </row>
    <row r="19" spans="1:7">
      <c r="A19" s="2586"/>
      <c r="B19" s="1246" t="s">
        <v>1660</v>
      </c>
      <c r="C19" s="3198" t="s">
        <v>3207</v>
      </c>
      <c r="D19" s="2006"/>
      <c r="E19" s="2583"/>
      <c r="F19" s="1230" t="s">
        <v>2544</v>
      </c>
      <c r="G19" s="1004">
        <f>G5</f>
        <v>0</v>
      </c>
    </row>
    <row r="20" spans="1:7">
      <c r="A20" s="2586"/>
      <c r="B20" s="1246" t="s">
        <v>1661</v>
      </c>
      <c r="C20" s="1245" t="str">
        <f>C9</f>
        <v>一般</v>
      </c>
      <c r="D20" s="2007"/>
      <c r="E20" s="2583"/>
      <c r="F20" s="1230" t="s">
        <v>2545</v>
      </c>
      <c r="G20" s="1004">
        <f>G6</f>
        <v>0</v>
      </c>
    </row>
    <row r="21" spans="1:7" ht="14.25">
      <c r="A21" s="2586"/>
      <c r="B21" s="1230" t="s">
        <v>2544</v>
      </c>
      <c r="C21" s="1004" t="str">
        <f>C7</f>
        <v>一般</v>
      </c>
      <c r="D21" s="2006"/>
      <c r="E21" s="2583"/>
      <c r="F21" s="1246" t="s">
        <v>1662</v>
      </c>
      <c r="G21" s="3081"/>
    </row>
    <row r="22" spans="1:7" ht="14.25">
      <c r="A22" s="2586"/>
      <c r="B22" s="1230" t="s">
        <v>2545</v>
      </c>
      <c r="C22" s="1004" t="str">
        <f>C8</f>
        <v>七通</v>
      </c>
      <c r="D22" s="2006"/>
      <c r="E22" s="2583"/>
      <c r="F22" s="1246" t="s">
        <v>1672</v>
      </c>
      <c r="G22" s="2791"/>
    </row>
    <row r="23" spans="1:7" ht="15" thickBot="1">
      <c r="A23" s="2586"/>
      <c r="B23" s="1246" t="s">
        <v>1662</v>
      </c>
      <c r="C23" s="3081" t="s">
        <v>3203</v>
      </c>
      <c r="E23" s="2584"/>
      <c r="F23" s="1247" t="s">
        <v>1676</v>
      </c>
      <c r="G23" s="3082"/>
    </row>
    <row r="24" spans="1:7" ht="14.25" thickBot="1">
      <c r="A24" s="2587"/>
      <c r="B24" s="1247" t="s">
        <v>1663</v>
      </c>
      <c r="C24" s="1248" t="str">
        <f>C10</f>
        <v>次干道</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9" sqref="D9"/>
    </sheetView>
  </sheetViews>
  <sheetFormatPr defaultColWidth="14.625" defaultRowHeight="13.5"/>
  <cols>
    <col min="1" max="1" width="24.375" customWidth="1"/>
  </cols>
  <sheetData>
    <row r="1" spans="1:9" ht="16.5">
      <c r="A1" s="3042" t="s">
        <v>2841</v>
      </c>
      <c r="B1" s="3042">
        <f>SUM(B14:B23)</f>
        <v>169816</v>
      </c>
      <c r="C1" s="3043"/>
      <c r="D1" s="3043"/>
      <c r="E1" s="3043"/>
      <c r="F1" s="3043"/>
    </row>
    <row r="2" spans="1:9" ht="16.5">
      <c r="A2" s="3042" t="s">
        <v>2842</v>
      </c>
      <c r="B2" s="3042">
        <f>SUM(C14:C23)</f>
        <v>62541.33</v>
      </c>
      <c r="C2" s="3043"/>
      <c r="D2" s="3043"/>
      <c r="E2" s="3043"/>
      <c r="F2" s="3043"/>
    </row>
    <row r="3" spans="1:9" ht="16.5">
      <c r="A3" s="3042" t="s">
        <v>2843</v>
      </c>
      <c r="B3" s="3044">
        <f>项目基本情况!D3</f>
        <v>43444</v>
      </c>
      <c r="C3" s="3043"/>
      <c r="D3" s="3043"/>
      <c r="E3" s="3043"/>
      <c r="F3" s="3043"/>
    </row>
    <row r="4" spans="1:9" ht="33">
      <c r="A4" s="3042" t="s">
        <v>2844</v>
      </c>
      <c r="B4" s="3042" t="s">
        <v>2845</v>
      </c>
      <c r="C4" s="3042" t="s">
        <v>2846</v>
      </c>
      <c r="D4" s="3042" t="s">
        <v>2847</v>
      </c>
      <c r="E4" s="3043"/>
      <c r="F4" s="3043"/>
    </row>
    <row r="5" spans="1:9" ht="16.5">
      <c r="A5" s="3042" t="s">
        <v>2848</v>
      </c>
      <c r="B5" s="3042">
        <f ca="1">SUM(D14:D23)</f>
        <v>311695</v>
      </c>
      <c r="C5" s="3042">
        <f ca="1">ROUND(B5*10000/$B$1,0)</f>
        <v>18355</v>
      </c>
      <c r="D5" s="3042">
        <f ca="1">ROUND(B5*10000/$B$2,0)</f>
        <v>49838</v>
      </c>
      <c r="E5" s="3043"/>
      <c r="F5" s="3043"/>
    </row>
    <row r="6" spans="1:9" ht="16.5">
      <c r="A6" s="3042" t="s">
        <v>2849</v>
      </c>
      <c r="B6" s="3042">
        <f ca="1">SUM(G14:G23)</f>
        <v>311695</v>
      </c>
      <c r="C6" s="3042">
        <f ca="1">ROUND(B6*10000/$B$1,0)</f>
        <v>18355</v>
      </c>
      <c r="D6" s="3042">
        <f ca="1">ROUND(B6*10000/$B$2,0)</f>
        <v>49838</v>
      </c>
      <c r="E6" s="3043"/>
      <c r="F6" s="3043"/>
    </row>
    <row r="7" spans="1:9" ht="16.5">
      <c r="A7" s="3042" t="s">
        <v>2850</v>
      </c>
      <c r="B7" s="3042">
        <f>SUM(H14:H23)</f>
        <v>0</v>
      </c>
      <c r="C7" s="3042">
        <f>ROUND(B7*10000/$B$1,0)</f>
        <v>0</v>
      </c>
      <c r="D7" s="3042">
        <f>ROUND(B7*10000/$B$2,0)</f>
        <v>0</v>
      </c>
      <c r="E7" s="3043"/>
      <c r="F7" s="3043"/>
    </row>
    <row r="8" spans="1:9" ht="16.5">
      <c r="A8" s="3042" t="s">
        <v>2851</v>
      </c>
      <c r="B8" s="3042">
        <f>SUM(I14:I23)</f>
        <v>0</v>
      </c>
      <c r="C8" s="3042">
        <f>ROUND(B8*10000/$B$1,0)</f>
        <v>0</v>
      </c>
      <c r="D8" s="3042">
        <f>ROUND(B8*10000/$B$2,0)</f>
        <v>0</v>
      </c>
      <c r="E8" s="3043"/>
      <c r="F8" s="3043"/>
    </row>
    <row r="9" spans="1:9" ht="16.5">
      <c r="A9" s="3042" t="s">
        <v>2852</v>
      </c>
      <c r="B9" s="3045"/>
      <c r="C9" s="3043"/>
      <c r="D9" s="3043"/>
      <c r="E9" s="3043"/>
      <c r="F9" s="3043"/>
    </row>
    <row r="10" spans="1:9" ht="16.5">
      <c r="A10" s="3042" t="s">
        <v>2853</v>
      </c>
      <c r="B10" s="3045"/>
      <c r="C10" s="3043"/>
      <c r="D10" s="3043"/>
      <c r="E10" s="3043"/>
      <c r="F10" s="3043"/>
    </row>
    <row r="11" spans="1:9" ht="16.5">
      <c r="A11" s="3042" t="s">
        <v>2870</v>
      </c>
      <c r="B11" s="3045"/>
      <c r="C11" s="3043"/>
      <c r="D11" s="3043"/>
      <c r="E11" s="3043"/>
      <c r="F11" s="3043"/>
    </row>
    <row r="12" spans="1:9" ht="16.5">
      <c r="A12" s="3043"/>
      <c r="B12" s="3043"/>
      <c r="C12" s="3043"/>
      <c r="D12" s="3043"/>
      <c r="E12" s="3043"/>
      <c r="F12" s="3043"/>
    </row>
    <row r="13" spans="1:9" ht="33">
      <c r="A13" s="3048" t="s">
        <v>2869</v>
      </c>
      <c r="B13" s="3046" t="s">
        <v>2841</v>
      </c>
      <c r="C13" s="3046" t="s">
        <v>2842</v>
      </c>
      <c r="D13" s="3046" t="s">
        <v>2854</v>
      </c>
      <c r="E13" s="3042" t="s">
        <v>2868</v>
      </c>
      <c r="F13" s="3042" t="s">
        <v>2847</v>
      </c>
      <c r="G13" s="3046" t="s">
        <v>2855</v>
      </c>
      <c r="H13" s="3046" t="s">
        <v>2856</v>
      </c>
      <c r="I13" s="3046" t="s">
        <v>2857</v>
      </c>
    </row>
    <row r="14" spans="1:9" ht="16.5">
      <c r="A14" s="3049" t="s">
        <v>2867</v>
      </c>
      <c r="B14" s="3046">
        <f>结果表!L38</f>
        <v>169816</v>
      </c>
      <c r="C14" s="3046">
        <f>结果表!K38</f>
        <v>62541.33</v>
      </c>
      <c r="D14" s="3046">
        <f ca="1">结果表!C42</f>
        <v>311695</v>
      </c>
      <c r="E14" s="3046">
        <f ca="1">ROUND(D14*10000/B14,0)</f>
        <v>18355</v>
      </c>
      <c r="F14" s="3046">
        <f ca="1">ROUND(D14*10000/C14,0)</f>
        <v>49838</v>
      </c>
      <c r="G14" s="3046">
        <f ca="1">结果表!C44</f>
        <v>311695</v>
      </c>
      <c r="H14" s="3046" t="str">
        <f>结果表!C45</f>
        <v>——</v>
      </c>
      <c r="I14" s="3046" t="str">
        <f>结果表!C46</f>
        <v>——</v>
      </c>
    </row>
    <row r="15" spans="1:9" ht="16.5">
      <c r="A15" s="3049" t="s">
        <v>2858</v>
      </c>
      <c r="B15" s="3050"/>
      <c r="C15" s="3050"/>
      <c r="D15" s="3050"/>
      <c r="E15" s="3046" t="e">
        <f t="shared" ref="E15:E23" si="0">ROUND(D15*10000/B15,0)</f>
        <v>#DIV/0!</v>
      </c>
      <c r="F15" s="3046" t="e">
        <f t="shared" ref="F15:F23" si="1">ROUND(D15*10000/C15,0)</f>
        <v>#DIV/0!</v>
      </c>
      <c r="G15" s="3047"/>
      <c r="H15" s="3047"/>
      <c r="I15" s="3050"/>
    </row>
    <row r="16" spans="1:9" ht="16.5">
      <c r="A16" s="3049" t="s">
        <v>2859</v>
      </c>
      <c r="B16" s="3050"/>
      <c r="C16" s="3050"/>
      <c r="D16" s="3050"/>
      <c r="E16" s="3046" t="e">
        <f t="shared" si="0"/>
        <v>#DIV/0!</v>
      </c>
      <c r="F16" s="3046" t="e">
        <f t="shared" si="1"/>
        <v>#DIV/0!</v>
      </c>
      <c r="G16" s="3047"/>
      <c r="H16" s="3047"/>
      <c r="I16" s="3050"/>
    </row>
    <row r="17" spans="1:9" ht="16.5">
      <c r="A17" s="3049" t="s">
        <v>2860</v>
      </c>
      <c r="B17" s="3050"/>
      <c r="C17" s="3050"/>
      <c r="D17" s="3050"/>
      <c r="E17" s="3046" t="e">
        <f t="shared" si="0"/>
        <v>#DIV/0!</v>
      </c>
      <c r="F17" s="3046" t="e">
        <f t="shared" si="1"/>
        <v>#DIV/0!</v>
      </c>
      <c r="G17" s="3047"/>
      <c r="H17" s="3047"/>
      <c r="I17" s="3050"/>
    </row>
    <row r="18" spans="1:9" ht="16.5">
      <c r="A18" s="3049" t="s">
        <v>2861</v>
      </c>
      <c r="B18" s="3050"/>
      <c r="C18" s="3050"/>
      <c r="D18" s="3050"/>
      <c r="E18" s="3046" t="e">
        <f t="shared" si="0"/>
        <v>#DIV/0!</v>
      </c>
      <c r="F18" s="3046" t="e">
        <f t="shared" si="1"/>
        <v>#DIV/0!</v>
      </c>
      <c r="G18" s="3050"/>
      <c r="H18" s="3050"/>
      <c r="I18" s="3050"/>
    </row>
    <row r="19" spans="1:9" ht="16.5">
      <c r="A19" s="3049" t="s">
        <v>2862</v>
      </c>
      <c r="B19" s="3050"/>
      <c r="C19" s="3050"/>
      <c r="D19" s="3050"/>
      <c r="E19" s="3046" t="e">
        <f t="shared" si="0"/>
        <v>#DIV/0!</v>
      </c>
      <c r="F19" s="3046" t="e">
        <f t="shared" si="1"/>
        <v>#DIV/0!</v>
      </c>
      <c r="G19" s="3050"/>
      <c r="H19" s="3050"/>
      <c r="I19" s="3050"/>
    </row>
    <row r="20" spans="1:9" ht="16.5">
      <c r="A20" s="3049" t="s">
        <v>2863</v>
      </c>
      <c r="B20" s="3050"/>
      <c r="C20" s="3050"/>
      <c r="D20" s="3050"/>
      <c r="E20" s="3046" t="e">
        <f t="shared" si="0"/>
        <v>#DIV/0!</v>
      </c>
      <c r="F20" s="3046" t="e">
        <f t="shared" si="1"/>
        <v>#DIV/0!</v>
      </c>
      <c r="G20" s="3050"/>
      <c r="H20" s="3050"/>
      <c r="I20" s="3050"/>
    </row>
    <row r="21" spans="1:9" ht="16.5">
      <c r="A21" s="3049" t="s">
        <v>2864</v>
      </c>
      <c r="B21" s="3050"/>
      <c r="C21" s="3050"/>
      <c r="D21" s="3050"/>
      <c r="E21" s="3046" t="e">
        <f t="shared" si="0"/>
        <v>#DIV/0!</v>
      </c>
      <c r="F21" s="3046" t="e">
        <f t="shared" si="1"/>
        <v>#DIV/0!</v>
      </c>
      <c r="G21" s="3050"/>
      <c r="H21" s="3050"/>
      <c r="I21" s="3050"/>
    </row>
    <row r="22" spans="1:9" ht="16.5">
      <c r="A22" s="3049" t="s">
        <v>2865</v>
      </c>
      <c r="B22" s="3050"/>
      <c r="C22" s="3050"/>
      <c r="D22" s="3050"/>
      <c r="E22" s="3046" t="e">
        <f t="shared" si="0"/>
        <v>#DIV/0!</v>
      </c>
      <c r="F22" s="3046" t="e">
        <f t="shared" si="1"/>
        <v>#DIV/0!</v>
      </c>
      <c r="G22" s="3050"/>
      <c r="H22" s="3050"/>
      <c r="I22" s="3050"/>
    </row>
    <row r="23" spans="1:9" ht="16.5">
      <c r="A23" s="3049" t="s">
        <v>2866</v>
      </c>
      <c r="B23" s="3050"/>
      <c r="C23" s="3050"/>
      <c r="D23" s="3050"/>
      <c r="E23" s="3042" t="e">
        <f t="shared" si="0"/>
        <v>#DIV/0!</v>
      </c>
      <c r="F23" s="3042" t="e">
        <f t="shared" si="1"/>
        <v>#DIV/0!</v>
      </c>
      <c r="G23" s="3050"/>
      <c r="H23" s="3050"/>
      <c r="I23" s="3050"/>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19" sqref="K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2055</v>
      </c>
      <c r="B1" s="1775"/>
      <c r="C1" s="1803" t="s">
        <v>2056</v>
      </c>
      <c r="D1" s="1804" t="s">
        <v>3208</v>
      </c>
      <c r="E1" s="1803" t="s">
        <v>2057</v>
      </c>
      <c r="F1" s="1805" t="s">
        <v>3209</v>
      </c>
      <c r="G1" s="310"/>
      <c r="H1" s="310"/>
      <c r="I1" s="310"/>
      <c r="J1" s="2026"/>
      <c r="K1" s="2026"/>
      <c r="L1" s="2026"/>
      <c r="M1" s="2026"/>
      <c r="N1" s="2026"/>
      <c r="O1" s="2026"/>
      <c r="P1" s="2026"/>
      <c r="Q1" s="2026"/>
      <c r="R1" s="2026"/>
      <c r="S1" s="2026"/>
      <c r="T1" s="2026"/>
      <c r="U1" s="2026"/>
      <c r="V1" s="2026"/>
    </row>
    <row r="2" spans="1:22" ht="21.75" customHeight="1" thickBot="1">
      <c r="A2" s="3450" t="str">
        <f>项目基本情况!K2</f>
        <v>北京市顺义区高丽营镇于庄03-21地块出让国有建设用地使用权</v>
      </c>
      <c r="B2" s="3451"/>
      <c r="C2" s="3452"/>
      <c r="D2" s="3452"/>
      <c r="E2" s="3452"/>
      <c r="F2" s="3452"/>
      <c r="G2" s="3451"/>
      <c r="H2" s="3451"/>
      <c r="I2" s="3453"/>
      <c r="J2" s="2027"/>
      <c r="K2" s="2026"/>
      <c r="L2" s="2026"/>
      <c r="M2" s="2026"/>
      <c r="N2" s="2026"/>
      <c r="O2" s="2026"/>
      <c r="P2" s="2026"/>
      <c r="Q2" s="2026"/>
      <c r="R2" s="2026"/>
      <c r="S2" s="2026"/>
      <c r="T2" s="2026"/>
      <c r="U2" s="2026"/>
      <c r="V2" s="2026"/>
    </row>
    <row r="3" spans="1:22" ht="14.25">
      <c r="A3" s="3443" t="s">
        <v>298</v>
      </c>
      <c r="B3" s="3444"/>
      <c r="C3" s="3444"/>
      <c r="D3" s="3444"/>
      <c r="E3" s="3444"/>
      <c r="F3" s="3444"/>
      <c r="G3" s="3444"/>
      <c r="H3" s="3444"/>
      <c r="I3" s="3444"/>
      <c r="J3" s="2027"/>
      <c r="K3" s="2026"/>
      <c r="L3" s="2026"/>
      <c r="M3" s="2026"/>
      <c r="N3" s="2026"/>
      <c r="O3" s="2026"/>
      <c r="P3" s="2026"/>
      <c r="Q3" s="2026"/>
      <c r="R3" s="2026"/>
      <c r="S3" s="2026"/>
      <c r="T3" s="2026"/>
      <c r="U3" s="2026"/>
      <c r="V3" s="2026"/>
    </row>
    <row r="4" spans="1:22" ht="14.25">
      <c r="A4" s="257" t="s">
        <v>299</v>
      </c>
      <c r="B4" s="258" t="s">
        <v>300</v>
      </c>
      <c r="C4" s="259" t="s">
        <v>3210</v>
      </c>
      <c r="D4" s="259" t="s">
        <v>3211</v>
      </c>
      <c r="E4" s="3415" t="s">
        <v>301</v>
      </c>
      <c r="F4" s="3416"/>
      <c r="G4" s="3416"/>
      <c r="H4" s="3416"/>
      <c r="I4" s="3445"/>
      <c r="J4" s="2027"/>
      <c r="K4" s="2026"/>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414" t="s">
        <v>302</v>
      </c>
      <c r="B5" s="3440">
        <v>25</v>
      </c>
      <c r="C5" s="3438"/>
      <c r="D5" s="3442"/>
      <c r="E5" s="260" t="s">
        <v>303</v>
      </c>
      <c r="F5" s="261"/>
      <c r="G5" s="261"/>
      <c r="H5" s="261"/>
      <c r="I5" s="262"/>
      <c r="J5" s="2027"/>
      <c r="K5" s="2026"/>
      <c r="L5" s="2026"/>
      <c r="M5" s="2026"/>
      <c r="N5" s="2026"/>
      <c r="O5" s="2026"/>
      <c r="P5" s="2026"/>
      <c r="Q5" s="2026"/>
      <c r="R5" s="2026"/>
      <c r="S5" s="2026"/>
      <c r="T5" s="2026"/>
      <c r="U5" s="2026"/>
      <c r="V5" s="2026"/>
    </row>
    <row r="6" spans="1:22" ht="14.25">
      <c r="A6" s="3414"/>
      <c r="B6" s="3440"/>
      <c r="C6" s="3441"/>
      <c r="D6" s="3442"/>
      <c r="E6" s="260" t="s">
        <v>304</v>
      </c>
      <c r="F6" s="261"/>
      <c r="G6" s="261"/>
      <c r="H6" s="261"/>
      <c r="I6" s="262"/>
      <c r="J6" s="2027"/>
      <c r="K6" s="2026"/>
      <c r="L6" s="2026"/>
      <c r="M6" s="2026"/>
      <c r="N6" s="2026"/>
      <c r="O6" s="2026"/>
      <c r="P6" s="2026"/>
      <c r="Q6" s="2026"/>
      <c r="R6" s="2026"/>
      <c r="S6" s="2026"/>
      <c r="T6" s="2026"/>
      <c r="U6" s="2026"/>
      <c r="V6" s="2026"/>
    </row>
    <row r="7" spans="1:22" ht="14.25">
      <c r="A7" s="3414"/>
      <c r="B7" s="3440"/>
      <c r="C7" s="3439"/>
      <c r="D7" s="3442"/>
      <c r="E7" s="260" t="s">
        <v>305</v>
      </c>
      <c r="F7" s="261"/>
      <c r="G7" s="261"/>
      <c r="H7" s="261"/>
      <c r="I7" s="262"/>
      <c r="J7" s="2027"/>
      <c r="K7" s="2026"/>
      <c r="L7" s="2026"/>
      <c r="M7" s="2026"/>
      <c r="N7" s="2026"/>
      <c r="O7" s="2026"/>
      <c r="P7" s="2026"/>
      <c r="Q7" s="2026"/>
      <c r="R7" s="2026"/>
      <c r="S7" s="2026"/>
      <c r="T7" s="2026"/>
      <c r="U7" s="2026"/>
      <c r="V7" s="2026"/>
    </row>
    <row r="8" spans="1:22" ht="14.25">
      <c r="A8" s="3414" t="s">
        <v>306</v>
      </c>
      <c r="B8" s="3440">
        <v>15</v>
      </c>
      <c r="C8" s="3438"/>
      <c r="D8" s="3442"/>
      <c r="E8" s="260" t="s">
        <v>307</v>
      </c>
      <c r="F8" s="261"/>
      <c r="G8" s="261"/>
      <c r="H8" s="261"/>
      <c r="I8" s="262"/>
      <c r="J8" s="2027"/>
      <c r="K8" s="2026"/>
      <c r="L8" s="2026"/>
      <c r="M8" s="2026"/>
      <c r="N8" s="2026"/>
      <c r="O8" s="2026"/>
      <c r="P8" s="2026"/>
      <c r="Q8" s="2026"/>
      <c r="R8" s="2026"/>
      <c r="S8" s="2026"/>
      <c r="T8" s="2026"/>
      <c r="U8" s="2026"/>
      <c r="V8" s="2026"/>
    </row>
    <row r="9" spans="1:22" ht="14.25">
      <c r="A9" s="3414"/>
      <c r="B9" s="3440"/>
      <c r="C9" s="3439"/>
      <c r="D9" s="3442"/>
      <c r="E9" s="260" t="s">
        <v>308</v>
      </c>
      <c r="F9" s="261"/>
      <c r="G9" s="261"/>
      <c r="H9" s="261"/>
      <c r="I9" s="262"/>
      <c r="J9" s="2027"/>
      <c r="K9" s="2026"/>
      <c r="L9" s="2026"/>
      <c r="M9" s="2026"/>
      <c r="N9" s="2026"/>
      <c r="O9" s="2026"/>
      <c r="P9" s="2026"/>
      <c r="Q9" s="2026"/>
      <c r="R9" s="2026"/>
      <c r="S9" s="2026"/>
      <c r="T9" s="2026"/>
      <c r="U9" s="2026"/>
      <c r="V9" s="2026"/>
    </row>
    <row r="10" spans="1:22" ht="14.25">
      <c r="A10" s="3414" t="s">
        <v>309</v>
      </c>
      <c r="B10" s="3440">
        <v>15</v>
      </c>
      <c r="C10" s="3438"/>
      <c r="D10" s="3442"/>
      <c r="E10" s="260" t="s">
        <v>310</v>
      </c>
      <c r="F10" s="261"/>
      <c r="G10" s="261"/>
      <c r="H10" s="261"/>
      <c r="I10" s="262"/>
      <c r="J10" s="2027"/>
      <c r="K10" s="2026"/>
      <c r="L10" s="2026"/>
      <c r="M10" s="2026"/>
      <c r="N10" s="2026"/>
      <c r="O10" s="2026"/>
      <c r="P10" s="2026"/>
      <c r="Q10" s="2026"/>
      <c r="R10" s="2026"/>
      <c r="S10" s="2026"/>
      <c r="T10" s="2026"/>
      <c r="U10" s="2026"/>
      <c r="V10" s="2026"/>
    </row>
    <row r="11" spans="1:22" ht="14.25">
      <c r="A11" s="3414"/>
      <c r="B11" s="3440"/>
      <c r="C11" s="3439"/>
      <c r="D11" s="3442"/>
      <c r="E11" s="260" t="s">
        <v>311</v>
      </c>
      <c r="F11" s="261"/>
      <c r="G11" s="261"/>
      <c r="H11" s="261"/>
      <c r="I11" s="262"/>
      <c r="J11" s="2027"/>
      <c r="K11" s="2026"/>
      <c r="L11" s="2026"/>
      <c r="M11" s="2026"/>
      <c r="N11" s="2026"/>
      <c r="O11" s="2026"/>
      <c r="P11" s="2026"/>
      <c r="Q11" s="2026"/>
      <c r="R11" s="2026"/>
      <c r="S11" s="2026"/>
      <c r="T11" s="2026"/>
      <c r="U11" s="2026"/>
      <c r="V11" s="2026"/>
    </row>
    <row r="12" spans="1:22" ht="14.25">
      <c r="A12" s="3414" t="s">
        <v>312</v>
      </c>
      <c r="B12" s="3440">
        <v>15</v>
      </c>
      <c r="C12" s="3438"/>
      <c r="D12" s="3442"/>
      <c r="E12" s="260" t="s">
        <v>313</v>
      </c>
      <c r="F12" s="261"/>
      <c r="G12" s="261"/>
      <c r="H12" s="261"/>
      <c r="I12" s="262"/>
      <c r="J12" s="2027"/>
      <c r="K12" s="2026"/>
      <c r="L12" s="2026"/>
      <c r="M12" s="2026"/>
      <c r="N12" s="2026"/>
      <c r="O12" s="2026"/>
      <c r="P12" s="2026"/>
      <c r="Q12" s="2026"/>
      <c r="R12" s="2026"/>
      <c r="S12" s="2026"/>
      <c r="T12" s="2026"/>
      <c r="U12" s="2026"/>
      <c r="V12" s="2026"/>
    </row>
    <row r="13" spans="1:22" ht="14.25">
      <c r="A13" s="3414"/>
      <c r="B13" s="3440"/>
      <c r="C13" s="3439"/>
      <c r="D13" s="3442"/>
      <c r="E13" s="260" t="s">
        <v>314</v>
      </c>
      <c r="F13" s="261"/>
      <c r="G13" s="261"/>
      <c r="H13" s="261"/>
      <c r="I13" s="262"/>
      <c r="J13" s="2027"/>
      <c r="K13" s="2026"/>
      <c r="L13" s="2026"/>
      <c r="M13" s="2026"/>
      <c r="N13" s="2026"/>
      <c r="O13" s="2026"/>
      <c r="P13" s="2026"/>
      <c r="Q13" s="2026"/>
      <c r="R13" s="2026"/>
      <c r="S13" s="2026"/>
      <c r="T13" s="2026"/>
      <c r="U13" s="2026"/>
      <c r="V13" s="2026"/>
    </row>
    <row r="14" spans="1:22" ht="14.25">
      <c r="A14" s="3414" t="s">
        <v>315</v>
      </c>
      <c r="B14" s="3440">
        <v>30</v>
      </c>
      <c r="C14" s="3438">
        <v>5</v>
      </c>
      <c r="D14" s="3442">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414"/>
      <c r="B15" s="3440"/>
      <c r="C15" s="3441"/>
      <c r="D15" s="3442"/>
      <c r="E15" s="260" t="s">
        <v>317</v>
      </c>
      <c r="F15" s="261"/>
      <c r="G15" s="261"/>
      <c r="H15" s="261"/>
      <c r="I15" s="262"/>
      <c r="J15" s="2027"/>
      <c r="K15" s="2026"/>
      <c r="L15" s="2026"/>
      <c r="M15" s="2026"/>
      <c r="N15" s="2026"/>
      <c r="O15" s="2026"/>
      <c r="P15" s="2026"/>
      <c r="Q15" s="2026"/>
      <c r="R15" s="2026"/>
      <c r="S15" s="2026"/>
      <c r="T15" s="2026"/>
      <c r="U15" s="2026"/>
      <c r="V15" s="2026"/>
    </row>
    <row r="16" spans="1:22" ht="14.25">
      <c r="A16" s="3414"/>
      <c r="B16" s="3440"/>
      <c r="C16" s="3439"/>
      <c r="D16" s="3442"/>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3"/>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333218</v>
      </c>
      <c r="D19" s="270">
        <f ca="1">SUMIF(INDIRECT("'"&amp;D4&amp;"'"&amp;"!A:A"),结果表!B19,INDIRECT("'"&amp;D4&amp;"'"&amp;"!B:B"))</f>
        <v>290172</v>
      </c>
      <c r="E19" s="267" t="s">
        <v>323</v>
      </c>
      <c r="F19" s="268" t="s">
        <v>322</v>
      </c>
      <c r="G19" s="271">
        <f ca="1">ROUND(C19*$C$18+D19*$D$18,0)</f>
        <v>311695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19622</v>
      </c>
      <c r="D20" s="276">
        <f ca="1">SUMIF(INDIRECT("'"&amp;D4&amp;"'"&amp;"!A:A"),结果表!B20,INDIRECT("'"&amp;D4&amp;"'"&amp;"!B:B"))</f>
        <v>17087</v>
      </c>
      <c r="E20" s="273"/>
      <c r="F20" s="274" t="s">
        <v>325</v>
      </c>
      <c r="G20" s="277">
        <f ca="1">ROUND(C20*$C$18+D20*$D$18,0)</f>
        <v>18355</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53280</v>
      </c>
      <c r="D21" s="150">
        <f ca="1">SUMIF(INDIRECT("'"&amp;D4&amp;"'"&amp;"!A:A"),结果表!B21,INDIRECT("'"&amp;D4&amp;"'"&amp;"!B:B"))</f>
        <v>46397</v>
      </c>
      <c r="E21" s="273"/>
      <c r="F21" s="279" t="s">
        <v>327</v>
      </c>
      <c r="G21" s="281">
        <f ca="1">ROUND(C21*$C$18+D21*$D$18,0)</f>
        <v>49839</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0.14834649793915333</v>
      </c>
      <c r="E22" s="283"/>
      <c r="F22" s="284"/>
      <c r="G22" s="285">
        <f ca="1">ROUND(G19/('数据-汇总表'!D3/666.67),0)</f>
        <v>3323</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420"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421"/>
      <c r="B25" s="1320" t="s">
        <v>331</v>
      </c>
      <c r="C25" s="289">
        <f>IF(B30=0,0,C30)</f>
        <v>0</v>
      </c>
      <c r="D25" s="290"/>
      <c r="E25" s="310"/>
      <c r="F25" s="310"/>
      <c r="G25" s="310"/>
      <c r="H25" s="310"/>
      <c r="I25" s="310"/>
      <c r="J25" s="2026"/>
      <c r="K25" s="1254" t="str">
        <f ca="1">项目基本情况!B16&amp;"国有建设用地使用权价格："&amp;O38&amp;"万元"</f>
        <v>出让国有建设用地使用权价格：311695万元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大写金额：人民币叁拾壹亿壹仟陆佰玖拾伍万元整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单位面积地价：49838元/平方米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楼面地价：18355元/平方米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抵押价格：311695万元</v>
      </c>
      <c r="L29" s="1251"/>
      <c r="M29" s="1251"/>
      <c r="N29" s="1251"/>
      <c r="O29" s="1250"/>
      <c r="P29" s="2026"/>
      <c r="V29" s="2026"/>
    </row>
    <row r="30" spans="1:26" ht="18.75" thickBot="1">
      <c r="A30" s="3124" t="s">
        <v>336</v>
      </c>
      <c r="B30" s="308"/>
      <c r="C30" s="308"/>
      <c r="D30" s="309"/>
      <c r="E30" s="3125" t="s">
        <v>2956</v>
      </c>
      <c r="F30" s="310"/>
      <c r="G30" s="310"/>
      <c r="H30" s="310"/>
      <c r="I30" s="310"/>
      <c r="J30" s="2026"/>
      <c r="K30" s="1257" t="str">
        <f ca="1">IF(K29="——","——","大写金额：人民币"&amp;NUMBERSTRING(INT(O39*10000),2)&amp;"元整")</f>
        <v>大写金额：人民币叁拾壹亿壹仟陆佰玖拾伍万元整</v>
      </c>
      <c r="L30" s="1251"/>
      <c r="M30" s="1251"/>
      <c r="N30" s="1251"/>
      <c r="O30" s="1250"/>
      <c r="P30" s="2026"/>
      <c r="V30" s="2026"/>
    </row>
    <row r="31" spans="1:26" ht="24" customHeight="1" thickBot="1">
      <c r="A31" s="310"/>
      <c r="B31" s="310"/>
      <c r="C31" s="310"/>
      <c r="D31" s="310"/>
      <c r="E31" s="310"/>
      <c r="F31" s="310"/>
      <c r="G31" s="310"/>
      <c r="H31" s="310"/>
      <c r="I31" s="310"/>
      <c r="J31" s="2026"/>
      <c r="K31" s="2466" t="str">
        <f>IF(项目基本情况!E8="抵押价格","——","抵押担保权已注销时的抵押价格："&amp;O40&amp;"万元")</f>
        <v>——</v>
      </c>
      <c r="L31" s="2462"/>
      <c r="M31" s="2462"/>
      <c r="N31" s="2462"/>
      <c r="O31" s="2463"/>
      <c r="P31" s="2026"/>
      <c r="V31" s="2026"/>
    </row>
    <row r="32" spans="1:26" ht="18.75" thickBot="1">
      <c r="A32" s="267" t="s">
        <v>337</v>
      </c>
      <c r="B32" s="1380" t="s">
        <v>1689</v>
      </c>
      <c r="C32" s="1381">
        <f ca="1">G19-C24</f>
        <v>311695</v>
      </c>
      <c r="D32" s="1382" t="s">
        <v>1690</v>
      </c>
      <c r="E32" s="310"/>
      <c r="F32" s="310"/>
      <c r="G32" s="310"/>
      <c r="H32" s="310"/>
      <c r="I32" s="310"/>
      <c r="J32" s="2026"/>
      <c r="K32" s="2461" t="str">
        <f>IF(K31="——","——","大写金额：人民币"&amp;NUMBERSTRING(INT(O40*10000),2)&amp;"元整")</f>
        <v>——</v>
      </c>
      <c r="L32" s="2464"/>
      <c r="M32" s="2464"/>
      <c r="N32" s="2464"/>
      <c r="O32" s="2465"/>
      <c r="P32" s="2026"/>
      <c r="V32" s="2026"/>
    </row>
    <row r="33" spans="1:26" ht="18.75" thickBot="1">
      <c r="A33" s="297" t="s">
        <v>340</v>
      </c>
      <c r="B33" s="1383" t="s">
        <v>1691</v>
      </c>
      <c r="C33" s="263">
        <f ca="1">ROUND(C32*10000/'数据-汇总表'!E3,0)</f>
        <v>18355</v>
      </c>
      <c r="D33" s="1384" t="s">
        <v>1692</v>
      </c>
      <c r="E33" s="3420"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5" t="s">
        <v>1693</v>
      </c>
      <c r="C34" s="263">
        <f ca="1">ROUND(C32*10000/'数据-汇总表'!D3,0)</f>
        <v>49838</v>
      </c>
      <c r="D34" s="1386" t="s">
        <v>1692</v>
      </c>
      <c r="E34" s="3461"/>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7"/>
      <c r="C35" s="1388">
        <f ca="1">ROUND(C32/('数据-汇总表'!D3/666.67),0)</f>
        <v>3323</v>
      </c>
      <c r="D35" s="1389" t="s">
        <v>1694</v>
      </c>
      <c r="E35" s="3462"/>
      <c r="F35" s="300" t="s">
        <v>342</v>
      </c>
      <c r="G35" s="981"/>
      <c r="H35" s="980" t="s">
        <v>343</v>
      </c>
      <c r="I35" s="310"/>
      <c r="J35" s="2026"/>
      <c r="K35" s="3435" t="s">
        <v>350</v>
      </c>
      <c r="L35" s="3435" t="s">
        <v>351</v>
      </c>
      <c r="M35" s="1263" t="s">
        <v>352</v>
      </c>
      <c r="N35" s="3435" t="s">
        <v>353</v>
      </c>
      <c r="O35" s="3435" t="s">
        <v>354</v>
      </c>
      <c r="P35" s="2026"/>
      <c r="V35" s="2026"/>
    </row>
    <row r="36" spans="1:26" ht="16.5" customHeight="1">
      <c r="A36" s="302" t="s">
        <v>344</v>
      </c>
      <c r="B36" s="303" t="s">
        <v>333</v>
      </c>
      <c r="C36" s="304" t="s">
        <v>345</v>
      </c>
      <c r="D36" s="304" t="s">
        <v>346</v>
      </c>
      <c r="E36" s="305" t="s">
        <v>347</v>
      </c>
      <c r="F36" s="310"/>
      <c r="G36" s="310"/>
      <c r="H36" s="310"/>
      <c r="I36" s="310"/>
      <c r="J36" s="2028"/>
      <c r="K36" s="3436"/>
      <c r="L36" s="3436"/>
      <c r="M36" s="1265" t="s">
        <v>355</v>
      </c>
      <c r="N36" s="3436"/>
      <c r="O36" s="3436"/>
      <c r="P36" s="2026"/>
      <c r="V36" s="2026"/>
    </row>
    <row r="37" spans="1:26" ht="16.5" customHeight="1" thickBot="1">
      <c r="A37" s="1259" t="s">
        <v>348</v>
      </c>
      <c r="B37" s="306"/>
      <c r="C37" s="293"/>
      <c r="D37" s="293"/>
      <c r="E37" s="294"/>
      <c r="F37" s="310"/>
      <c r="G37" s="310"/>
      <c r="H37" s="310"/>
      <c r="I37" s="310"/>
      <c r="J37" s="2028"/>
      <c r="K37" s="3437"/>
      <c r="L37" s="3437"/>
      <c r="M37" s="1266"/>
      <c r="N37" s="3437"/>
      <c r="O37" s="3437"/>
      <c r="P37" s="2026"/>
      <c r="V37" s="2026"/>
    </row>
    <row r="38" spans="1:26" ht="16.5" customHeight="1" thickBot="1">
      <c r="A38" s="1259" t="s">
        <v>349</v>
      </c>
      <c r="B38" s="306"/>
      <c r="C38" s="293"/>
      <c r="D38" s="293"/>
      <c r="E38" s="294"/>
      <c r="F38" s="310"/>
      <c r="G38" s="310"/>
      <c r="H38" s="310"/>
      <c r="I38" s="310"/>
      <c r="J38" s="2028"/>
      <c r="K38" s="1267">
        <f>'数据-汇总表'!D3</f>
        <v>62541.33</v>
      </c>
      <c r="L38" s="1268">
        <f>'数据-汇总表'!E3</f>
        <v>169816</v>
      </c>
      <c r="M38" s="1268">
        <f ca="1">C34</f>
        <v>49838</v>
      </c>
      <c r="N38" s="1268">
        <f ca="1">C33</f>
        <v>18355</v>
      </c>
      <c r="O38" s="1269">
        <f ca="1">C32</f>
        <v>311695</v>
      </c>
      <c r="P38" s="2026"/>
      <c r="V38" s="2026"/>
    </row>
    <row r="39" spans="1:26" ht="16.5" customHeight="1" thickBot="1">
      <c r="A39" s="1264"/>
      <c r="B39" s="307"/>
      <c r="C39" s="308"/>
      <c r="D39" s="308"/>
      <c r="E39" s="309"/>
      <c r="F39" s="310"/>
      <c r="G39" s="310"/>
      <c r="H39" s="310"/>
      <c r="I39" s="310"/>
      <c r="J39" s="2028"/>
      <c r="K39" s="3480" t="str">
        <f>MID(A44,3,LEN(A44)-2)</f>
        <v>抵押价格</v>
      </c>
      <c r="L39" s="3481"/>
      <c r="M39" s="3481"/>
      <c r="N39" s="3482"/>
      <c r="O39" s="1391">
        <f ca="1">C44</f>
        <v>311695</v>
      </c>
      <c r="P39" s="2026"/>
      <c r="V39" s="2026"/>
    </row>
    <row r="40" spans="1:26" ht="19.5" thickBot="1">
      <c r="A40" s="104" t="s">
        <v>873</v>
      </c>
      <c r="B40" s="310"/>
      <c r="C40" s="310"/>
      <c r="D40" s="310"/>
      <c r="E40" s="310"/>
      <c r="F40" s="310"/>
      <c r="G40" s="310"/>
      <c r="H40" s="310"/>
      <c r="I40" s="310"/>
      <c r="J40" s="2028"/>
      <c r="K40" s="3480" t="str">
        <f>MID(A45,3,LEN(A45)-2)</f>
        <v/>
      </c>
      <c r="L40" s="3481"/>
      <c r="M40" s="3481"/>
      <c r="N40" s="3482"/>
      <c r="O40" s="1391" t="str">
        <f>C45</f>
        <v>——</v>
      </c>
      <c r="P40" s="2026"/>
      <c r="V40" s="2026"/>
    </row>
    <row r="41" spans="1:26" ht="16.5" thickBot="1">
      <c r="A41" s="311" t="s">
        <v>356</v>
      </c>
      <c r="B41" s="312"/>
      <c r="C41" s="313" t="s">
        <v>357</v>
      </c>
      <c r="D41" s="314" t="s">
        <v>358</v>
      </c>
      <c r="E41" s="314" t="s">
        <v>359</v>
      </c>
      <c r="F41" s="315" t="s">
        <v>360</v>
      </c>
      <c r="G41" s="310"/>
      <c r="H41" s="310"/>
      <c r="I41" s="310"/>
      <c r="J41" s="2028"/>
      <c r="K41" s="3480" t="str">
        <f>MID(A46,3,LEN(A46)-2)</f>
        <v/>
      </c>
      <c r="L41" s="3481"/>
      <c r="M41" s="3481"/>
      <c r="N41" s="3482"/>
      <c r="O41" s="1391" t="str">
        <f>C46</f>
        <v>——</v>
      </c>
      <c r="P41" s="2026"/>
      <c r="V41" s="2026"/>
    </row>
    <row r="42" spans="1:26" ht="29.25">
      <c r="A42" s="3422" t="s">
        <v>2067</v>
      </c>
      <c r="B42" s="3423"/>
      <c r="C42" s="263">
        <f ca="1">C32</f>
        <v>311695</v>
      </c>
      <c r="D42" s="316">
        <f ca="1">C33</f>
        <v>18355</v>
      </c>
      <c r="E42" s="316">
        <f ca="1">C34</f>
        <v>49838</v>
      </c>
      <c r="F42" s="317">
        <f ca="1">C35</f>
        <v>3323</v>
      </c>
      <c r="G42" s="310"/>
      <c r="H42" s="310"/>
      <c r="I42" s="318"/>
      <c r="J42" s="2028"/>
      <c r="K42" s="1270" t="s">
        <v>361</v>
      </c>
      <c r="L42" s="2045" t="s">
        <v>362</v>
      </c>
      <c r="M42" s="1271" t="s">
        <v>363</v>
      </c>
      <c r="N42" s="2046" t="s">
        <v>364</v>
      </c>
      <c r="O42" s="2047" t="s">
        <v>365</v>
      </c>
      <c r="P42" s="2026"/>
      <c r="V42" s="2026"/>
    </row>
    <row r="43" spans="1:26" ht="30">
      <c r="A43" s="3433" t="s">
        <v>2727</v>
      </c>
      <c r="B43" s="3434"/>
      <c r="C43" s="263">
        <f>IF(H33="正常操作",G33+G34+G35,G34+G35)</f>
        <v>0</v>
      </c>
      <c r="D43" s="316" t="s">
        <v>43</v>
      </c>
      <c r="E43" s="316" t="s">
        <v>44</v>
      </c>
      <c r="F43" s="317" t="s">
        <v>44</v>
      </c>
      <c r="G43" s="2864" t="s">
        <v>952</v>
      </c>
      <c r="H43" s="310"/>
      <c r="I43" s="318"/>
      <c r="J43" s="2028"/>
      <c r="K43" s="1272" t="str">
        <f>C4</f>
        <v>剩余法-待开发</v>
      </c>
      <c r="L43" s="1273">
        <f ca="1">IF(L42="估价结果/万元",C19,C20)</f>
        <v>333218</v>
      </c>
      <c r="M43" s="1274">
        <f>C18</f>
        <v>0.5</v>
      </c>
      <c r="N43" s="1275">
        <f ca="1">IF(N42="测算结果/万元",G19,G20)</f>
        <v>311695</v>
      </c>
      <c r="O43" s="1276">
        <f ca="1">IF(O42="最终结果/万元",C32,C33)</f>
        <v>311695</v>
      </c>
      <c r="P43" s="2026"/>
      <c r="V43" s="2026"/>
    </row>
    <row r="44" spans="1:26" ht="30.75" thickBot="1">
      <c r="A44" s="3422" t="str">
        <f>IF(OR(项目基本情况!E8="抵押价格",项目基本情况!E8="已注销及未注销"),"3.抵押价格","——")</f>
        <v>3.抵押价格</v>
      </c>
      <c r="B44" s="3423"/>
      <c r="C44" s="263">
        <f ca="1">IF(A44="——","——",C42-C43)</f>
        <v>311695</v>
      </c>
      <c r="D44" s="316">
        <f ca="1">ROUND(C44*10000/'数据-汇总表'!E3,0)</f>
        <v>18355</v>
      </c>
      <c r="E44" s="316">
        <f ca="1">ROUND(C44*10000/'数据-汇总表'!D3,0)</f>
        <v>49838</v>
      </c>
      <c r="F44" s="317">
        <f ca="1">ROUND(C44/('数据-汇总表'!D3/666.67),0)</f>
        <v>3323</v>
      </c>
      <c r="G44" s="310"/>
      <c r="H44" s="310"/>
      <c r="I44" s="318"/>
      <c r="J44" s="2028"/>
      <c r="K44" s="1277" t="str">
        <f>D4</f>
        <v>比较法-住宅、综合</v>
      </c>
      <c r="L44" s="1278">
        <f ca="1">IF(L42="估价结果/万元",D19,D20)</f>
        <v>290172</v>
      </c>
      <c r="M44" s="1279">
        <f>D18</f>
        <v>0.5</v>
      </c>
      <c r="N44" s="1280"/>
      <c r="O44" s="1281"/>
      <c r="P44" s="2026"/>
      <c r="V44" s="2026"/>
    </row>
    <row r="45" spans="1:26" ht="15">
      <c r="A45" s="3428" t="str">
        <f>IF(项目基本情况!E8="已注销及未注销","4.抵押担保权已注销时的抵押价格",IF(项目基本情况!E8="已注销","3.抵押担保权已注销时的抵押价格","——"))</f>
        <v>——</v>
      </c>
      <c r="B45" s="3429"/>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424" t="str">
        <f>IF(项目基本情况!E9="抵押净值",IF(A45="——","4.抵押净值","5.抵押净值"),"——")</f>
        <v>——</v>
      </c>
      <c r="B46" s="3425"/>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469" t="s">
        <v>374</v>
      </c>
      <c r="B63" s="3470"/>
      <c r="C63" s="3471"/>
      <c r="D63" s="340">
        <f ca="1">ROUND(C42*F63,0)</f>
        <v>187017</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430" t="s">
        <v>378</v>
      </c>
      <c r="B64" s="3431"/>
      <c r="C64" s="3431"/>
      <c r="D64" s="3431"/>
      <c r="E64" s="3431"/>
      <c r="F64" s="3431"/>
      <c r="G64" s="3432"/>
      <c r="H64" s="1287"/>
      <c r="I64" s="947"/>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426" t="s">
        <v>386</v>
      </c>
      <c r="B66" s="3427"/>
      <c r="C66" s="3427"/>
      <c r="D66" s="260">
        <f ca="1">IF(H66="情况1",0,IF(H66="情况2",D70,IF(H66="情况3",D71,IF(H66="情况4",D72))))</f>
        <v>9796</v>
      </c>
      <c r="E66" s="992" t="str">
        <f>IF(H66="情况4","(销售额-原购置价)×税（费）率","销售额×税（费）率")</f>
        <v>销售额×税（费）率</v>
      </c>
      <c r="F66" s="349">
        <f>IF(H66="情况1","免征",'数据-取费表'!B41)</f>
        <v>5.5000000000000007E-2</v>
      </c>
      <c r="G66" s="350" t="s">
        <v>387</v>
      </c>
      <c r="H66" s="190" t="s">
        <v>388</v>
      </c>
      <c r="I66" s="1287"/>
      <c r="J66" s="2032"/>
      <c r="K66" s="1290">
        <v>1</v>
      </c>
      <c r="L66" s="3484" t="s">
        <v>385</v>
      </c>
      <c r="M66" s="3485"/>
      <c r="N66" s="2456"/>
      <c r="O66" s="2457"/>
      <c r="P66" s="2458"/>
      <c r="Q66" s="2026"/>
      <c r="R66" s="2026"/>
      <c r="S66" s="2026"/>
      <c r="T66" s="2026"/>
      <c r="U66" s="2026"/>
      <c r="V66" s="2026"/>
    </row>
    <row r="67" spans="1:22" ht="25.5" customHeight="1">
      <c r="A67" s="351" t="s">
        <v>390</v>
      </c>
      <c r="B67" s="3417" t="s">
        <v>391</v>
      </c>
      <c r="C67" s="3417"/>
      <c r="D67" s="352">
        <v>0</v>
      </c>
      <c r="E67" s="41" t="s">
        <v>392</v>
      </c>
      <c r="F67" s="62" t="s">
        <v>21</v>
      </c>
      <c r="G67" s="3472"/>
      <c r="H67" s="310"/>
      <c r="I67" s="1291"/>
      <c r="J67" s="2033"/>
      <c r="K67" s="1974">
        <v>2</v>
      </c>
      <c r="L67" s="3483" t="s">
        <v>389</v>
      </c>
      <c r="M67" s="3483"/>
      <c r="N67" s="1324">
        <f>'数据-取费表'!B2</f>
        <v>43444</v>
      </c>
      <c r="O67" s="1324"/>
      <c r="P67" s="1324"/>
      <c r="Q67" s="2026"/>
      <c r="R67" s="2026"/>
      <c r="S67" s="2026"/>
      <c r="T67" s="2026"/>
      <c r="U67" s="2026"/>
      <c r="V67" s="2026"/>
    </row>
    <row r="68" spans="1:22" ht="25.5" customHeight="1">
      <c r="A68" s="353"/>
      <c r="B68" s="3417" t="s">
        <v>394</v>
      </c>
      <c r="C68" s="3417"/>
      <c r="D68" s="354"/>
      <c r="E68" s="77"/>
      <c r="F68" s="355"/>
      <c r="G68" s="3473"/>
      <c r="H68" s="310"/>
      <c r="I68" s="1291"/>
      <c r="J68" s="2033"/>
      <c r="K68" s="1974">
        <v>3</v>
      </c>
      <c r="L68" s="3483" t="s">
        <v>393</v>
      </c>
      <c r="M68" s="3483"/>
      <c r="N68" s="1292">
        <f ca="1">C42</f>
        <v>311695</v>
      </c>
      <c r="O68" s="1292"/>
      <c r="P68" s="1292"/>
      <c r="Q68" s="2026"/>
      <c r="R68" s="2026"/>
      <c r="S68" s="2026"/>
      <c r="T68" s="2026"/>
      <c r="U68" s="2026"/>
      <c r="V68" s="2026"/>
    </row>
    <row r="69" spans="1:22" ht="12" customHeight="1">
      <c r="A69" s="356"/>
      <c r="B69" s="3417" t="s">
        <v>395</v>
      </c>
      <c r="C69" s="3417"/>
      <c r="D69" s="357"/>
      <c r="E69" s="73"/>
      <c r="F69" s="355"/>
      <c r="G69" s="3474"/>
      <c r="H69" s="310"/>
      <c r="I69" s="1291"/>
      <c r="J69" s="2033"/>
      <c r="K69" s="1293">
        <v>4</v>
      </c>
      <c r="L69" s="3488" t="s">
        <v>2880</v>
      </c>
      <c r="M69" s="3489"/>
      <c r="N69" s="1294">
        <f ca="1">C44</f>
        <v>311695</v>
      </c>
      <c r="O69" s="1294"/>
      <c r="P69" s="1294"/>
      <c r="Q69" s="2026"/>
      <c r="R69" s="2026"/>
      <c r="S69" s="2026"/>
      <c r="T69" s="2026"/>
      <c r="U69" s="2026"/>
      <c r="V69" s="2026"/>
    </row>
    <row r="70" spans="1:22" ht="24" customHeight="1">
      <c r="A70" s="358" t="s">
        <v>396</v>
      </c>
      <c r="B70" s="3417" t="s">
        <v>397</v>
      </c>
      <c r="C70" s="3417"/>
      <c r="D70" s="357">
        <f ca="1">ROUND(D63*'数据-取费表'!B41/(1+'数据-取费表'!C42),0)</f>
        <v>9796</v>
      </c>
      <c r="E70" s="17" t="s">
        <v>398</v>
      </c>
      <c r="F70" s="359">
        <f>'数据-取费表'!B41</f>
        <v>5.5000000000000007E-2</v>
      </c>
      <c r="G70" s="360"/>
      <c r="H70" s="310"/>
      <c r="I70" s="1291"/>
      <c r="J70" s="2033"/>
      <c r="K70" s="3059"/>
      <c r="L70" s="3060"/>
      <c r="M70" s="3060"/>
      <c r="N70" s="3061" t="s">
        <v>2885</v>
      </c>
      <c r="O70" s="3060"/>
      <c r="P70" s="3062"/>
      <c r="Q70" s="2026"/>
      <c r="R70" s="2026"/>
      <c r="S70" s="2026"/>
      <c r="T70" s="2026"/>
      <c r="U70" s="2026"/>
      <c r="V70" s="2026"/>
    </row>
    <row r="71" spans="1:22" ht="12" customHeight="1">
      <c r="A71" s="358" t="s">
        <v>404</v>
      </c>
      <c r="B71" s="3418" t="s">
        <v>405</v>
      </c>
      <c r="C71" s="3419"/>
      <c r="D71" s="357">
        <f ca="1">ROUND(D63*'数据-取费表'!B41/(1+'数据-取费表'!C42),0)</f>
        <v>9796</v>
      </c>
      <c r="E71" s="17" t="s">
        <v>398</v>
      </c>
      <c r="F71" s="359">
        <f>'数据-取费表'!B41</f>
        <v>5.5000000000000007E-2</v>
      </c>
      <c r="G71" s="360"/>
      <c r="H71" s="310"/>
      <c r="I71" s="1291"/>
      <c r="J71" s="2033"/>
      <c r="K71" s="3058" t="s">
        <v>399</v>
      </c>
      <c r="L71" s="3490" t="s">
        <v>400</v>
      </c>
      <c r="M71" s="3490"/>
      <c r="N71" s="3058" t="s">
        <v>401</v>
      </c>
      <c r="O71" s="3058" t="s">
        <v>402</v>
      </c>
      <c r="P71" s="3058" t="s">
        <v>403</v>
      </c>
      <c r="Q71" s="2026"/>
      <c r="R71" s="2026"/>
      <c r="S71" s="2026"/>
      <c r="T71" s="2026"/>
      <c r="U71" s="2026"/>
      <c r="V71" s="2026"/>
    </row>
    <row r="72" spans="1:22" ht="12" customHeight="1">
      <c r="A72" s="358" t="s">
        <v>407</v>
      </c>
      <c r="B72" s="3418" t="s">
        <v>408</v>
      </c>
      <c r="C72" s="3419"/>
      <c r="D72" s="357">
        <f ca="1">C86</f>
        <v>9686</v>
      </c>
      <c r="E72" s="73" t="s">
        <v>409</v>
      </c>
      <c r="F72" s="359">
        <f>'数据-取费表'!B41</f>
        <v>5.5000000000000007E-2</v>
      </c>
      <c r="G72" s="360"/>
      <c r="H72" s="1297"/>
      <c r="I72" s="1291"/>
      <c r="J72" s="2033"/>
      <c r="K72" s="1974">
        <v>1</v>
      </c>
      <c r="L72" s="3465" t="s">
        <v>406</v>
      </c>
      <c r="M72" s="3465"/>
      <c r="N72" s="1295">
        <f ca="1">D66</f>
        <v>9796</v>
      </c>
      <c r="O72" s="1857" t="str">
        <f>E66</f>
        <v>销售额×税（费）率</v>
      </c>
      <c r="P72" s="1296">
        <f>F66</f>
        <v>5.5000000000000007E-2</v>
      </c>
      <c r="Q72" s="2026"/>
      <c r="R72" s="2026"/>
      <c r="S72" s="2026"/>
      <c r="T72" s="2026"/>
      <c r="U72" s="2026"/>
      <c r="V72" s="2026"/>
    </row>
    <row r="73" spans="1:22" ht="24" customHeight="1">
      <c r="A73" s="3459" t="s">
        <v>411</v>
      </c>
      <c r="B73" s="3427"/>
      <c r="C73" s="3427"/>
      <c r="D73" s="361">
        <f>IF(H73="个人住宅",0,ROUND(D63*I73,0))</f>
        <v>0</v>
      </c>
      <c r="E73" s="17" t="s">
        <v>412</v>
      </c>
      <c r="F73" s="359" t="str">
        <f>IF(H73="正常",I73,"免征")</f>
        <v>免征</v>
      </c>
      <c r="G73" s="360"/>
      <c r="H73" s="190" t="s">
        <v>2453</v>
      </c>
      <c r="I73" s="359">
        <f>'数据-取费表'!B49</f>
        <v>5.0000000000000001E-4</v>
      </c>
      <c r="J73" s="2033"/>
      <c r="K73" s="1974">
        <v>2</v>
      </c>
      <c r="L73" s="3465" t="s">
        <v>410</v>
      </c>
      <c r="M73" s="3465"/>
      <c r="N73" s="1295">
        <f t="shared" ref="N73:P74" si="0">D73</f>
        <v>0</v>
      </c>
      <c r="O73" s="1857" t="str">
        <f t="shared" si="0"/>
        <v>销售额×税（费）率</v>
      </c>
      <c r="P73" s="1296" t="str">
        <f t="shared" si="0"/>
        <v>免征</v>
      </c>
      <c r="Q73" s="2026"/>
      <c r="R73" s="2026"/>
      <c r="S73" s="2026"/>
      <c r="T73" s="2026"/>
      <c r="U73" s="2026"/>
      <c r="V73" s="2026"/>
    </row>
    <row r="74" spans="1:22" ht="24.75">
      <c r="A74" s="3459" t="s">
        <v>415</v>
      </c>
      <c r="B74" s="3427"/>
      <c r="C74" s="3427"/>
      <c r="D74" s="361">
        <f ca="1">IF(H74="个人住宅",D75,D76)</f>
        <v>105365</v>
      </c>
      <c r="E74" s="17" t="s">
        <v>416</v>
      </c>
      <c r="F74" s="359" t="str">
        <f>IF(H74="正常",F76,"免征")</f>
        <v>——</v>
      </c>
      <c r="G74" s="982" t="s">
        <v>417</v>
      </c>
      <c r="H74" s="362" t="s">
        <v>413</v>
      </c>
      <c r="I74" s="42"/>
      <c r="J74" s="2033"/>
      <c r="K74" s="1974">
        <v>3</v>
      </c>
      <c r="L74" s="3465" t="s">
        <v>414</v>
      </c>
      <c r="M74" s="3465"/>
      <c r="N74" s="1295">
        <f t="shared" ca="1" si="0"/>
        <v>105365</v>
      </c>
      <c r="O74" s="1857" t="str">
        <f t="shared" si="0"/>
        <v>增值额×税（费）率</v>
      </c>
      <c r="P74" s="1298" t="str">
        <f t="shared" si="0"/>
        <v>——</v>
      </c>
      <c r="Q74" s="2026"/>
      <c r="R74" s="2026"/>
      <c r="S74" s="2026"/>
      <c r="T74" s="2026"/>
      <c r="U74" s="2026"/>
      <c r="V74" s="2026"/>
    </row>
    <row r="75" spans="1:22" ht="24">
      <c r="A75" s="358" t="s">
        <v>418</v>
      </c>
      <c r="B75" s="3415" t="s">
        <v>419</v>
      </c>
      <c r="C75" s="3445"/>
      <c r="D75" s="363">
        <v>0</v>
      </c>
      <c r="E75" s="41" t="s">
        <v>420</v>
      </c>
      <c r="F75" s="364"/>
      <c r="G75" s="360"/>
      <c r="H75" s="42"/>
      <c r="I75" s="42"/>
      <c r="J75" s="2033"/>
      <c r="K75" s="3051">
        <f>IF(H77="非个人房产","",4)</f>
        <v>4</v>
      </c>
      <c r="L75" s="3465" t="str">
        <f>IF(H77="非个人房产","——","个人所得税")</f>
        <v>个人所得税</v>
      </c>
      <c r="M75" s="3465"/>
      <c r="N75" s="1299">
        <f ca="1">D77</f>
        <v>1870</v>
      </c>
      <c r="O75" s="1870" t="str">
        <f>E77</f>
        <v>销售额×税（费）率</v>
      </c>
      <c r="P75" s="1300">
        <f>F77</f>
        <v>0.01</v>
      </c>
      <c r="Q75" s="2026"/>
      <c r="R75" s="2026"/>
      <c r="S75" s="2026"/>
      <c r="T75" s="2026"/>
      <c r="U75" s="2026"/>
      <c r="V75" s="2026"/>
    </row>
    <row r="76" spans="1:22" ht="24.75">
      <c r="A76" s="358" t="s">
        <v>396</v>
      </c>
      <c r="B76" s="3415" t="s">
        <v>422</v>
      </c>
      <c r="C76" s="3416"/>
      <c r="D76" s="361">
        <f ca="1">IF(H76="转让取得",C99,C115)</f>
        <v>105365</v>
      </c>
      <c r="E76" s="17" t="s">
        <v>423</v>
      </c>
      <c r="F76" s="53" t="s">
        <v>21</v>
      </c>
      <c r="G76" s="360"/>
      <c r="H76" s="362" t="s">
        <v>424</v>
      </c>
      <c r="I76" s="42"/>
      <c r="J76" s="2033"/>
      <c r="K76" s="3051" t="str">
        <f>IF(项目基本情况!K6="上海银行",IF(K75="",4,K75+1),"")</f>
        <v/>
      </c>
      <c r="L76" s="3476" t="str">
        <f>IF(项目基本情况!K6="上海银行","其他处置费用","")</f>
        <v/>
      </c>
      <c r="M76" s="3477"/>
      <c r="N76" s="1295" t="str">
        <f>IF(项目基本情况!K6="上海银行",N89,"")</f>
        <v/>
      </c>
      <c r="O76" s="3478" t="str">
        <f>IF(项目基本情况!K6="上海银行","包含处置中涉及的律师、诉讼、拍卖、评估等费用","")</f>
        <v/>
      </c>
      <c r="P76" s="3479"/>
      <c r="Q76" s="2026"/>
      <c r="R76" s="2026"/>
      <c r="S76" s="2026"/>
      <c r="T76" s="2026"/>
      <c r="U76" s="2026"/>
      <c r="V76" s="2026"/>
    </row>
    <row r="77" spans="1:22" ht="26.25" thickBot="1">
      <c r="A77" s="3467" t="s">
        <v>426</v>
      </c>
      <c r="B77" s="3468"/>
      <c r="C77" s="3468"/>
      <c r="D77" s="365">
        <f ca="1">IF(H77="非个人房产","——",IF(H77="个人住宅",0,ROUND(D63*I77,0)))</f>
        <v>1870</v>
      </c>
      <c r="E77" s="366" t="str">
        <f>IF(H77="非个人房产","——","销售额×税（费）率")</f>
        <v>销售额×税（费）率</v>
      </c>
      <c r="F77" s="367">
        <f>IF(H77="非个人房产","——",IF(H77="个人住宅","免征",I77))</f>
        <v>0.01</v>
      </c>
      <c r="G77" s="983" t="s">
        <v>417</v>
      </c>
      <c r="H77" s="362" t="s">
        <v>2881</v>
      </c>
      <c r="I77" s="368">
        <v>0.01</v>
      </c>
      <c r="J77" s="2033"/>
      <c r="K77" s="3466">
        <f>IF(AND(K75="",K76=""),4,IF(项目基本情况!K6="上海银行",K76+1,K75+1))</f>
        <v>5</v>
      </c>
      <c r="L77" s="3465" t="s">
        <v>2882</v>
      </c>
      <c r="M77" s="3057" t="s">
        <v>421</v>
      </c>
      <c r="N77" s="1301"/>
      <c r="O77" s="1302">
        <f ca="1">SUMIF(N72:N76,"&lt;9e307")</f>
        <v>117031</v>
      </c>
      <c r="P77" s="1303"/>
      <c r="Q77" s="3055">
        <f ca="1">O77/N69</f>
        <v>0.37546640145013555</v>
      </c>
      <c r="R77" s="2026"/>
      <c r="S77" s="2026"/>
      <c r="T77" s="2026"/>
      <c r="U77" s="2026"/>
      <c r="V77" s="2026"/>
    </row>
    <row r="78" spans="1:22" ht="12" customHeight="1">
      <c r="A78" s="1304"/>
      <c r="B78" s="310"/>
      <c r="C78" s="310"/>
      <c r="D78" s="310"/>
      <c r="E78" s="42"/>
      <c r="F78" s="42"/>
      <c r="G78" s="42"/>
      <c r="H78" s="1002"/>
      <c r="I78" s="310"/>
      <c r="J78" s="2033"/>
      <c r="K78" s="3466"/>
      <c r="L78" s="3465"/>
      <c r="M78" s="3057" t="s">
        <v>425</v>
      </c>
      <c r="N78" s="1301"/>
      <c r="O78" s="1302" t="str">
        <f ca="1">NUMBERSTRING(INT(O77*10000),2)&amp;"元整"</f>
        <v>壹拾壹亿柒仟零叁拾壹万元整</v>
      </c>
      <c r="P78" s="1303"/>
      <c r="Q78" s="2026"/>
      <c r="R78" s="2026"/>
      <c r="S78" s="2026"/>
      <c r="T78" s="2026"/>
      <c r="U78" s="2026"/>
      <c r="V78" s="2026"/>
    </row>
    <row r="79" spans="1:22" ht="13.5" thickBot="1">
      <c r="A79" s="3460" t="s">
        <v>427</v>
      </c>
      <c r="B79" s="3460"/>
      <c r="C79" s="3460"/>
      <c r="D79" s="3460"/>
      <c r="E79" s="3460"/>
      <c r="F79" s="42"/>
      <c r="G79" s="42"/>
      <c r="H79" s="1002"/>
      <c r="I79" s="310"/>
      <c r="J79" s="2033"/>
      <c r="K79" s="3486">
        <f>K77+1</f>
        <v>6</v>
      </c>
      <c r="L79" s="3465" t="s">
        <v>2883</v>
      </c>
      <c r="M79" s="3057" t="s">
        <v>421</v>
      </c>
      <c r="N79" s="1301"/>
      <c r="O79" s="1302">
        <f ca="1">N69-O77</f>
        <v>194664</v>
      </c>
      <c r="P79" s="1303"/>
      <c r="Q79" s="2026"/>
      <c r="R79" s="2026"/>
      <c r="S79" s="2026"/>
      <c r="T79" s="2026"/>
      <c r="U79" s="2026"/>
      <c r="V79" s="2026"/>
    </row>
    <row r="80" spans="1:22" ht="25.5">
      <c r="A80" s="3455" t="s">
        <v>428</v>
      </c>
      <c r="B80" s="3456"/>
      <c r="C80" s="993"/>
      <c r="D80" s="993" t="s">
        <v>429</v>
      </c>
      <c r="E80" s="369" t="s">
        <v>430</v>
      </c>
      <c r="F80" s="42"/>
      <c r="G80" s="42"/>
      <c r="H80" s="1002"/>
      <c r="I80" s="310"/>
      <c r="J80" s="2026"/>
      <c r="K80" s="3487"/>
      <c r="L80" s="3465"/>
      <c r="M80" s="3057" t="s">
        <v>425</v>
      </c>
      <c r="N80" s="1301"/>
      <c r="O80" s="1302" t="str">
        <f ca="1">NUMBERSTRING(INT(O79*10000),2)&amp;"元整"</f>
        <v>壹拾玖亿肆仟陆佰陆拾肆万元整</v>
      </c>
      <c r="P80" s="1303"/>
      <c r="Q80" s="2026"/>
      <c r="R80" s="2026"/>
      <c r="S80" s="2026"/>
      <c r="T80" s="2026"/>
      <c r="U80" s="2026"/>
      <c r="V80" s="2026"/>
    </row>
    <row r="81" spans="1:26" ht="13.5" thickBot="1">
      <c r="A81" s="380" t="s">
        <v>1824</v>
      </c>
      <c r="B81" s="370" t="s">
        <v>431</v>
      </c>
      <c r="C81" s="371">
        <f ca="1">ROUND((C82+C83)/(1+'数据-取费表'!C42),0)</f>
        <v>178111</v>
      </c>
      <c r="D81" s="372"/>
      <c r="E81" s="373"/>
      <c r="F81" s="42"/>
      <c r="G81" s="42"/>
      <c r="H81" s="1002"/>
      <c r="I81" s="310"/>
      <c r="J81" s="2026"/>
      <c r="K81" s="3051">
        <f>K79+1</f>
        <v>7</v>
      </c>
      <c r="L81" s="3463" t="s">
        <v>2884</v>
      </c>
      <c r="M81" s="3464"/>
      <c r="N81" s="1305"/>
      <c r="O81" s="1306">
        <f ca="1">ROUND(O79*10000/'数据-汇总表'!E3,0)</f>
        <v>11463</v>
      </c>
      <c r="P81" s="1307"/>
      <c r="Q81" s="2026"/>
      <c r="R81" s="2026"/>
      <c r="S81" s="2026"/>
      <c r="T81" s="2026"/>
      <c r="U81" s="2026"/>
      <c r="V81" s="2026"/>
    </row>
    <row r="82" spans="1:26" ht="13.5" thickTop="1">
      <c r="A82" s="374" t="s">
        <v>1825</v>
      </c>
      <c r="B82" s="375" t="s">
        <v>432</v>
      </c>
      <c r="C82" s="376">
        <f ca="1">D63</f>
        <v>187017</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475" t="s">
        <v>2871</v>
      </c>
      <c r="L83" s="3063" t="s">
        <v>2872</v>
      </c>
      <c r="M83" s="3053">
        <f ca="1">IF(N69&gt;10000,N69*0.5%,IF(AND(N69&gt;1000,N69&lt;=10000),N69*1%,IF(AND(N69&gt;100,N69&lt;=1000),N69*3%,IF(AND(N69&gt;10,N69&lt;=100),N69*5%,N69*8%))))</f>
        <v>1558.4750000000001</v>
      </c>
      <c r="N83" s="53">
        <f ca="1">ROUND(M83,1)</f>
        <v>1558.5</v>
      </c>
      <c r="O83" s="3056"/>
      <c r="P83" s="2026"/>
      <c r="Q83" s="2026"/>
      <c r="R83" s="2026"/>
      <c r="S83" s="2026"/>
      <c r="T83" s="2026"/>
      <c r="U83" s="2026"/>
      <c r="V83" s="2026"/>
    </row>
    <row r="84" spans="1:26" ht="12.75">
      <c r="A84" s="380" t="s">
        <v>1827</v>
      </c>
      <c r="B84" s="381" t="s">
        <v>434</v>
      </c>
      <c r="C84" s="382">
        <v>2000</v>
      </c>
      <c r="D84" s="383" t="s">
        <v>19</v>
      </c>
      <c r="E84" s="3095" t="s">
        <v>2928</v>
      </c>
      <c r="F84" s="42"/>
      <c r="G84" s="42"/>
      <c r="H84" s="1002"/>
      <c r="I84" s="310"/>
      <c r="J84" s="2026"/>
      <c r="K84" s="3475"/>
      <c r="L84" s="3063" t="s">
        <v>2873</v>
      </c>
      <c r="M84" s="3053">
        <f ca="1">IF(N69&gt;2000,N69*0.5%,IF(AND(N69&gt;1000,N69&lt;=2000),N69*0.6%,IF(AND(N69&gt;500,N69&lt;=1000),N69*0.7%,IF(AND(N69&gt;200,N69&lt;=500),N69*0.8%,IF(AND(N69&gt;100,N69&lt;=200),N69*0.9%,IF(AND(N69&gt;50,N69&lt;=100),N69*1%,IF(AND(N69&gt;20,N69&lt;=50),N69*1.5%,IF(AND(N69&gt;10,N69&lt;=20),N69*2%,IF(AND(N69&gt;1,N69&lt;=10),N69*2.5%)))))))))</f>
        <v>1558.4750000000001</v>
      </c>
      <c r="N84" s="53">
        <f ca="1">ROUND(M84,1)</f>
        <v>1558.5</v>
      </c>
      <c r="O84" s="2026" t="s">
        <v>2874</v>
      </c>
      <c r="P84" s="2026"/>
      <c r="Q84" s="2026"/>
      <c r="R84" s="2026"/>
      <c r="S84" s="2026"/>
      <c r="T84" s="2026"/>
      <c r="U84" s="2026"/>
      <c r="V84" s="2026"/>
    </row>
    <row r="85" spans="1:26" ht="12.75">
      <c r="A85" s="380" t="s">
        <v>1828</v>
      </c>
      <c r="B85" s="381" t="s">
        <v>435</v>
      </c>
      <c r="C85" s="384">
        <f ca="1">C81-C84</f>
        <v>176111</v>
      </c>
      <c r="D85" s="377" t="s">
        <v>19</v>
      </c>
      <c r="E85" s="378"/>
      <c r="F85" s="42"/>
      <c r="G85" s="42"/>
      <c r="H85" s="1002"/>
      <c r="I85" s="310"/>
      <c r="J85" s="2026"/>
      <c r="K85" s="3475"/>
      <c r="L85" s="3063" t="s">
        <v>2875</v>
      </c>
      <c r="M85" s="3053">
        <f ca="1">IF(N69&gt;1000,N69*0.1%,IF(AND(N69&gt;500,N69&lt;=1000),N69*0.5%,IF(AND(N69&gt;50,N69&lt;=500),N69*1%,IF(AND(N69&gt;1,N69&lt;=50),N69*1.5%))))</f>
        <v>311.69499999999999</v>
      </c>
      <c r="N85" s="53">
        <f ca="1">ROUND(M85,1)</f>
        <v>311.7</v>
      </c>
      <c r="O85" s="2026" t="s">
        <v>2874</v>
      </c>
      <c r="P85" s="2026"/>
      <c r="Q85" s="2026"/>
      <c r="R85" s="2026"/>
      <c r="S85" s="2026"/>
      <c r="T85" s="2026"/>
      <c r="U85" s="2026"/>
      <c r="V85" s="2026"/>
    </row>
    <row r="86" spans="1:26" ht="13.5" thickBot="1">
      <c r="A86" s="385" t="s">
        <v>1829</v>
      </c>
      <c r="B86" s="386" t="s">
        <v>436</v>
      </c>
      <c r="C86" s="387">
        <f ca="1">IF(C85&lt;=0,0,ROUND(C85*D86,0))</f>
        <v>9686</v>
      </c>
      <c r="D86" s="388">
        <f>'数据-取费表'!B41</f>
        <v>5.5000000000000007E-2</v>
      </c>
      <c r="E86" s="389"/>
      <c r="F86" s="42"/>
      <c r="G86" s="42"/>
      <c r="H86" s="1002"/>
      <c r="I86" s="310"/>
      <c r="J86" s="2026"/>
      <c r="K86" s="3475"/>
      <c r="L86" s="3063" t="s">
        <v>2876</v>
      </c>
      <c r="M86" s="3053">
        <f ca="1">N69*0.5%</f>
        <v>1558.4750000000001</v>
      </c>
      <c r="N86" s="53">
        <f ca="1">IF(M86&gt;0.5,0.5,ROUND(M86,0))</f>
        <v>0.5</v>
      </c>
      <c r="O86" s="2026" t="s">
        <v>2877</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475"/>
      <c r="L87" s="3063" t="s">
        <v>2878</v>
      </c>
      <c r="M87" s="3053">
        <f ca="1">IF(N69&gt;=10000,(8.25+(N69-10000)*0.01%),IF(AND(N69&gt;=8000,N69&lt;10000),(7.85+(N69-8000)*0.02%),IF(AND(N69&gt;=5000,N69&lt;8000),(6.65+(N69-5000)*0.04%),IF(AND(N69&gt;=2000,N69&lt;5000),(4.25+(PN69-2000)*0.08%),IF(AND(N69&gt;=1000,N69&lt;2000),(2.75+(N69-1000)*0.15%),IF(AND(N69&gt;=100,N69&lt;1000),(0.5+(N69-100)*0.25%),IF(AND(N69&gt;0,N69&lt;100),N69*0.5%)))))))</f>
        <v>38.419499999999999</v>
      </c>
      <c r="N87" s="53">
        <f ca="1">ROUND(M87*0.9,1)</f>
        <v>34.6</v>
      </c>
      <c r="O87" s="3056"/>
      <c r="P87" s="310"/>
      <c r="Q87" s="2026"/>
      <c r="R87" s="2026"/>
      <c r="S87" s="2026"/>
      <c r="T87" s="2026"/>
      <c r="U87" s="2026"/>
      <c r="V87" s="2026"/>
      <c r="W87" s="291"/>
      <c r="X87" s="291"/>
      <c r="Y87" s="291"/>
      <c r="Z87" s="291"/>
    </row>
    <row r="88" spans="1:26" s="1313" customFormat="1" ht="15" thickBot="1">
      <c r="A88" s="3457" t="s">
        <v>437</v>
      </c>
      <c r="B88" s="3458"/>
      <c r="C88" s="3458"/>
      <c r="D88" s="3458"/>
      <c r="E88" s="3458"/>
      <c r="F88" s="3458"/>
      <c r="G88" s="3458"/>
      <c r="H88" s="3458"/>
      <c r="I88" s="1314"/>
      <c r="J88" s="2034"/>
      <c r="K88" s="3475"/>
      <c r="L88" s="3063" t="s">
        <v>2879</v>
      </c>
      <c r="M88" s="3053">
        <f ca="1">IF(N69&gt;10000,N69*0.5%,IF(AND(N69&gt;5000,N69&lt;=10000),N69*1%,IF(AND(N69&gt;1000,N69&lt;=5000),N69*2%,IF(AND(N69&gt;200,N69&lt;=1000),N69*3%,N69*5%))))</f>
        <v>1558.4750000000001</v>
      </c>
      <c r="N88" s="53">
        <f ca="1">ROUND(M88,1)</f>
        <v>1558.5</v>
      </c>
      <c r="O88" s="3056"/>
      <c r="P88" s="11"/>
      <c r="Q88" s="2031"/>
      <c r="R88" s="2031"/>
      <c r="S88" s="2031"/>
      <c r="T88" s="2031"/>
      <c r="U88" s="2031"/>
      <c r="V88" s="2031"/>
      <c r="W88" s="2035"/>
      <c r="X88" s="2035"/>
      <c r="Y88" s="2035"/>
      <c r="Z88" s="2035"/>
    </row>
    <row r="89" spans="1:26" s="1313" customFormat="1" ht="14.25">
      <c r="A89" s="3455" t="s">
        <v>428</v>
      </c>
      <c r="B89" s="3456"/>
      <c r="C89" s="993"/>
      <c r="D89" s="993" t="s">
        <v>429</v>
      </c>
      <c r="E89" s="390" t="s">
        <v>438</v>
      </c>
      <c r="F89" s="391"/>
      <c r="G89" s="391"/>
      <c r="H89" s="392"/>
      <c r="I89" s="1315"/>
      <c r="J89" s="2036"/>
      <c r="K89" s="3475"/>
      <c r="L89" s="3063" t="s">
        <v>27</v>
      </c>
      <c r="M89" s="3054"/>
      <c r="N89" s="53">
        <f ca="1">ROUND(SUM(N83:N88),0)</f>
        <v>5022</v>
      </c>
      <c r="O89" s="3064">
        <f ca="1">N89/N69</f>
        <v>1.6111904265387639E-2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178111</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3452</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418" t="s">
        <v>447</v>
      </c>
      <c r="F94" s="3417"/>
      <c r="G94" s="3417"/>
      <c r="H94" s="3454"/>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891</v>
      </c>
      <c r="D96" s="405">
        <f>'数据-取费表'!B43</f>
        <v>5.000000000000001E-3</v>
      </c>
      <c r="E96" s="3446" t="s">
        <v>2426</v>
      </c>
      <c r="F96" s="3447"/>
      <c r="G96" s="3447"/>
      <c r="H96" s="3448"/>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6" t="s">
        <v>1836</v>
      </c>
      <c r="B97" s="381" t="s">
        <v>451</v>
      </c>
      <c r="C97" s="384">
        <f ca="1">C90-C91</f>
        <v>174659</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6" t="s">
        <v>1837</v>
      </c>
      <c r="B98" s="381" t="s">
        <v>452</v>
      </c>
      <c r="C98" s="406">
        <f ca="1">IF(C97&lt;=0,0,C97/C91)</f>
        <v>50.596465816917728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7" t="s">
        <v>1838</v>
      </c>
      <c r="B99" s="386" t="s">
        <v>453</v>
      </c>
      <c r="C99" s="407">
        <f ca="1">ROUND(IF(C97&lt;=0,0,IF(C98&gt;=200%,C97*60%-C91*35%,IF(C98&gt;=100%,C97*50%-C91*15%,IF(C98&gt;=50%,C97*40%-C91*5%,IF(C98&lt;50%,C97*30%,0))))),0)</f>
        <v>103587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457" t="s">
        <v>454</v>
      </c>
      <c r="B101" s="3458"/>
      <c r="C101" s="3458"/>
      <c r="D101" s="3458"/>
      <c r="E101" s="3458"/>
      <c r="F101" s="3458"/>
      <c r="G101" s="3458"/>
      <c r="H101" s="3458"/>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455" t="s">
        <v>428</v>
      </c>
      <c r="B102" s="3456"/>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178111</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1581</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8" t="s">
        <v>1839</v>
      </c>
      <c r="B109" s="375" t="s">
        <v>461</v>
      </c>
      <c r="C109" s="404">
        <f>IF(H109="——",IF(F1="现房",'剩余法-现房'!C18,'剩余法-待开发'!C18),I109)</f>
        <v>55</v>
      </c>
      <c r="D109" s="405"/>
      <c r="E109" s="3449" t="s">
        <v>462</v>
      </c>
      <c r="F109" s="3447"/>
      <c r="G109" s="3447"/>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8" t="s">
        <v>1840</v>
      </c>
      <c r="B110" s="375" t="s">
        <v>463</v>
      </c>
      <c r="C110" s="404">
        <f>ROUND((C105+C108+C109)*D110,0)</f>
        <v>63</v>
      </c>
      <c r="D110" s="405">
        <v>0.1</v>
      </c>
      <c r="E110" s="3449" t="s">
        <v>464</v>
      </c>
      <c r="F110" s="3447"/>
      <c r="G110" s="3447"/>
      <c r="H110" s="3448"/>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8" t="s">
        <v>1841</v>
      </c>
      <c r="B111" s="375" t="s">
        <v>450</v>
      </c>
      <c r="C111" s="404">
        <f ca="1">ROUND(D63*D111/(1+'数据-取费表'!C42),0)</f>
        <v>891</v>
      </c>
      <c r="D111" s="405">
        <f>'数据-取费表'!B43</f>
        <v>5.000000000000001E-3</v>
      </c>
      <c r="E111" s="3446" t="s">
        <v>2426</v>
      </c>
      <c r="F111" s="3447"/>
      <c r="G111" s="3447"/>
      <c r="H111" s="3448"/>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8" t="s">
        <v>1842</v>
      </c>
      <c r="B112" s="375" t="s">
        <v>465</v>
      </c>
      <c r="C112" s="404">
        <f>ROUND(C108*D112,0)</f>
        <v>0</v>
      </c>
      <c r="D112" s="405">
        <v>0.2</v>
      </c>
      <c r="E112" s="3449" t="s">
        <v>2451</v>
      </c>
      <c r="F112" s="3447"/>
      <c r="G112" s="3447"/>
      <c r="H112" s="3448"/>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6" t="s">
        <v>1836</v>
      </c>
      <c r="B113" s="381" t="s">
        <v>451</v>
      </c>
      <c r="C113" s="384">
        <f ca="1">ROUND(C103-C104,0)</f>
        <v>176530</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6" t="s">
        <v>1837</v>
      </c>
      <c r="B114" s="381" t="s">
        <v>452</v>
      </c>
      <c r="C114" s="406">
        <f ca="1">IF(C113&lt;=0,0,C113/C104)</f>
        <v>111.65717900063251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7" t="s">
        <v>1838</v>
      </c>
      <c r="B115" s="386" t="s">
        <v>453</v>
      </c>
      <c r="C115" s="407">
        <f ca="1">ROUND(IF(C113&lt;=0,0,IF(C114&gt;=200%,C113*60%-C104*35%,IF(C114&gt;=100%,C113*50%-C104*15%,IF(C114&gt;=50%,C113*40%-C104*5%,IF(C114&lt;50%,C113*30%,0))))),0)</f>
        <v>105365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58"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G51" sqref="G5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290172</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17087</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46397</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3093</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521</v>
      </c>
      <c r="B6" s="512"/>
      <c r="C6" s="3500" t="s">
        <v>522</v>
      </c>
      <c r="D6" s="3501"/>
      <c r="E6" s="3500" t="s">
        <v>523</v>
      </c>
      <c r="F6" s="3501"/>
      <c r="G6" s="3500" t="s">
        <v>524</v>
      </c>
      <c r="H6" s="3501"/>
      <c r="I6" s="3500" t="s">
        <v>525</v>
      </c>
      <c r="J6" s="3501"/>
      <c r="K6" s="513" t="s">
        <v>526</v>
      </c>
      <c r="L6" s="2131"/>
      <c r="M6" s="2130"/>
      <c r="N6" s="2130"/>
      <c r="O6" s="2132"/>
      <c r="P6" s="3502" t="s">
        <v>527</v>
      </c>
      <c r="Q6" s="3503"/>
      <c r="R6" s="3508" t="s">
        <v>523</v>
      </c>
      <c r="S6" s="3509"/>
      <c r="T6" s="3508" t="s">
        <v>524</v>
      </c>
      <c r="U6" s="3509"/>
      <c r="V6" s="3495" t="s">
        <v>525</v>
      </c>
      <c r="W6" s="3495"/>
      <c r="X6" s="1566"/>
      <c r="Y6" s="3508" t="s">
        <v>527</v>
      </c>
      <c r="Z6" s="3509"/>
      <c r="AA6" s="3497" t="s">
        <v>523</v>
      </c>
      <c r="AB6" s="3498" t="s">
        <v>524</v>
      </c>
      <c r="AC6" s="3497" t="s">
        <v>525</v>
      </c>
    </row>
    <row r="7" spans="1:30" ht="68.25" customHeight="1">
      <c r="A7" s="514"/>
      <c r="B7" s="515"/>
      <c r="C7" s="3516" t="s">
        <v>3025</v>
      </c>
      <c r="D7" s="3517"/>
      <c r="E7" s="3516" t="str">
        <f>土地案例!A2</f>
        <v>北京市顺义区后沙峪镇马头庄村SY00-0019-6007地块R2二类居住用地</v>
      </c>
      <c r="F7" s="3517"/>
      <c r="G7" s="3516" t="str">
        <f>土地案例!A3</f>
        <v>北京市顺义区后沙峪镇21-18-001e地块R2二类居住用地、21-18-002地块A33基础教育用地</v>
      </c>
      <c r="H7" s="3517"/>
      <c r="I7" s="3516" t="str">
        <f>土地案例!A5</f>
        <v>北京市顺义区后沙峪镇马头庄村SY00-0019-6005地块B1商业用地、SY00-0019-6006地块R2二类居住用地</v>
      </c>
      <c r="J7" s="3517"/>
      <c r="K7" s="1611"/>
      <c r="L7" s="2142"/>
      <c r="M7" s="2130"/>
      <c r="N7" s="2130"/>
      <c r="O7" s="2132"/>
      <c r="P7" s="3504"/>
      <c r="Q7" s="3505"/>
      <c r="R7" s="3510"/>
      <c r="S7" s="3511"/>
      <c r="T7" s="3510"/>
      <c r="U7" s="3511"/>
      <c r="V7" s="3495"/>
      <c r="W7" s="3495"/>
      <c r="X7" s="3173"/>
      <c r="Y7" s="3510"/>
      <c r="Z7" s="3511"/>
      <c r="AA7" s="3498"/>
      <c r="AB7" s="3498"/>
      <c r="AC7" s="3498"/>
    </row>
    <row r="8" spans="1:30" ht="21" thickBot="1">
      <c r="A8" s="514"/>
      <c r="B8" s="515"/>
      <c r="C8" s="3518" t="s">
        <v>3026</v>
      </c>
      <c r="D8" s="3519"/>
      <c r="E8" s="3518" t="s">
        <v>3026</v>
      </c>
      <c r="F8" s="3519"/>
      <c r="G8" s="3514" t="s">
        <v>3026</v>
      </c>
      <c r="H8" s="3515"/>
      <c r="I8" s="3514" t="s">
        <v>3023</v>
      </c>
      <c r="J8" s="3515"/>
      <c r="K8" s="1611" t="s">
        <v>3024</v>
      </c>
      <c r="L8" s="2142"/>
      <c r="M8" s="2130"/>
      <c r="N8" s="2130"/>
      <c r="O8" s="2132"/>
      <c r="P8" s="3506"/>
      <c r="Q8" s="3507"/>
      <c r="R8" s="3510"/>
      <c r="S8" s="3511"/>
      <c r="T8" s="3512"/>
      <c r="U8" s="3513"/>
      <c r="V8" s="3495"/>
      <c r="W8" s="3495"/>
      <c r="X8" s="3173"/>
      <c r="Y8" s="3512"/>
      <c r="Z8" s="3513"/>
      <c r="AA8" s="3499"/>
      <c r="AB8" s="3499"/>
      <c r="AC8" s="3499"/>
    </row>
    <row r="9" spans="1:30" s="1219" customFormat="1" ht="21" thickBot="1">
      <c r="A9" s="2909"/>
      <c r="B9" s="2916" t="s">
        <v>529</v>
      </c>
      <c r="C9" s="2908">
        <f>'数据-取费表'!B2</f>
        <v>43444</v>
      </c>
      <c r="D9" s="519">
        <v>100</v>
      </c>
      <c r="E9" s="520">
        <f>土地案例!H2</f>
        <v>43285</v>
      </c>
      <c r="F9" s="521">
        <f>SUMIF(72:72,YEAR(E9)&amp;"-"&amp;INT((MONTH(E9)+2)/3),73:73)</f>
        <v>99.5</v>
      </c>
      <c r="G9" s="522">
        <f>土地案例!H3</f>
        <v>43273</v>
      </c>
      <c r="H9" s="519">
        <f>SUMIF(72:72,YEAR(G9)&amp;"-"&amp;INT((MONTH(G9)+2)/3),73:73)</f>
        <v>99</v>
      </c>
      <c r="I9" s="522">
        <f>土地案例!H5</f>
        <v>43038</v>
      </c>
      <c r="J9" s="519">
        <f>SUMIF(72:72,YEAR(I9)&amp;"-"&amp;INT((MONTH(I9)+2)/3),73:73)</f>
        <v>98</v>
      </c>
      <c r="K9" s="523"/>
      <c r="L9" s="2133"/>
      <c r="M9" s="2130"/>
      <c r="N9" s="2130"/>
      <c r="O9" s="2134"/>
      <c r="P9" s="3525" t="s">
        <v>530</v>
      </c>
      <c r="Q9" s="3527"/>
      <c r="R9" s="1567" t="s">
        <v>8</v>
      </c>
      <c r="S9" s="1568">
        <f t="shared" ref="S9:S17" si="0">F9</f>
        <v>99.5</v>
      </c>
      <c r="T9" s="1567" t="s">
        <v>8</v>
      </c>
      <c r="U9" s="1568">
        <f t="shared" ref="U9:U17" si="1">H9</f>
        <v>99</v>
      </c>
      <c r="V9" s="1567" t="s">
        <v>8</v>
      </c>
      <c r="W9" s="1568">
        <f t="shared" ref="W9:W17" si="2">J9</f>
        <v>98</v>
      </c>
      <c r="X9" s="1569"/>
      <c r="Y9" s="3525" t="s">
        <v>530</v>
      </c>
      <c r="Z9" s="3526"/>
      <c r="AA9" s="1570">
        <f>D9/F9</f>
        <v>1.0050251256281406</v>
      </c>
      <c r="AB9" s="1570">
        <f>D9/H9</f>
        <v>1.0101010101010102</v>
      </c>
      <c r="AC9" s="1570">
        <f>D9/J9</f>
        <v>1.0204081632653061</v>
      </c>
    </row>
    <row r="10" spans="1:30" s="1219" customFormat="1" ht="21" thickBot="1">
      <c r="A10" s="2910"/>
      <c r="B10" s="2917" t="s">
        <v>531</v>
      </c>
      <c r="C10" s="855" t="s">
        <v>532</v>
      </c>
      <c r="D10" s="519">
        <v>100</v>
      </c>
      <c r="E10" s="524" t="s">
        <v>3027</v>
      </c>
      <c r="F10" s="521">
        <f>SUMIF(75:75,E10,76:76)-SUMIF(75:75,C10,76:76)+100</f>
        <v>100</v>
      </c>
      <c r="G10" s="524" t="s">
        <v>3027</v>
      </c>
      <c r="H10" s="519">
        <f>SUMIF(75:75,G10,76:76)-SUMIF(75:75,C10,76:76)+100</f>
        <v>100</v>
      </c>
      <c r="I10" s="524" t="s">
        <v>3027</v>
      </c>
      <c r="J10" s="519">
        <f>SUMIF(75:75,I10,76:76)-SUMIF(75:75,C10,76:76)+100</f>
        <v>100</v>
      </c>
      <c r="K10" s="523"/>
      <c r="L10" s="2133"/>
      <c r="M10" s="2130"/>
      <c r="N10" s="2130"/>
      <c r="O10" s="2134"/>
      <c r="P10" s="3525" t="s">
        <v>533</v>
      </c>
      <c r="Q10" s="3526"/>
      <c r="R10" s="1567" t="s">
        <v>8</v>
      </c>
      <c r="S10" s="1568">
        <f t="shared" si="0"/>
        <v>100</v>
      </c>
      <c r="T10" s="1567" t="s">
        <v>8</v>
      </c>
      <c r="U10" s="1568">
        <f t="shared" si="1"/>
        <v>100</v>
      </c>
      <c r="V10" s="1567" t="s">
        <v>8</v>
      </c>
      <c r="W10" s="1568">
        <f t="shared" si="2"/>
        <v>100</v>
      </c>
      <c r="X10" s="1569"/>
      <c r="Y10" s="3525" t="s">
        <v>533</v>
      </c>
      <c r="Z10" s="3526"/>
      <c r="AA10" s="1570">
        <f t="shared" ref="AA10:AA47" si="3">D10/F10</f>
        <v>1</v>
      </c>
      <c r="AB10" s="1570">
        <f t="shared" ref="AB10:AB47" si="4">D10/H10</f>
        <v>1</v>
      </c>
      <c r="AC10" s="1570">
        <f t="shared" ref="AC10:AC47" si="5">D10/J10</f>
        <v>1</v>
      </c>
    </row>
    <row r="11" spans="1:30" s="1219" customFormat="1" ht="28.5">
      <c r="A11" s="2911"/>
      <c r="B11" s="2918" t="s">
        <v>2753</v>
      </c>
      <c r="C11" s="2906" t="s">
        <v>3036</v>
      </c>
      <c r="D11" s="253">
        <v>100</v>
      </c>
      <c r="E11" s="2906" t="s">
        <v>3036</v>
      </c>
      <c r="F11" s="253">
        <f>SUMIF(77:77,E11,78:78)-SUMIF(77:77,C11,78:78)+100</f>
        <v>100</v>
      </c>
      <c r="G11" s="2906" t="s">
        <v>3036</v>
      </c>
      <c r="H11" s="253">
        <f>SUMIF(77:77,G11,78:78)-SUMIF(77:77,C11,78:78)+100</f>
        <v>100</v>
      </c>
      <c r="I11" s="2906" t="s">
        <v>3036</v>
      </c>
      <c r="J11" s="253">
        <f>SUMIF(77:77,I11,78:78)-SUMIF(77:77,C11,78:78)+100</f>
        <v>100</v>
      </c>
      <c r="K11" s="523"/>
      <c r="L11" s="2133"/>
      <c r="M11" s="2130"/>
      <c r="N11" s="2130"/>
      <c r="O11" s="2135"/>
      <c r="P11" s="3494" t="s">
        <v>535</v>
      </c>
      <c r="Q11" s="1150" t="str">
        <f t="shared" ref="Q11:Q17" si="6">B11</f>
        <v>用途</v>
      </c>
      <c r="R11" s="1567" t="s">
        <v>8</v>
      </c>
      <c r="S11" s="1568">
        <f t="shared" si="0"/>
        <v>100</v>
      </c>
      <c r="T11" s="1567" t="s">
        <v>8</v>
      </c>
      <c r="U11" s="1568">
        <f t="shared" si="1"/>
        <v>100</v>
      </c>
      <c r="V11" s="1567" t="s">
        <v>8</v>
      </c>
      <c r="W11" s="1568">
        <f t="shared" si="2"/>
        <v>100</v>
      </c>
      <c r="X11" s="1569"/>
      <c r="Y11" s="3440" t="s">
        <v>536</v>
      </c>
      <c r="Z11" s="1149" t="str">
        <f t="shared" ref="Z11:Z17" si="7">Q11</f>
        <v>用途</v>
      </c>
      <c r="AA11" s="1570">
        <f t="shared" si="3"/>
        <v>1</v>
      </c>
      <c r="AB11" s="1570">
        <f t="shared" si="4"/>
        <v>1</v>
      </c>
      <c r="AC11" s="1570">
        <f t="shared" si="5"/>
        <v>1</v>
      </c>
    </row>
    <row r="12" spans="1:30" s="1337" customFormat="1" ht="57">
      <c r="A12" s="2912"/>
      <c r="B12" s="2917" t="s">
        <v>2754</v>
      </c>
      <c r="C12" s="909" t="str">
        <f>项目基本情况!D20</f>
        <v>住宅68.8年、商业38.8年、地下车库48.8年、仓储48.8</v>
      </c>
      <c r="D12" s="254">
        <v>100</v>
      </c>
      <c r="E12" s="528"/>
      <c r="F12" s="254">
        <f>ROUND(100/'数据-取费表'!G16,0)</f>
        <v>101</v>
      </c>
      <c r="G12" s="529"/>
      <c r="H12" s="254">
        <f>ROUND(100/'数据-取费表'!G16,0)</f>
        <v>101</v>
      </c>
      <c r="I12" s="529"/>
      <c r="J12" s="254">
        <f>ROUND(100/'数据-取费表'!G16,0)</f>
        <v>101</v>
      </c>
      <c r="K12" s="530"/>
      <c r="L12" s="2136"/>
      <c r="M12" s="2130"/>
      <c r="N12" s="2130"/>
      <c r="O12" s="2137"/>
      <c r="P12" s="3494"/>
      <c r="Q12" s="1150" t="str">
        <f t="shared" si="6"/>
        <v>土地使用年限（年）</v>
      </c>
      <c r="R12" s="1567" t="s">
        <v>8</v>
      </c>
      <c r="S12" s="1568">
        <f t="shared" si="0"/>
        <v>101</v>
      </c>
      <c r="T12" s="1567" t="s">
        <v>8</v>
      </c>
      <c r="U12" s="1568">
        <f t="shared" si="1"/>
        <v>101</v>
      </c>
      <c r="V12" s="1567" t="s">
        <v>8</v>
      </c>
      <c r="W12" s="1568">
        <f t="shared" si="2"/>
        <v>101</v>
      </c>
      <c r="X12" s="1569"/>
      <c r="Y12" s="3440"/>
      <c r="Z12" s="1149" t="str">
        <f t="shared" si="7"/>
        <v>土地使用年限（年）</v>
      </c>
      <c r="AA12" s="1570">
        <f t="shared" si="3"/>
        <v>0.99009900990099009</v>
      </c>
      <c r="AB12" s="1570">
        <f t="shared" si="4"/>
        <v>0.99009900990099009</v>
      </c>
      <c r="AC12" s="1570">
        <f t="shared" si="5"/>
        <v>0.99009900990099009</v>
      </c>
    </row>
    <row r="13" spans="1:30" ht="20.25">
      <c r="A13" s="2913"/>
      <c r="B13" s="2917" t="s">
        <v>2755</v>
      </c>
      <c r="C13" s="533">
        <f>'数据-汇总表'!I6</f>
        <v>1.03</v>
      </c>
      <c r="D13" s="254">
        <v>100</v>
      </c>
      <c r="E13" s="532">
        <f>土地案例!F2</f>
        <v>1.8</v>
      </c>
      <c r="F13" s="254">
        <f>LOOKUP(E13,82:82,83:83)-LOOKUP(C13,82:82,83:83)+100</f>
        <v>100</v>
      </c>
      <c r="G13" s="533">
        <f>土地案例!F3</f>
        <v>1.004</v>
      </c>
      <c r="H13" s="254">
        <f>LOOKUP(G13,82:82,83:83)-LOOKUP(C13,82:82,83:83)+100</f>
        <v>100</v>
      </c>
      <c r="I13" s="532">
        <f>土地案例!F5</f>
        <v>1.83</v>
      </c>
      <c r="J13" s="254">
        <f>LOOKUP(I13,82:82,83:83)-LOOKUP(C13,82:82,83:83)+100</f>
        <v>100</v>
      </c>
      <c r="K13" s="534">
        <v>5</v>
      </c>
      <c r="L13" s="2138"/>
      <c r="M13" s="2130"/>
      <c r="N13" s="2130"/>
      <c r="O13" s="2139"/>
      <c r="P13" s="3494"/>
      <c r="Q13" s="1150" t="str">
        <f t="shared" si="6"/>
        <v>容积率</v>
      </c>
      <c r="R13" s="1567" t="s">
        <v>8</v>
      </c>
      <c r="S13" s="1568">
        <f t="shared" si="0"/>
        <v>100</v>
      </c>
      <c r="T13" s="1567" t="s">
        <v>8</v>
      </c>
      <c r="U13" s="1568">
        <f t="shared" si="1"/>
        <v>100</v>
      </c>
      <c r="V13" s="1567" t="s">
        <v>8</v>
      </c>
      <c r="W13" s="1568">
        <f t="shared" si="2"/>
        <v>100</v>
      </c>
      <c r="X13" s="1569"/>
      <c r="Y13" s="3440"/>
      <c r="Z13" s="1149" t="str">
        <f t="shared" si="7"/>
        <v>容积率</v>
      </c>
      <c r="AA13" s="1570">
        <f t="shared" si="3"/>
        <v>1</v>
      </c>
      <c r="AB13" s="1570">
        <f t="shared" si="4"/>
        <v>1</v>
      </c>
      <c r="AC13" s="1570">
        <f t="shared" si="5"/>
        <v>1</v>
      </c>
    </row>
    <row r="14" spans="1:30" s="1219" customFormat="1" ht="20.25">
      <c r="A14" s="2910"/>
      <c r="B14" s="2919" t="s">
        <v>2756</v>
      </c>
      <c r="C14" s="3220" t="s">
        <v>3231</v>
      </c>
      <c r="D14" s="537">
        <v>100</v>
      </c>
      <c r="E14" s="1373" t="s">
        <v>3034</v>
      </c>
      <c r="F14" s="254">
        <f>SUMIF(84:84,E14,85:85)-SUMIF(84:84,C14,85:85)+100</f>
        <v>100</v>
      </c>
      <c r="G14" s="3199" t="s">
        <v>3034</v>
      </c>
      <c r="H14" s="254">
        <f>SUMIF(84:84,G14,85:85)-SUMIF(84:84,C14,85:85)+100</f>
        <v>100</v>
      </c>
      <c r="I14" s="3200" t="s">
        <v>3034</v>
      </c>
      <c r="J14" s="254">
        <f>SUMIF(84:84,I14,85:85)-SUMIF(84:84,C14,85:85)+100</f>
        <v>100</v>
      </c>
      <c r="K14" s="530"/>
      <c r="L14" s="2133"/>
      <c r="M14" s="2130"/>
      <c r="N14" s="2130"/>
      <c r="O14" s="2135"/>
      <c r="P14" s="3494"/>
      <c r="Q14" s="1150" t="str">
        <f t="shared" si="6"/>
        <v>配建</v>
      </c>
      <c r="R14" s="1567" t="s">
        <v>8</v>
      </c>
      <c r="S14" s="1568">
        <f t="shared" si="0"/>
        <v>100</v>
      </c>
      <c r="T14" s="1567" t="s">
        <v>8</v>
      </c>
      <c r="U14" s="1568">
        <f t="shared" si="1"/>
        <v>100</v>
      </c>
      <c r="V14" s="1567" t="s">
        <v>8</v>
      </c>
      <c r="W14" s="1568">
        <f t="shared" si="2"/>
        <v>100</v>
      </c>
      <c r="X14" s="1569"/>
      <c r="Y14" s="3440"/>
      <c r="Z14" s="1149" t="str">
        <f t="shared" si="7"/>
        <v>配建</v>
      </c>
      <c r="AA14" s="1570">
        <f>D14/F14</f>
        <v>1</v>
      </c>
      <c r="AB14" s="1570">
        <f>D14/H14</f>
        <v>1</v>
      </c>
      <c r="AC14" s="1570">
        <f>D14/J14</f>
        <v>1</v>
      </c>
    </row>
    <row r="15" spans="1:30" ht="21" thickBot="1">
      <c r="A15" s="2914"/>
      <c r="B15" s="3183" t="s">
        <v>3038</v>
      </c>
      <c r="C15" s="3201" t="s">
        <v>3035</v>
      </c>
      <c r="D15" s="539">
        <v>100</v>
      </c>
      <c r="E15" s="3202" t="s">
        <v>3212</v>
      </c>
      <c r="F15" s="254">
        <f>SUMIF(86:86,E15,87:87)-SUMIF(86:86,C15,87:87)+100</f>
        <v>100</v>
      </c>
      <c r="G15" s="3203" t="s">
        <v>3212</v>
      </c>
      <c r="H15" s="539">
        <f>SUMIF(86:86,G15,87:87)-SUMIF(86:86,C15,87:87)+100</f>
        <v>100</v>
      </c>
      <c r="I15" s="3203" t="s">
        <v>3213</v>
      </c>
      <c r="J15" s="539">
        <f>SUMIF(86:86,I15,87:87)-SUMIF(86:86,C15,87:87)+100</f>
        <v>100</v>
      </c>
      <c r="K15" s="530"/>
      <c r="L15" s="2140"/>
      <c r="M15" s="2130"/>
      <c r="N15" s="2130"/>
      <c r="O15" s="2139"/>
      <c r="P15" s="3494"/>
      <c r="Q15" s="1150" t="str">
        <f t="shared" si="6"/>
        <v>是否自持</v>
      </c>
      <c r="R15" s="1567" t="s">
        <v>8</v>
      </c>
      <c r="S15" s="1568">
        <f t="shared" si="0"/>
        <v>100</v>
      </c>
      <c r="T15" s="1567" t="s">
        <v>8</v>
      </c>
      <c r="U15" s="1568">
        <f t="shared" si="1"/>
        <v>100</v>
      </c>
      <c r="V15" s="1567" t="s">
        <v>8</v>
      </c>
      <c r="W15" s="1568">
        <f t="shared" si="2"/>
        <v>100</v>
      </c>
      <c r="X15" s="1569"/>
      <c r="Y15" s="3440"/>
      <c r="Z15" s="1149" t="str">
        <f t="shared" si="7"/>
        <v>是否自持</v>
      </c>
      <c r="AA15" s="1570">
        <f>D15/F15</f>
        <v>1</v>
      </c>
      <c r="AB15" s="1570">
        <f>D15/H15</f>
        <v>1</v>
      </c>
      <c r="AC15" s="1570">
        <f>D15/J15</f>
        <v>1</v>
      </c>
    </row>
    <row r="16" spans="1:30" ht="21" hidden="1" thickBot="1">
      <c r="A16" s="2915"/>
      <c r="B16" s="2921"/>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94"/>
      <c r="Q16" s="1150">
        <f t="shared" si="6"/>
        <v>0</v>
      </c>
      <c r="R16" s="1567" t="s">
        <v>8</v>
      </c>
      <c r="S16" s="1568">
        <f t="shared" si="0"/>
        <v>100</v>
      </c>
      <c r="T16" s="1567" t="s">
        <v>8</v>
      </c>
      <c r="U16" s="1568">
        <f t="shared" si="1"/>
        <v>100</v>
      </c>
      <c r="V16" s="1567" t="s">
        <v>8</v>
      </c>
      <c r="W16" s="1568">
        <f t="shared" si="2"/>
        <v>100</v>
      </c>
      <c r="X16" s="1569"/>
      <c r="Y16" s="3440"/>
      <c r="Z16" s="1149">
        <f t="shared" si="7"/>
        <v>0</v>
      </c>
      <c r="AA16" s="1570">
        <f>D16/F16</f>
        <v>1</v>
      </c>
      <c r="AB16" s="1570">
        <f>D16/H16</f>
        <v>1</v>
      </c>
      <c r="AC16" s="1570">
        <f>D16/J16</f>
        <v>1</v>
      </c>
    </row>
    <row r="17" spans="1:29" ht="20.25">
      <c r="A17" s="2907" t="s">
        <v>2751</v>
      </c>
      <c r="B17" s="577" t="s">
        <v>295</v>
      </c>
      <c r="C17" s="547" t="str">
        <f>估价对象房地状况!C15</f>
        <v>一般</v>
      </c>
      <c r="D17" s="550">
        <v>100</v>
      </c>
      <c r="E17" s="551"/>
      <c r="F17" s="548">
        <f>SUMIF(90:90,E18,91:91)-SUMIF(90:90,C18,91:91)+100</f>
        <v>103</v>
      </c>
      <c r="G17" s="549"/>
      <c r="H17" s="548">
        <f>SUMIF(90:90,G18,91:91)-SUMIF(90:90,C18,91:91)+100</f>
        <v>100</v>
      </c>
      <c r="I17" s="551"/>
      <c r="J17" s="548">
        <f>SUMIF(90:90,I18,91:91)-SUMIF(90:90,C18,91:91)+100</f>
        <v>103</v>
      </c>
      <c r="K17" s="534">
        <v>3</v>
      </c>
      <c r="L17" s="2140"/>
      <c r="M17" s="2130"/>
      <c r="N17" s="2130"/>
      <c r="O17" s="2139"/>
      <c r="P17" s="3528" t="s">
        <v>540</v>
      </c>
      <c r="Q17" s="1571" t="str">
        <f t="shared" si="6"/>
        <v>居住社区成熟度</v>
      </c>
      <c r="R17" s="1572" t="s">
        <v>8</v>
      </c>
      <c r="S17" s="1573">
        <f t="shared" si="0"/>
        <v>103</v>
      </c>
      <c r="T17" s="1572" t="s">
        <v>8</v>
      </c>
      <c r="U17" s="1573">
        <f t="shared" si="1"/>
        <v>100</v>
      </c>
      <c r="V17" s="1572" t="s">
        <v>8</v>
      </c>
      <c r="W17" s="1573">
        <f t="shared" si="2"/>
        <v>103</v>
      </c>
      <c r="X17" s="1566"/>
      <c r="Y17" s="3528" t="s">
        <v>540</v>
      </c>
      <c r="Z17" s="1574" t="str">
        <f t="shared" si="7"/>
        <v>居住社区成熟度</v>
      </c>
      <c r="AA17" s="1575">
        <f t="shared" si="3"/>
        <v>0.970873786407767</v>
      </c>
      <c r="AB17" s="1575">
        <f t="shared" si="4"/>
        <v>1</v>
      </c>
      <c r="AC17" s="1575">
        <f t="shared" si="5"/>
        <v>0.970873786407767</v>
      </c>
    </row>
    <row r="18" spans="1:29" ht="20.25">
      <c r="A18" s="531"/>
      <c r="B18" s="552"/>
      <c r="C18" s="553" t="s">
        <v>3264</v>
      </c>
      <c r="D18" s="556"/>
      <c r="E18" s="557" t="s">
        <v>3265</v>
      </c>
      <c r="F18" s="554"/>
      <c r="G18" s="555" t="s">
        <v>3264</v>
      </c>
      <c r="H18" s="558"/>
      <c r="I18" s="557" t="s">
        <v>3265</v>
      </c>
      <c r="J18" s="554"/>
      <c r="K18" s="530"/>
      <c r="L18" s="2140"/>
      <c r="M18" s="2130"/>
      <c r="N18" s="2130"/>
      <c r="O18" s="2139"/>
      <c r="P18" s="3529"/>
      <c r="Q18" s="1571"/>
      <c r="R18" s="1572"/>
      <c r="S18" s="1573"/>
      <c r="T18" s="1572"/>
      <c r="U18" s="1573"/>
      <c r="V18" s="1572"/>
      <c r="W18" s="1573"/>
      <c r="X18" s="1566"/>
      <c r="Y18" s="3529"/>
      <c r="Z18" s="1574"/>
      <c r="AA18" s="1575">
        <v>1</v>
      </c>
      <c r="AB18" s="1575">
        <v>1</v>
      </c>
      <c r="AC18" s="1575">
        <v>1</v>
      </c>
    </row>
    <row r="19" spans="1:29" ht="20.25">
      <c r="A19" s="531"/>
      <c r="B19" s="559" t="s">
        <v>541</v>
      </c>
      <c r="C19" s="560" t="str">
        <f>估价对象房地状况!C16</f>
        <v>较差</v>
      </c>
      <c r="D19" s="562">
        <v>100</v>
      </c>
      <c r="E19" s="563"/>
      <c r="F19" s="558">
        <f>SUMIF(92:92,E20,93:93)-SUMIF(92:92,C20,93:93)+100</f>
        <v>102</v>
      </c>
      <c r="G19" s="561"/>
      <c r="H19" s="564">
        <f>SUMIF(92:92,G20,93:93)-SUMIF(92:92,C20,93:93)+100</f>
        <v>102</v>
      </c>
      <c r="I19" s="563"/>
      <c r="J19" s="564">
        <f>SUMIF(92:92,I20,93:93)-SUMIF(92:92,C20,93:93)+100</f>
        <v>102</v>
      </c>
      <c r="K19" s="534">
        <v>2</v>
      </c>
      <c r="L19" s="2140"/>
      <c r="M19" s="2130"/>
      <c r="N19" s="2130"/>
      <c r="O19" s="2139"/>
      <c r="P19" s="3529"/>
      <c r="Q19" s="1571" t="str">
        <f>B19</f>
        <v>商业繁华度</v>
      </c>
      <c r="R19" s="1572" t="s">
        <v>8</v>
      </c>
      <c r="S19" s="1573">
        <f>F19</f>
        <v>102</v>
      </c>
      <c r="T19" s="1572" t="s">
        <v>8</v>
      </c>
      <c r="U19" s="1573">
        <f>H19</f>
        <v>102</v>
      </c>
      <c r="V19" s="1572" t="s">
        <v>8</v>
      </c>
      <c r="W19" s="1573">
        <f>J19</f>
        <v>102</v>
      </c>
      <c r="X19" s="1566"/>
      <c r="Y19" s="3529"/>
      <c r="Z19" s="1574" t="str">
        <f>Q19</f>
        <v>商业繁华度</v>
      </c>
      <c r="AA19" s="1575">
        <f t="shared" si="3"/>
        <v>0.98039215686274506</v>
      </c>
      <c r="AB19" s="1575">
        <f t="shared" si="4"/>
        <v>0.98039215686274506</v>
      </c>
      <c r="AC19" s="1575">
        <f t="shared" si="5"/>
        <v>0.98039215686274506</v>
      </c>
    </row>
    <row r="20" spans="1:29" ht="20.25">
      <c r="A20" s="531"/>
      <c r="B20" s="565"/>
      <c r="C20" s="566" t="s">
        <v>3266</v>
      </c>
      <c r="D20" s="562"/>
      <c r="E20" s="568" t="s">
        <v>3264</v>
      </c>
      <c r="F20" s="558"/>
      <c r="G20" s="567" t="s">
        <v>3264</v>
      </c>
      <c r="H20" s="554"/>
      <c r="I20" s="568" t="s">
        <v>3264</v>
      </c>
      <c r="J20" s="554"/>
      <c r="K20" s="530"/>
      <c r="L20" s="2140"/>
      <c r="M20" s="2130"/>
      <c r="N20" s="2130"/>
      <c r="O20" s="2139"/>
      <c r="P20" s="3529"/>
      <c r="Q20" s="1571"/>
      <c r="R20" s="1572"/>
      <c r="S20" s="1573"/>
      <c r="T20" s="1572"/>
      <c r="U20" s="1573"/>
      <c r="V20" s="1572"/>
      <c r="W20" s="1573"/>
      <c r="X20" s="1566"/>
      <c r="Y20" s="3529"/>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529"/>
      <c r="Q21" s="1571" t="str">
        <f>B21</f>
        <v>办公集聚程度</v>
      </c>
      <c r="R21" s="1572" t="s">
        <v>8</v>
      </c>
      <c r="S21" s="1573">
        <f>F21</f>
        <v>100</v>
      </c>
      <c r="T21" s="1572" t="s">
        <v>8</v>
      </c>
      <c r="U21" s="1573">
        <f>H21</f>
        <v>100</v>
      </c>
      <c r="V21" s="1572" t="s">
        <v>8</v>
      </c>
      <c r="W21" s="1573">
        <f>J21</f>
        <v>100</v>
      </c>
      <c r="X21" s="1566"/>
      <c r="Y21" s="3529"/>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0"/>
      <c r="M22" s="2130"/>
      <c r="N22" s="2130"/>
      <c r="O22" s="2139"/>
      <c r="P22" s="3529"/>
      <c r="Q22" s="1571"/>
      <c r="R22" s="1572"/>
      <c r="S22" s="1573"/>
      <c r="T22" s="1572"/>
      <c r="U22" s="1573"/>
      <c r="V22" s="1572"/>
      <c r="W22" s="1573"/>
      <c r="X22" s="1566"/>
      <c r="Y22" s="3529"/>
      <c r="Z22" s="1574"/>
      <c r="AA22" s="1575">
        <v>1</v>
      </c>
      <c r="AB22" s="1575">
        <v>1</v>
      </c>
      <c r="AC22" s="1575">
        <v>1</v>
      </c>
    </row>
    <row r="23" spans="1:29" ht="20.25">
      <c r="A23" s="531"/>
      <c r="B23" s="559" t="s">
        <v>543</v>
      </c>
      <c r="C23" s="572" t="str">
        <f>估价对象房地状况!C18</f>
        <v>一般</v>
      </c>
      <c r="D23" s="562">
        <v>100</v>
      </c>
      <c r="E23" s="563"/>
      <c r="F23" s="564">
        <f>SUMIF(96:96,E24,97:97)-SUMIF(96:96,C24,97:97)+100</f>
        <v>100</v>
      </c>
      <c r="G23" s="561"/>
      <c r="H23" s="558">
        <f>SUMIF(96:96,G24,97:97)-SUMIF(96:96,C24,97:97)+100</f>
        <v>100</v>
      </c>
      <c r="I23" s="563"/>
      <c r="J23" s="558">
        <f>SUMIF(96:96,I24,97:97)-SUMIF(96:96,C24,97:97)+100</f>
        <v>100</v>
      </c>
      <c r="K23" s="534">
        <v>2</v>
      </c>
      <c r="L23" s="2140"/>
      <c r="M23" s="2130"/>
      <c r="N23" s="2130"/>
      <c r="O23" s="2139"/>
      <c r="P23" s="3529"/>
      <c r="Q23" s="1571" t="str">
        <f>B23</f>
        <v>交通便捷度</v>
      </c>
      <c r="R23" s="1572" t="s">
        <v>8</v>
      </c>
      <c r="S23" s="1573">
        <f>F23</f>
        <v>100</v>
      </c>
      <c r="T23" s="1572" t="s">
        <v>8</v>
      </c>
      <c r="U23" s="1573">
        <f>H23</f>
        <v>100</v>
      </c>
      <c r="V23" s="1572" t="s">
        <v>8</v>
      </c>
      <c r="W23" s="1573">
        <f>J23</f>
        <v>100</v>
      </c>
      <c r="X23" s="1566"/>
      <c r="Y23" s="3529"/>
      <c r="Z23" s="1574" t="str">
        <f>Q23</f>
        <v>交通便捷度</v>
      </c>
      <c r="AA23" s="1575">
        <f t="shared" si="3"/>
        <v>1</v>
      </c>
      <c r="AB23" s="1575">
        <f t="shared" si="4"/>
        <v>1</v>
      </c>
      <c r="AC23" s="1575">
        <f t="shared" si="5"/>
        <v>1</v>
      </c>
    </row>
    <row r="24" spans="1:29" ht="20.25">
      <c r="A24" s="531"/>
      <c r="B24" s="577"/>
      <c r="C24" s="553" t="s">
        <v>3264</v>
      </c>
      <c r="D24" s="556"/>
      <c r="E24" s="557" t="s">
        <v>3264</v>
      </c>
      <c r="F24" s="554"/>
      <c r="G24" s="555" t="s">
        <v>3264</v>
      </c>
      <c r="H24" s="554"/>
      <c r="I24" s="557" t="s">
        <v>3264</v>
      </c>
      <c r="J24" s="554"/>
      <c r="K24" s="530"/>
      <c r="L24" s="2140"/>
      <c r="M24" s="2130"/>
      <c r="N24" s="2130"/>
      <c r="O24" s="2139"/>
      <c r="P24" s="3529"/>
      <c r="Q24" s="1571"/>
      <c r="R24" s="1572"/>
      <c r="S24" s="1573"/>
      <c r="T24" s="1572"/>
      <c r="U24" s="1573"/>
      <c r="V24" s="1572"/>
      <c r="W24" s="1573"/>
      <c r="X24" s="1566"/>
      <c r="Y24" s="3529"/>
      <c r="Z24" s="1574"/>
      <c r="AA24" s="1575">
        <v>1</v>
      </c>
      <c r="AB24" s="1575">
        <v>1</v>
      </c>
      <c r="AC24" s="1575">
        <v>1</v>
      </c>
    </row>
    <row r="25" spans="1:29" ht="27">
      <c r="A25" s="514"/>
      <c r="B25" s="258" t="s">
        <v>544</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529"/>
      <c r="Q25" s="1571" t="str">
        <f t="shared" ref="Q25:Q39" si="8">B25</f>
        <v>区域土地利用方向</v>
      </c>
      <c r="R25" s="1572" t="s">
        <v>8</v>
      </c>
      <c r="S25" s="1573">
        <f>F25</f>
        <v>100</v>
      </c>
      <c r="T25" s="1572" t="s">
        <v>8</v>
      </c>
      <c r="U25" s="1573">
        <f>H25</f>
        <v>100</v>
      </c>
      <c r="V25" s="1572" t="s">
        <v>8</v>
      </c>
      <c r="W25" s="1573">
        <f>J25</f>
        <v>100</v>
      </c>
      <c r="X25" s="1566"/>
      <c r="Y25" s="3529"/>
      <c r="Z25" s="1574" t="str">
        <f>Q25</f>
        <v>区域土地利用方向</v>
      </c>
      <c r="AA25" s="1575">
        <f t="shared" si="3"/>
        <v>1</v>
      </c>
      <c r="AB25" s="1575">
        <f t="shared" si="4"/>
        <v>1</v>
      </c>
      <c r="AC25" s="1575">
        <f t="shared" si="5"/>
        <v>1</v>
      </c>
    </row>
    <row r="26" spans="1:29" ht="20.25">
      <c r="A26" s="514"/>
      <c r="B26" s="1006"/>
      <c r="C26" s="553" t="s">
        <v>3265</v>
      </c>
      <c r="D26" s="556"/>
      <c r="E26" s="557" t="s">
        <v>3265</v>
      </c>
      <c r="F26" s="554"/>
      <c r="G26" s="555" t="s">
        <v>3265</v>
      </c>
      <c r="H26" s="554"/>
      <c r="I26" s="557" t="s">
        <v>3265</v>
      </c>
      <c r="J26" s="554"/>
      <c r="K26" s="530"/>
      <c r="L26" s="2140"/>
      <c r="M26" s="2130"/>
      <c r="N26" s="2130"/>
      <c r="O26" s="2139"/>
      <c r="P26" s="3529"/>
      <c r="Q26" s="1571"/>
      <c r="R26" s="1572"/>
      <c r="S26" s="1573"/>
      <c r="T26" s="1572"/>
      <c r="U26" s="1573"/>
      <c r="V26" s="1572"/>
      <c r="W26" s="1573"/>
      <c r="X26" s="1566"/>
      <c r="Y26" s="3529"/>
      <c r="Z26" s="1574"/>
      <c r="AA26" s="1575"/>
      <c r="AB26" s="1575"/>
      <c r="AC26" s="1575"/>
    </row>
    <row r="27" spans="1:29" ht="27">
      <c r="A27" s="514"/>
      <c r="B27" s="577" t="s">
        <v>545</v>
      </c>
      <c r="C27" s="560" t="str">
        <f>估价对象房地状况!C20</f>
        <v>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529"/>
      <c r="Q27" s="1571" t="str">
        <f t="shared" si="8"/>
        <v>自然及人文环境状况</v>
      </c>
      <c r="R27" s="1572" t="s">
        <v>8</v>
      </c>
      <c r="S27" s="1573">
        <f>F27</f>
        <v>100</v>
      </c>
      <c r="T27" s="1572" t="s">
        <v>8</v>
      </c>
      <c r="U27" s="1573">
        <f>H27</f>
        <v>100</v>
      </c>
      <c r="V27" s="1572" t="s">
        <v>8</v>
      </c>
      <c r="W27" s="1573">
        <f>J27</f>
        <v>100</v>
      </c>
      <c r="X27" s="1566"/>
      <c r="Y27" s="3529"/>
      <c r="Z27" s="1574" t="str">
        <f>Q27</f>
        <v>自然及人文环境状况</v>
      </c>
      <c r="AA27" s="1575">
        <f t="shared" si="3"/>
        <v>1</v>
      </c>
      <c r="AB27" s="1575">
        <f t="shared" si="4"/>
        <v>1</v>
      </c>
      <c r="AC27" s="1575">
        <f t="shared" si="5"/>
        <v>1</v>
      </c>
    </row>
    <row r="28" spans="1:29" ht="20.25">
      <c r="A28" s="514"/>
      <c r="B28" s="565"/>
      <c r="C28" s="553" t="s">
        <v>3264</v>
      </c>
      <c r="D28" s="556"/>
      <c r="E28" s="575" t="s">
        <v>3264</v>
      </c>
      <c r="F28" s="554"/>
      <c r="G28" s="553" t="s">
        <v>3264</v>
      </c>
      <c r="H28" s="554"/>
      <c r="I28" s="575" t="s">
        <v>3264</v>
      </c>
      <c r="J28" s="554"/>
      <c r="K28" s="530"/>
      <c r="L28" s="2140"/>
      <c r="M28" s="2130"/>
      <c r="N28" s="2130"/>
      <c r="O28" s="2139"/>
      <c r="P28" s="3529"/>
      <c r="Q28" s="1571"/>
      <c r="R28" s="1572"/>
      <c r="S28" s="1573"/>
      <c r="T28" s="1572"/>
      <c r="U28" s="1573"/>
      <c r="V28" s="1572"/>
      <c r="W28" s="1573"/>
      <c r="X28" s="1566"/>
      <c r="Y28" s="3529"/>
      <c r="Z28" s="1574"/>
      <c r="AA28" s="1575">
        <v>1</v>
      </c>
      <c r="AB28" s="1575">
        <v>1</v>
      </c>
      <c r="AC28" s="1575">
        <v>1</v>
      </c>
    </row>
    <row r="29" spans="1:29" s="1219" customFormat="1" ht="20.25">
      <c r="A29" s="576"/>
      <c r="B29" s="2589" t="s">
        <v>2546</v>
      </c>
      <c r="C29" s="572" t="str">
        <f>估价对象房地状况!C21</f>
        <v>一般</v>
      </c>
      <c r="D29" s="562">
        <v>100</v>
      </c>
      <c r="E29" s="563"/>
      <c r="F29" s="558">
        <f>SUMIF(102:102,E30,103:103)-SUMIF(102:102,C30,103:103)+100</f>
        <v>103</v>
      </c>
      <c r="G29" s="561"/>
      <c r="H29" s="558">
        <f>SUMIF(102:102,G30,103:103)-SUMIF(102:102,C30,103:103)+100</f>
        <v>100</v>
      </c>
      <c r="I29" s="563"/>
      <c r="J29" s="558">
        <f>SUMIF(102:102,I30,103:103)-SUMIF(102:102,C30,103:103)+100</f>
        <v>103</v>
      </c>
      <c r="K29" s="534">
        <v>3</v>
      </c>
      <c r="L29" s="2133"/>
      <c r="M29" s="2130"/>
      <c r="N29" s="2130"/>
      <c r="O29" s="2135"/>
      <c r="P29" s="3529"/>
      <c r="Q29" s="1150" t="str">
        <f t="shared" si="8"/>
        <v>公共配套设施</v>
      </c>
      <c r="R29" s="1567" t="s">
        <v>8</v>
      </c>
      <c r="S29" s="1568">
        <f>F29</f>
        <v>103</v>
      </c>
      <c r="T29" s="1567" t="s">
        <v>8</v>
      </c>
      <c r="U29" s="1568">
        <f>H29</f>
        <v>100</v>
      </c>
      <c r="V29" s="1567" t="s">
        <v>8</v>
      </c>
      <c r="W29" s="1568">
        <f>J29</f>
        <v>103</v>
      </c>
      <c r="X29" s="1569"/>
      <c r="Y29" s="3529"/>
      <c r="Z29" s="1149" t="str">
        <f>Q29</f>
        <v>公共配套设施</v>
      </c>
      <c r="AA29" s="1575">
        <f>D29/F29</f>
        <v>0.970873786407767</v>
      </c>
      <c r="AB29" s="1575">
        <f>D29/H29</f>
        <v>1</v>
      </c>
      <c r="AC29" s="1575">
        <f>D29/J29</f>
        <v>0.970873786407767</v>
      </c>
    </row>
    <row r="30" spans="1:29" s="1219" customFormat="1" ht="20.25">
      <c r="A30" s="576"/>
      <c r="B30" s="565"/>
      <c r="C30" s="578" t="s">
        <v>3264</v>
      </c>
      <c r="D30" s="556"/>
      <c r="E30" s="575" t="s">
        <v>3265</v>
      </c>
      <c r="F30" s="554"/>
      <c r="G30" s="553" t="s">
        <v>3264</v>
      </c>
      <c r="H30" s="554"/>
      <c r="I30" s="575" t="s">
        <v>3265</v>
      </c>
      <c r="J30" s="554"/>
      <c r="K30" s="530"/>
      <c r="L30" s="2133"/>
      <c r="M30" s="2130"/>
      <c r="N30" s="2130"/>
      <c r="O30" s="2135"/>
      <c r="P30" s="3529"/>
      <c r="Q30" s="1150"/>
      <c r="R30" s="1567"/>
      <c r="S30" s="1568"/>
      <c r="T30" s="1567"/>
      <c r="U30" s="1568"/>
      <c r="V30" s="1567"/>
      <c r="W30" s="1568"/>
      <c r="X30" s="1569"/>
      <c r="Y30" s="3529"/>
      <c r="Z30" s="1149"/>
      <c r="AA30" s="1575">
        <v>1</v>
      </c>
      <c r="AB30" s="1575">
        <v>1</v>
      </c>
      <c r="AC30" s="1575">
        <v>1</v>
      </c>
    </row>
    <row r="31" spans="1:29" s="1219" customFormat="1" ht="20.25">
      <c r="A31" s="576"/>
      <c r="B31" s="2589" t="s">
        <v>2547</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529"/>
      <c r="Q31" s="2576" t="str">
        <f>B31</f>
        <v>基础设施水平</v>
      </c>
      <c r="R31" s="1567" t="s">
        <v>8</v>
      </c>
      <c r="S31" s="1568">
        <f>F31</f>
        <v>100</v>
      </c>
      <c r="T31" s="1567" t="s">
        <v>8</v>
      </c>
      <c r="U31" s="1568">
        <f>H31</f>
        <v>100</v>
      </c>
      <c r="V31" s="1567" t="s">
        <v>8</v>
      </c>
      <c r="W31" s="1568">
        <f>J31</f>
        <v>100</v>
      </c>
      <c r="X31" s="1569"/>
      <c r="Y31" s="3529"/>
      <c r="Z31" s="2573" t="str">
        <f>Q31</f>
        <v>基础设施水平</v>
      </c>
      <c r="AA31" s="1575">
        <f>D31/F31</f>
        <v>1</v>
      </c>
      <c r="AB31" s="1575">
        <f>D31/H31</f>
        <v>1</v>
      </c>
      <c r="AC31" s="1575">
        <f>D31/J31</f>
        <v>1</v>
      </c>
    </row>
    <row r="32" spans="1:29" s="1219" customFormat="1" ht="20.25">
      <c r="A32" s="576"/>
      <c r="B32" s="565"/>
      <c r="C32" s="578" t="s">
        <v>3262</v>
      </c>
      <c r="D32" s="556"/>
      <c r="E32" s="2590" t="s">
        <v>3262</v>
      </c>
      <c r="F32" s="554"/>
      <c r="G32" s="578" t="s">
        <v>3262</v>
      </c>
      <c r="H32" s="554"/>
      <c r="I32" s="578" t="s">
        <v>3262</v>
      </c>
      <c r="J32" s="554"/>
      <c r="K32" s="530"/>
      <c r="L32" s="2133"/>
      <c r="M32" s="2130"/>
      <c r="N32" s="2130"/>
      <c r="O32" s="2135"/>
      <c r="P32" s="3529"/>
      <c r="Q32" s="2576"/>
      <c r="R32" s="1567"/>
      <c r="S32" s="1568"/>
      <c r="T32" s="1567"/>
      <c r="U32" s="1568"/>
      <c r="V32" s="1567"/>
      <c r="W32" s="1568"/>
      <c r="X32" s="1569"/>
      <c r="Y32" s="3529"/>
      <c r="Z32" s="2573"/>
      <c r="AA32" s="1575">
        <v>1</v>
      </c>
      <c r="AB32" s="1575">
        <v>1</v>
      </c>
      <c r="AC32" s="1575">
        <v>1</v>
      </c>
    </row>
    <row r="33" spans="1:29" ht="20.25">
      <c r="A33" s="531"/>
      <c r="B33" s="565" t="s">
        <v>547</v>
      </c>
      <c r="C33" s="579" t="s">
        <v>3203</v>
      </c>
      <c r="D33" s="574">
        <v>100</v>
      </c>
      <c r="E33" s="582" t="s">
        <v>3216</v>
      </c>
      <c r="F33" s="539">
        <f>SUMIF(106:106,E33,107:107)-SUMIF(106:106,C33,107:107)+100</f>
        <v>98</v>
      </c>
      <c r="G33" s="579" t="s">
        <v>3216</v>
      </c>
      <c r="H33" s="539">
        <f>SUMIF(106:106,G33,107:107)-SUMIF(106:106,C33,107:107)+100</f>
        <v>98</v>
      </c>
      <c r="I33" s="579" t="s">
        <v>3216</v>
      </c>
      <c r="J33" s="539">
        <f>SUMIF(106:106,I33,107:107)-SUMIF(106:106,C33,107:107)+100</f>
        <v>98</v>
      </c>
      <c r="K33" s="534">
        <v>1</v>
      </c>
      <c r="L33" s="2140"/>
      <c r="M33" s="2130"/>
      <c r="N33" s="2130"/>
      <c r="O33" s="2139"/>
      <c r="P33" s="3529"/>
      <c r="Q33" s="1571" t="str">
        <f t="shared" si="8"/>
        <v>临街状况</v>
      </c>
      <c r="R33" s="1572" t="s">
        <v>8</v>
      </c>
      <c r="S33" s="1573">
        <f t="shared" ref="S33:S47" si="9">F33</f>
        <v>98</v>
      </c>
      <c r="T33" s="1572" t="s">
        <v>8</v>
      </c>
      <c r="U33" s="1573">
        <f t="shared" ref="U33:U47" si="10">H33</f>
        <v>98</v>
      </c>
      <c r="V33" s="1572" t="s">
        <v>8</v>
      </c>
      <c r="W33" s="1573">
        <f t="shared" ref="W33:W47" si="11">J33</f>
        <v>98</v>
      </c>
      <c r="X33" s="1566"/>
      <c r="Y33" s="3529"/>
      <c r="Z33" s="1574" t="str">
        <f t="shared" ref="Z33:Z47" si="12">Q33</f>
        <v>临街状况</v>
      </c>
      <c r="AA33" s="1575">
        <f t="shared" si="3"/>
        <v>1.0204081632653061</v>
      </c>
      <c r="AB33" s="1575">
        <f t="shared" si="4"/>
        <v>1.0204081632653061</v>
      </c>
      <c r="AC33" s="1575">
        <f t="shared" si="5"/>
        <v>1.0204081632653061</v>
      </c>
    </row>
    <row r="34" spans="1:29" ht="27">
      <c r="A34" s="531"/>
      <c r="B34" s="3221" t="s">
        <v>548</v>
      </c>
      <c r="C34" s="561"/>
      <c r="D34" s="562">
        <v>100</v>
      </c>
      <c r="E34" s="563"/>
      <c r="F34" s="558">
        <f>SUMIF(108:108,E35,109:109)-SUMIF(108:108,C35,109:109)+100</f>
        <v>99</v>
      </c>
      <c r="G34" s="561"/>
      <c r="H34" s="558">
        <f>SUMIF(108:108,G35,109:109)-SUMIF(108:108,C35,109:109)+100</f>
        <v>99</v>
      </c>
      <c r="I34" s="563"/>
      <c r="J34" s="558">
        <f>SUMIF(108:108,I35,109:109)-SUMIF(108:108,C35,109:109)+100</f>
        <v>99</v>
      </c>
      <c r="K34" s="534">
        <v>1</v>
      </c>
      <c r="L34" s="2140"/>
      <c r="M34" s="2130"/>
      <c r="N34" s="2130"/>
      <c r="O34" s="2139"/>
      <c r="P34" s="3529"/>
      <c r="Q34" s="1571" t="str">
        <f t="shared" si="8"/>
        <v>毗邻道路的类型与等级</v>
      </c>
      <c r="R34" s="1572" t="s">
        <v>8</v>
      </c>
      <c r="S34" s="1573">
        <f t="shared" si="9"/>
        <v>99</v>
      </c>
      <c r="T34" s="1572" t="s">
        <v>8</v>
      </c>
      <c r="U34" s="1573">
        <f t="shared" si="10"/>
        <v>99</v>
      </c>
      <c r="V34" s="1572" t="s">
        <v>8</v>
      </c>
      <c r="W34" s="1573">
        <f t="shared" si="11"/>
        <v>99</v>
      </c>
      <c r="X34" s="1566"/>
      <c r="Y34" s="3529"/>
      <c r="Z34" s="1574" t="str">
        <f t="shared" si="12"/>
        <v>毗邻道路的类型与等级</v>
      </c>
      <c r="AA34" s="1575">
        <f t="shared" si="3"/>
        <v>1.0101010101010102</v>
      </c>
      <c r="AB34" s="1575">
        <f t="shared" si="4"/>
        <v>1.0101010101010102</v>
      </c>
      <c r="AC34" s="1575">
        <f t="shared" si="5"/>
        <v>1.0101010101010102</v>
      </c>
    </row>
    <row r="35" spans="1:29" ht="21" thickBot="1">
      <c r="A35" s="531"/>
      <c r="B35" s="565"/>
      <c r="C35" s="553" t="s">
        <v>3267</v>
      </c>
      <c r="D35" s="556"/>
      <c r="E35" s="575" t="s">
        <v>3239</v>
      </c>
      <c r="F35" s="554"/>
      <c r="G35" s="553" t="s">
        <v>3239</v>
      </c>
      <c r="H35" s="554"/>
      <c r="I35" s="575" t="s">
        <v>3239</v>
      </c>
      <c r="J35" s="554"/>
      <c r="K35" s="580"/>
      <c r="L35" s="2140"/>
      <c r="M35" s="2130"/>
      <c r="N35" s="2130"/>
      <c r="O35" s="2139"/>
      <c r="P35" s="3529"/>
      <c r="Q35" s="1571"/>
      <c r="R35" s="1572"/>
      <c r="S35" s="1573"/>
      <c r="T35" s="1572"/>
      <c r="U35" s="1573"/>
      <c r="V35" s="1572"/>
      <c r="W35" s="1573"/>
      <c r="X35" s="1566"/>
      <c r="Y35" s="3529"/>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529"/>
      <c r="Q36" s="1571" t="str">
        <f t="shared" si="8"/>
        <v>土地级别</v>
      </c>
      <c r="R36" s="1572" t="s">
        <v>8</v>
      </c>
      <c r="S36" s="1573">
        <f t="shared" si="9"/>
        <v>100</v>
      </c>
      <c r="T36" s="1572" t="s">
        <v>8</v>
      </c>
      <c r="U36" s="1573">
        <f t="shared" si="10"/>
        <v>100</v>
      </c>
      <c r="V36" s="1572" t="s">
        <v>8</v>
      </c>
      <c r="W36" s="1573">
        <f t="shared" si="11"/>
        <v>100</v>
      </c>
      <c r="X36" s="1566"/>
      <c r="Y36" s="3529"/>
      <c r="Z36" s="1574" t="str">
        <f t="shared" si="12"/>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529"/>
      <c r="Q37" s="1571">
        <f t="shared" si="8"/>
        <v>0</v>
      </c>
      <c r="R37" s="1572" t="s">
        <v>8</v>
      </c>
      <c r="S37" s="1573">
        <f t="shared" si="9"/>
        <v>100</v>
      </c>
      <c r="T37" s="1572" t="s">
        <v>8</v>
      </c>
      <c r="U37" s="1573">
        <f t="shared" si="10"/>
        <v>100</v>
      </c>
      <c r="V37" s="1572" t="s">
        <v>8</v>
      </c>
      <c r="W37" s="1573">
        <f t="shared" si="11"/>
        <v>100</v>
      </c>
      <c r="X37" s="1566"/>
      <c r="Y37" s="3529"/>
      <c r="Z37" s="1574">
        <f t="shared" si="12"/>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530" t="s">
        <v>550</v>
      </c>
      <c r="Q38" s="1571">
        <f t="shared" si="8"/>
        <v>0</v>
      </c>
      <c r="R38" s="1572" t="s">
        <v>8</v>
      </c>
      <c r="S38" s="1573">
        <f t="shared" si="9"/>
        <v>100</v>
      </c>
      <c r="T38" s="1572" t="s">
        <v>8</v>
      </c>
      <c r="U38" s="1573">
        <f t="shared" si="10"/>
        <v>100</v>
      </c>
      <c r="V38" s="1572" t="s">
        <v>8</v>
      </c>
      <c r="W38" s="1573">
        <f t="shared" si="11"/>
        <v>100</v>
      </c>
      <c r="X38" s="1566"/>
      <c r="Y38" s="3531" t="s">
        <v>550</v>
      </c>
      <c r="Z38" s="1574">
        <f t="shared" si="12"/>
        <v>0</v>
      </c>
      <c r="AA38" s="1575">
        <f t="shared" si="3"/>
        <v>1</v>
      </c>
      <c r="AB38" s="1575">
        <f t="shared" si="4"/>
        <v>1</v>
      </c>
      <c r="AC38" s="1575">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531"/>
      <c r="Q39" s="1571">
        <f t="shared" si="8"/>
        <v>0</v>
      </c>
      <c r="R39" s="1576" t="s">
        <v>8</v>
      </c>
      <c r="S39" s="1577">
        <f t="shared" si="9"/>
        <v>100</v>
      </c>
      <c r="T39" s="1576" t="s">
        <v>8</v>
      </c>
      <c r="U39" s="1577">
        <f t="shared" si="10"/>
        <v>100</v>
      </c>
      <c r="V39" s="1576" t="s">
        <v>8</v>
      </c>
      <c r="W39" s="1577">
        <f t="shared" si="11"/>
        <v>100</v>
      </c>
      <c r="X39" s="1578"/>
      <c r="Y39" s="3531"/>
      <c r="Z39" s="1579">
        <f t="shared" si="12"/>
        <v>0</v>
      </c>
      <c r="AA39" s="1575">
        <f t="shared" si="3"/>
        <v>1</v>
      </c>
      <c r="AB39" s="1575">
        <f t="shared" si="4"/>
        <v>1</v>
      </c>
      <c r="AC39" s="1575">
        <f t="shared" si="5"/>
        <v>1</v>
      </c>
    </row>
    <row r="40" spans="1:29" ht="20.25">
      <c r="A40" s="2905" t="s">
        <v>2752</v>
      </c>
      <c r="B40" s="594" t="s">
        <v>552</v>
      </c>
      <c r="C40" s="595">
        <f>'数据-汇总表'!D3</f>
        <v>62541.33</v>
      </c>
      <c r="D40" s="596">
        <v>100</v>
      </c>
      <c r="E40" s="595">
        <f>土地案例!D2</f>
        <v>36365.370000000003</v>
      </c>
      <c r="F40" s="596">
        <f>LOOKUP(E40,119:119,120:120)-LOOKUP(C40,119:119,120:120)+100</f>
        <v>98</v>
      </c>
      <c r="G40" s="595">
        <f>土地案例!D3</f>
        <v>151738.6</v>
      </c>
      <c r="H40" s="596">
        <f>LOOKUP(G40,119:119,120:120)-LOOKUP(C40,119:119,120:120)+100</f>
        <v>104</v>
      </c>
      <c r="I40" s="597">
        <f>土地案例!D5</f>
        <v>65602.95</v>
      </c>
      <c r="J40" s="596">
        <f>LOOKUP(I40,119:119,120:120)-LOOKUP(C40,119:119,120:120)+100</f>
        <v>100</v>
      </c>
      <c r="K40" s="580"/>
      <c r="L40" s="2140"/>
      <c r="M40" s="2130"/>
      <c r="N40" s="2130"/>
      <c r="O40" s="2139"/>
      <c r="P40" s="3531"/>
      <c r="Q40" s="1571" t="str">
        <f>B40</f>
        <v>宗地面积</v>
      </c>
      <c r="R40" s="1572" t="s">
        <v>8</v>
      </c>
      <c r="S40" s="1573">
        <f t="shared" si="9"/>
        <v>98</v>
      </c>
      <c r="T40" s="1572" t="s">
        <v>8</v>
      </c>
      <c r="U40" s="1573">
        <f t="shared" si="10"/>
        <v>104</v>
      </c>
      <c r="V40" s="1572" t="s">
        <v>8</v>
      </c>
      <c r="W40" s="1573">
        <f t="shared" si="11"/>
        <v>100</v>
      </c>
      <c r="X40" s="1566"/>
      <c r="Y40" s="3531"/>
      <c r="Z40" s="1574" t="str">
        <f t="shared" si="12"/>
        <v>宗地面积</v>
      </c>
      <c r="AA40" s="1575">
        <f t="shared" si="3"/>
        <v>1.0204081632653061</v>
      </c>
      <c r="AB40" s="1575">
        <f t="shared" si="4"/>
        <v>0.96153846153846156</v>
      </c>
      <c r="AC40" s="1575">
        <f t="shared" si="5"/>
        <v>1</v>
      </c>
    </row>
    <row r="41" spans="1:29" ht="20.25">
      <c r="A41" s="593"/>
      <c r="B41" s="526" t="s">
        <v>553</v>
      </c>
      <c r="C41" s="598" t="s">
        <v>3240</v>
      </c>
      <c r="D41" s="539">
        <v>100</v>
      </c>
      <c r="E41" s="598" t="s">
        <v>3241</v>
      </c>
      <c r="F41" s="539">
        <f>SUMIF(121:121,E41,122:122)-SUMIF(121:121,C41,122:122)+100</f>
        <v>97</v>
      </c>
      <c r="G41" s="598" t="s">
        <v>3263</v>
      </c>
      <c r="H41" s="539">
        <f>SUMIF(121:121,G41,122:122)-SUMIF(121:121,C41,122:122)+100</f>
        <v>94</v>
      </c>
      <c r="I41" s="598" t="s">
        <v>3241</v>
      </c>
      <c r="J41" s="539">
        <f>SUMIF(121:121,I41,122:122)-SUMIF(121:121,C41,122:122)+100</f>
        <v>97</v>
      </c>
      <c r="K41" s="583">
        <v>3</v>
      </c>
      <c r="L41" s="2140"/>
      <c r="M41" s="2130"/>
      <c r="N41" s="2130"/>
      <c r="O41" s="2139"/>
      <c r="P41" s="3531"/>
      <c r="Q41" s="1571" t="str">
        <f t="shared" ref="Q41:Q47" si="13">B41</f>
        <v>宗地形状</v>
      </c>
      <c r="R41" s="1572" t="s">
        <v>8</v>
      </c>
      <c r="S41" s="1573">
        <f t="shared" si="9"/>
        <v>97</v>
      </c>
      <c r="T41" s="1572" t="s">
        <v>8</v>
      </c>
      <c r="U41" s="1573">
        <f t="shared" si="10"/>
        <v>94</v>
      </c>
      <c r="V41" s="1572" t="s">
        <v>8</v>
      </c>
      <c r="W41" s="1573">
        <f t="shared" si="11"/>
        <v>97</v>
      </c>
      <c r="X41" s="1566"/>
      <c r="Y41" s="3531"/>
      <c r="Z41" s="1574" t="str">
        <f t="shared" si="12"/>
        <v>宗地形状</v>
      </c>
      <c r="AA41" s="1575">
        <f t="shared" si="3"/>
        <v>1.0309278350515463</v>
      </c>
      <c r="AB41" s="1575">
        <f t="shared" si="4"/>
        <v>1.0638297872340425</v>
      </c>
      <c r="AC41" s="1575">
        <f t="shared" si="5"/>
        <v>1.0309278350515463</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531"/>
      <c r="Q42" s="1571" t="str">
        <f t="shared" si="13"/>
        <v>临街宽度及深度</v>
      </c>
      <c r="R42" s="1572" t="s">
        <v>8</v>
      </c>
      <c r="S42" s="1573">
        <f t="shared" si="9"/>
        <v>100</v>
      </c>
      <c r="T42" s="1572" t="s">
        <v>8</v>
      </c>
      <c r="U42" s="1573">
        <f t="shared" si="10"/>
        <v>100</v>
      </c>
      <c r="V42" s="1572" t="s">
        <v>8</v>
      </c>
      <c r="W42" s="1573">
        <f t="shared" si="11"/>
        <v>100</v>
      </c>
      <c r="X42" s="1566"/>
      <c r="Y42" s="3531"/>
      <c r="Z42" s="1574" t="str">
        <f t="shared" si="12"/>
        <v>临街宽度及深度</v>
      </c>
      <c r="AA42" s="1575">
        <f t="shared" si="3"/>
        <v>1</v>
      </c>
      <c r="AB42" s="1575">
        <f t="shared" si="4"/>
        <v>1</v>
      </c>
      <c r="AC42" s="1575">
        <f t="shared" si="5"/>
        <v>1</v>
      </c>
    </row>
    <row r="43" spans="1:29" s="1219" customFormat="1" ht="20.25">
      <c r="A43" s="599"/>
      <c r="B43" s="1893" t="s">
        <v>2422</v>
      </c>
      <c r="C43" s="600" t="s">
        <v>3271</v>
      </c>
      <c r="D43" s="254">
        <v>100</v>
      </c>
      <c r="E43" s="600" t="s">
        <v>3054</v>
      </c>
      <c r="F43" s="539">
        <f>SUMIF(125:125,E43,126:126)-SUMIF(125:125,C43,126:126)+100</f>
        <v>99</v>
      </c>
      <c r="G43" s="600" t="s">
        <v>3049</v>
      </c>
      <c r="H43" s="539">
        <f>SUMIF(125:125,G43,126:126)-SUMIF(125:125,C43,126:126)+100</f>
        <v>103</v>
      </c>
      <c r="I43" s="600" t="s">
        <v>3054</v>
      </c>
      <c r="J43" s="539">
        <f>SUMIF(125:125,I43,126:126)-SUMIF(125:125,C43,126:126)+100</f>
        <v>99</v>
      </c>
      <c r="K43" s="583">
        <v>1</v>
      </c>
      <c r="L43" s="2133"/>
      <c r="M43" s="2130"/>
      <c r="N43" s="2130"/>
      <c r="O43" s="2135"/>
      <c r="P43" s="3531"/>
      <c r="Q43" s="1571" t="str">
        <f t="shared" si="13"/>
        <v>宗地开发程度</v>
      </c>
      <c r="R43" s="1567" t="s">
        <v>8</v>
      </c>
      <c r="S43" s="1568">
        <f t="shared" si="9"/>
        <v>99</v>
      </c>
      <c r="T43" s="1567" t="s">
        <v>8</v>
      </c>
      <c r="U43" s="1568">
        <f t="shared" si="10"/>
        <v>103</v>
      </c>
      <c r="V43" s="1567" t="s">
        <v>8</v>
      </c>
      <c r="W43" s="1568">
        <f t="shared" si="11"/>
        <v>99</v>
      </c>
      <c r="X43" s="1569"/>
      <c r="Y43" s="3531"/>
      <c r="Z43" s="1149" t="str">
        <f t="shared" si="12"/>
        <v>宗地开发程度</v>
      </c>
      <c r="AA43" s="1570">
        <f t="shared" si="3"/>
        <v>1.0101010101010102</v>
      </c>
      <c r="AB43" s="1570">
        <f t="shared" si="4"/>
        <v>0.970873786407767</v>
      </c>
      <c r="AC43" s="1570">
        <f t="shared" si="5"/>
        <v>1.0101010101010102</v>
      </c>
    </row>
    <row r="44" spans="1:29" ht="20.25">
      <c r="A44" s="593"/>
      <c r="B44" s="526" t="s">
        <v>555</v>
      </c>
      <c r="C44" s="598" t="s">
        <v>3272</v>
      </c>
      <c r="D44" s="539">
        <v>100</v>
      </c>
      <c r="E44" s="598" t="s">
        <v>3272</v>
      </c>
      <c r="F44" s="539">
        <f>SUMIF(127:127,E44,128:128)-SUMIF(127:127,C44,128:128)+100</f>
        <v>100</v>
      </c>
      <c r="G44" s="598" t="s">
        <v>3272</v>
      </c>
      <c r="H44" s="539">
        <f>SUMIF(127:127,G44,128:128)-SUMIF(127:127,C44,128:128)+100</f>
        <v>100</v>
      </c>
      <c r="I44" s="598" t="s">
        <v>3272</v>
      </c>
      <c r="J44" s="539">
        <f>SUMIF(127:127,I44,128:128)-SUMIF(127:127,C44,128:128)+100</f>
        <v>100</v>
      </c>
      <c r="K44" s="583">
        <v>1</v>
      </c>
      <c r="L44" s="2140"/>
      <c r="M44" s="2130"/>
      <c r="N44" s="2130"/>
      <c r="O44" s="2139"/>
      <c r="P44" s="3531" t="s">
        <v>550</v>
      </c>
      <c r="Q44" s="1571" t="str">
        <f t="shared" si="13"/>
        <v>工程地质条件</v>
      </c>
      <c r="R44" s="1572" t="s">
        <v>8</v>
      </c>
      <c r="S44" s="1573">
        <f t="shared" si="9"/>
        <v>100</v>
      </c>
      <c r="T44" s="1572" t="s">
        <v>8</v>
      </c>
      <c r="U44" s="1573">
        <f t="shared" si="10"/>
        <v>100</v>
      </c>
      <c r="V44" s="1572" t="s">
        <v>8</v>
      </c>
      <c r="W44" s="1573">
        <f t="shared" si="11"/>
        <v>100</v>
      </c>
      <c r="X44" s="1566"/>
      <c r="Y44" s="3531" t="s">
        <v>550</v>
      </c>
      <c r="Z44" s="1574" t="str">
        <f t="shared" si="12"/>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531"/>
      <c r="Q45" s="1571">
        <f t="shared" si="13"/>
        <v>0</v>
      </c>
      <c r="R45" s="1572" t="s">
        <v>8</v>
      </c>
      <c r="S45" s="1573">
        <f t="shared" si="9"/>
        <v>100</v>
      </c>
      <c r="T45" s="1572" t="s">
        <v>8</v>
      </c>
      <c r="U45" s="1573">
        <f t="shared" si="10"/>
        <v>100</v>
      </c>
      <c r="V45" s="1572" t="s">
        <v>8</v>
      </c>
      <c r="W45" s="1573">
        <f t="shared" si="11"/>
        <v>100</v>
      </c>
      <c r="X45" s="1566"/>
      <c r="Y45" s="3531"/>
      <c r="Z45" s="1574">
        <f t="shared" si="12"/>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531"/>
      <c r="Q46" s="1571">
        <f t="shared" si="13"/>
        <v>0</v>
      </c>
      <c r="R46" s="1572" t="s">
        <v>8</v>
      </c>
      <c r="S46" s="1573">
        <f t="shared" si="9"/>
        <v>100</v>
      </c>
      <c r="T46" s="1572" t="s">
        <v>8</v>
      </c>
      <c r="U46" s="1573">
        <f t="shared" si="10"/>
        <v>100</v>
      </c>
      <c r="V46" s="1572" t="s">
        <v>8</v>
      </c>
      <c r="W46" s="1573">
        <f t="shared" si="11"/>
        <v>100</v>
      </c>
      <c r="X46" s="1566"/>
      <c r="Y46" s="3531"/>
      <c r="Z46" s="1574">
        <f t="shared" si="12"/>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531"/>
      <c r="Q47" s="1571">
        <f t="shared" si="13"/>
        <v>0</v>
      </c>
      <c r="R47" s="1576" t="s">
        <v>8</v>
      </c>
      <c r="S47" s="1577">
        <f t="shared" si="9"/>
        <v>100</v>
      </c>
      <c r="T47" s="1576" t="s">
        <v>8</v>
      </c>
      <c r="U47" s="1577">
        <f t="shared" si="10"/>
        <v>100</v>
      </c>
      <c r="V47" s="1576" t="s">
        <v>8</v>
      </c>
      <c r="W47" s="1577">
        <f t="shared" si="11"/>
        <v>100</v>
      </c>
      <c r="X47" s="1578"/>
      <c r="Y47" s="3531"/>
      <c r="Z47" s="1579">
        <f t="shared" si="12"/>
        <v>0</v>
      </c>
      <c r="AA47" s="1575">
        <f t="shared" si="3"/>
        <v>1</v>
      </c>
      <c r="AB47" s="1575">
        <f t="shared" si="4"/>
        <v>1</v>
      </c>
      <c r="AC47" s="1575">
        <f t="shared" si="5"/>
        <v>1</v>
      </c>
    </row>
    <row r="48" spans="1:29" ht="20.25">
      <c r="A48" s="606" t="s">
        <v>556</v>
      </c>
      <c r="B48" s="607" t="s">
        <v>3214</v>
      </c>
      <c r="C48" s="608" t="s">
        <v>1</v>
      </c>
      <c r="D48" s="609"/>
      <c r="E48" s="3222">
        <f>ROUND(土地案例!K2,0)</f>
        <v>39720</v>
      </c>
      <c r="F48" s="3223"/>
      <c r="G48" s="3224">
        <f>ROUND(土地案例!K3,0)</f>
        <v>44981</v>
      </c>
      <c r="H48" s="3225"/>
      <c r="I48" s="3222">
        <f>ROUND(土地案例!K5,0)</f>
        <v>41193</v>
      </c>
      <c r="J48" s="613"/>
      <c r="K48" s="1339"/>
      <c r="L48" s="2142"/>
      <c r="M48" s="2130"/>
      <c r="N48" s="2130"/>
      <c r="O48" s="2143"/>
      <c r="P48" s="3494" t="str">
        <f>A48</f>
        <v>成交单价</v>
      </c>
      <c r="Q48" s="3494"/>
      <c r="R48" s="3495">
        <f>E48</f>
        <v>39720</v>
      </c>
      <c r="S48" s="3495"/>
      <c r="T48" s="3495">
        <f>G48</f>
        <v>44981</v>
      </c>
      <c r="U48" s="3495"/>
      <c r="V48" s="3495">
        <f>I48</f>
        <v>41193</v>
      </c>
      <c r="W48" s="3495"/>
      <c r="X48" s="1558"/>
      <c r="Y48" s="1580"/>
      <c r="Z48" s="1558"/>
      <c r="AA48" s="1558"/>
      <c r="AB48" s="1558"/>
      <c r="AC48" s="1558"/>
    </row>
    <row r="49" spans="1:29" ht="21" thickBot="1">
      <c r="A49" s="614" t="s">
        <v>2690</v>
      </c>
      <c r="B49" s="615"/>
      <c r="C49" s="616">
        <f>R50</f>
        <v>42142</v>
      </c>
      <c r="D49" s="617"/>
      <c r="E49" s="3226">
        <f>R49</f>
        <v>40003</v>
      </c>
      <c r="F49" s="3227"/>
      <c r="G49" s="3228">
        <f>T49</f>
        <v>45145</v>
      </c>
      <c r="H49" s="3229"/>
      <c r="I49" s="3226">
        <f>V49</f>
        <v>41279</v>
      </c>
      <c r="J49" s="617"/>
      <c r="K49" s="1340"/>
      <c r="L49" s="2142"/>
      <c r="M49" s="2130"/>
      <c r="N49" s="2130"/>
      <c r="O49" s="2143"/>
      <c r="P49" s="3494" t="str">
        <f>A49</f>
        <v>比较价格（元/平方米）</v>
      </c>
      <c r="Q49" s="3494"/>
      <c r="R49" s="3496">
        <f>ROUND(PRODUCT(R48,AA9:AA47),0)</f>
        <v>40003</v>
      </c>
      <c r="S49" s="3496"/>
      <c r="T49" s="3496">
        <f>ROUND(PRODUCT(T48,AB9:AB47),0)</f>
        <v>45145</v>
      </c>
      <c r="U49" s="3496"/>
      <c r="V49" s="3496">
        <f>ROUND(PRODUCT(V48,AC9:AC47),0)</f>
        <v>41279</v>
      </c>
      <c r="W49" s="3496"/>
      <c r="X49" s="1558"/>
      <c r="Y49" s="1558"/>
      <c r="Z49" s="1558"/>
      <c r="AA49" s="1558"/>
      <c r="AB49" s="1558"/>
      <c r="AC49" s="1558"/>
    </row>
    <row r="50" spans="1:29" ht="21" thickBot="1">
      <c r="A50" s="620" t="s">
        <v>3215</v>
      </c>
      <c r="B50" s="621"/>
      <c r="C50" s="622">
        <f>R50</f>
        <v>42142</v>
      </c>
      <c r="D50" s="622"/>
      <c r="E50" s="622"/>
      <c r="F50" s="622"/>
      <c r="G50" s="622"/>
      <c r="H50" s="622"/>
      <c r="I50" s="622"/>
      <c r="J50" s="622"/>
      <c r="K50" s="1341"/>
      <c r="L50" s="2142"/>
      <c r="M50" s="2130"/>
      <c r="N50" s="2130"/>
      <c r="O50" s="2143"/>
      <c r="P50" s="3491" t="str">
        <f>A50</f>
        <v>估价对象比较价格（楼面单价，元/平方米）</v>
      </c>
      <c r="Q50" s="3492"/>
      <c r="R50" s="3493">
        <f>ROUND(AVERAGE(R49:V49),0)</f>
        <v>42142</v>
      </c>
      <c r="S50" s="3493"/>
      <c r="T50" s="3493"/>
      <c r="U50" s="3493"/>
      <c r="V50" s="3493"/>
      <c r="W50" s="3493"/>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7.124874118831892E-3</v>
      </c>
      <c r="F53" s="626" t="str">
        <f>IF(OR(E53&gt;=0.3,E53&lt;=-0.3),"超过30%","")</f>
        <v/>
      </c>
      <c r="G53" s="625">
        <f>IF(G48&lt;G49,G49/G48-1,G48/G49-1)</f>
        <v>3.6459838598519312E-3</v>
      </c>
      <c r="H53" s="626" t="str">
        <f>IF(OR(G53&gt;=0.3,G53&lt;=-0.3),"超过30%","")</f>
        <v/>
      </c>
      <c r="I53" s="625">
        <f>IF(I48&lt;I49,I49/I48-1,I48/I49-1)</f>
        <v>2.0877333527540287E-3</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0.12854035947303943</v>
      </c>
      <c r="F54" s="626" t="str">
        <f>IF(OR(E54&gt;=0.2,E54&lt;=-0.2),"超过20%","")</f>
        <v/>
      </c>
      <c r="G54" s="625">
        <f>IF(G49&lt;I49,I49/G49-1,G49/I49-1)</f>
        <v>9.365536955837106E-2</v>
      </c>
      <c r="H54" s="626" t="str">
        <f>IF(OR(G54&gt;=0.2,G54&lt;=-0.2),"超过20%","")</f>
        <v/>
      </c>
      <c r="I54" s="625">
        <f>IF(I49&lt;E49,E49/I49-1,I49/E49-1)</f>
        <v>3.1897607679423956E-2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0.13245216515609259</v>
      </c>
      <c r="F55" s="626" t="str">
        <f>IF(OR(E55&gt;=0.3,E55&lt;=-0.3),"超过30%","")</f>
        <v/>
      </c>
      <c r="G55" s="625">
        <f>IF(G48&lt;I48,I48/G48-1,G48/I48-1)</f>
        <v>9.1957371398053045E-2</v>
      </c>
      <c r="H55" s="626" t="str">
        <f>IF(OR(G55&gt;=0.3,G55&lt;=-0.3),"超过30%","")</f>
        <v/>
      </c>
      <c r="I55" s="625">
        <f>IF(I48&lt;E48,E48/I48-1,I48/E48-1)</f>
        <v>3.7084592145015138E-2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560</v>
      </c>
      <c r="B57" s="629" t="s">
        <v>561</v>
      </c>
      <c r="C57" s="1559" t="s">
        <v>1725</v>
      </c>
      <c r="D57" s="2225" t="s">
        <v>2293</v>
      </c>
      <c r="E57" s="630" t="s">
        <v>562</v>
      </c>
      <c r="F57" s="631" t="s">
        <v>563</v>
      </c>
      <c r="G57" s="3520" t="s">
        <v>2281</v>
      </c>
      <c r="H57" s="3521"/>
      <c r="I57" s="1554" t="s">
        <v>1723</v>
      </c>
      <c r="J57" s="1554">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42142</v>
      </c>
      <c r="C58" s="634">
        <v>1</v>
      </c>
      <c r="D58" s="2226">
        <v>1</v>
      </c>
      <c r="E58" s="634">
        <f>'数据-汇总表'!E8+'数据-汇总表'!E9</f>
        <v>64609.999999999985</v>
      </c>
      <c r="F58" s="635">
        <f t="shared" ref="F58:F67" si="14">ROUND(B58*E58/10000,0)</f>
        <v>272279</v>
      </c>
      <c r="G58" s="3522"/>
      <c r="H58" s="3523"/>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6321</v>
      </c>
      <c r="C59" s="377">
        <f t="shared" ref="C59:C67" si="15">IF($C$57="北京市系数",I59,J59)</f>
        <v>0.6</v>
      </c>
      <c r="D59" s="2227">
        <v>0.25</v>
      </c>
      <c r="E59" s="638">
        <f>'数据-汇总表'!G22</f>
        <v>0</v>
      </c>
      <c r="F59" s="635">
        <f t="shared" si="14"/>
        <v>0</v>
      </c>
      <c r="G59" s="3524" t="s">
        <v>2282</v>
      </c>
      <c r="H59" s="1946" t="str">
        <f>项目基本情况!B43</f>
        <v>八级</v>
      </c>
      <c r="I59" s="1555">
        <f>SUMIF(修正!$A$45:$A$56,H59,修正!B45:B56)</f>
        <v>0.6</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6">ROUND($C$50*C60*D60,0)</f>
        <v>3161</v>
      </c>
      <c r="C60" s="377">
        <f t="shared" si="15"/>
        <v>0.3</v>
      </c>
      <c r="D60" s="2227">
        <v>0.25</v>
      </c>
      <c r="E60" s="638">
        <v>0</v>
      </c>
      <c r="F60" s="635">
        <f t="shared" si="14"/>
        <v>0</v>
      </c>
      <c r="G60" s="3524"/>
      <c r="H60" s="1946" t="str">
        <f>项目基本情况!B43</f>
        <v>八级</v>
      </c>
      <c r="I60" s="1555">
        <f>SUMIF(修正!$A$45:$A$56,H60,修正!C45:C56)</f>
        <v>0.3</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6"/>
        <v>2107</v>
      </c>
      <c r="C61" s="377">
        <f t="shared" si="15"/>
        <v>0.2</v>
      </c>
      <c r="D61" s="2227">
        <v>0.25</v>
      </c>
      <c r="E61" s="638">
        <v>0</v>
      </c>
      <c r="F61" s="635">
        <f t="shared" si="14"/>
        <v>0</v>
      </c>
      <c r="G61" s="3524"/>
      <c r="H61" s="1946" t="str">
        <f>项目基本情况!B43</f>
        <v>八级</v>
      </c>
      <c r="I61" s="1555">
        <f>SUMIF(修正!$A$45:$A$56,H61,修正!D45:D56)</f>
        <v>0.2</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6"/>
        <v>2107</v>
      </c>
      <c r="C62" s="377">
        <f t="shared" si="15"/>
        <v>0.2</v>
      </c>
      <c r="D62" s="2227">
        <v>0.25</v>
      </c>
      <c r="E62" s="638">
        <v>0</v>
      </c>
      <c r="F62" s="635">
        <f t="shared" si="14"/>
        <v>0</v>
      </c>
      <c r="G62" s="3524"/>
      <c r="H62" s="1946" t="str">
        <f>项目基本情况!B43</f>
        <v>八级</v>
      </c>
      <c r="I62" s="1555">
        <f>SUMIF(修正!$A$45:$A$56,H62,修正!E45:E56)</f>
        <v>0.2</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2326</v>
      </c>
      <c r="B63" s="637">
        <f t="shared" si="16"/>
        <v>2107</v>
      </c>
      <c r="C63" s="377">
        <f t="shared" si="15"/>
        <v>0.2</v>
      </c>
      <c r="D63" s="2227">
        <v>0.25</v>
      </c>
      <c r="E63" s="640">
        <f>'数据-汇总表'!E11</f>
        <v>0</v>
      </c>
      <c r="F63" s="635">
        <f t="shared" si="14"/>
        <v>0</v>
      </c>
      <c r="G63" s="1943" t="s">
        <v>2283</v>
      </c>
      <c r="H63" s="1946" t="str">
        <f>项目基本情况!C43</f>
        <v>八级</v>
      </c>
      <c r="I63" s="1555">
        <f>SUMIF(修正!$A$45:$A$56,H63,修正!F45:F56)</f>
        <v>0.2</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6"/>
        <v>2107</v>
      </c>
      <c r="C64" s="377">
        <f t="shared" si="15"/>
        <v>0.2</v>
      </c>
      <c r="D64" s="2227">
        <v>0.25</v>
      </c>
      <c r="E64" s="640">
        <f>'数据-汇总表'!E12</f>
        <v>65328.5</v>
      </c>
      <c r="F64" s="635">
        <f t="shared" si="14"/>
        <v>13765</v>
      </c>
      <c r="G64" s="1944" t="s">
        <v>923</v>
      </c>
      <c r="H64" s="1942" t="str">
        <f>IF(G64="商业",项目基本情况!B43,IF(G64="办公",项目基本情况!C43,IF(G64="住宅",项目基本情况!D43,项目基本情况!E43)))</f>
        <v>八级</v>
      </c>
      <c r="I64" s="1555">
        <f>SUMIF(修正!$A$45:$A$56,H64,修正!G45:G56)</f>
        <v>0.2</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6"/>
        <v>1580</v>
      </c>
      <c r="C65" s="377">
        <f t="shared" si="15"/>
        <v>0.15</v>
      </c>
      <c r="D65" s="2227">
        <v>0.25</v>
      </c>
      <c r="E65" s="640">
        <f>'数据-汇总表'!E13</f>
        <v>26123.5</v>
      </c>
      <c r="F65" s="635">
        <f t="shared" si="14"/>
        <v>4128</v>
      </c>
      <c r="G65" s="1944" t="s">
        <v>923</v>
      </c>
      <c r="H65" s="1942" t="str">
        <f>IF(G65="商业",项目基本情况!B43,IF(G65="办公",项目基本情况!C43,IF(G65="住宅",项目基本情况!D43,项目基本情况!E43)))</f>
        <v>八级</v>
      </c>
      <c r="I65" s="1555">
        <f>SUMIF(修正!$A$45:$A$56,H65,修正!H45:H56)</f>
        <v>0.15</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6"/>
        <v>1580</v>
      </c>
      <c r="C66" s="377">
        <f t="shared" si="15"/>
        <v>0.15</v>
      </c>
      <c r="D66" s="2227">
        <v>0.25</v>
      </c>
      <c r="E66" s="640">
        <f>'数据-汇总表'!E14</f>
        <v>0</v>
      </c>
      <c r="F66" s="635">
        <f t="shared" si="14"/>
        <v>0</v>
      </c>
      <c r="G66" s="1943" t="s">
        <v>2282</v>
      </c>
      <c r="H66" s="1946" t="str">
        <f>项目基本情况!B43</f>
        <v>八级</v>
      </c>
      <c r="I66" s="1555">
        <f>SUMIF(修正!$A$45:$A$56,H66,修正!H45:H56)</f>
        <v>0.15</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6"/>
        <v>1580</v>
      </c>
      <c r="C67" s="377">
        <f t="shared" si="15"/>
        <v>0.15</v>
      </c>
      <c r="D67" s="2227">
        <v>0.25</v>
      </c>
      <c r="E67" s="640">
        <f>'数据-汇总表'!E15</f>
        <v>0</v>
      </c>
      <c r="F67" s="635">
        <f t="shared" si="14"/>
        <v>0</v>
      </c>
      <c r="G67" s="1945" t="s">
        <v>2283</v>
      </c>
      <c r="H67" s="1947" t="str">
        <f>项目基本情况!C43</f>
        <v>八级</v>
      </c>
      <c r="I67" s="1555">
        <f>SUMIF(修正!$A$45:$A$56,H67,修正!H45:H56)</f>
        <v>0.15</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2294</v>
      </c>
      <c r="E68" s="642">
        <f>IF(B48="楼面地价",SUM(E58:E67),'数据-汇总表'!D3)</f>
        <v>156062</v>
      </c>
      <c r="F68" s="643">
        <f>IF(B48="楼面地价",SUM(F58:F67),ROUND(C50*E68/10000,0))</f>
        <v>290172</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2018-12-1</v>
      </c>
      <c r="D70" s="2797">
        <f>EDATE(C70,-3)</f>
        <v>43344</v>
      </c>
      <c r="E70" s="2797">
        <f t="shared" ref="E70:N70" si="17">EDATE(D70,-3)</f>
        <v>43252</v>
      </c>
      <c r="F70" s="2797">
        <f t="shared" si="17"/>
        <v>43160</v>
      </c>
      <c r="G70" s="2797">
        <f t="shared" si="17"/>
        <v>43070</v>
      </c>
      <c r="H70" s="2797">
        <f t="shared" si="17"/>
        <v>42979</v>
      </c>
      <c r="I70" s="2797">
        <f t="shared" si="17"/>
        <v>42887</v>
      </c>
      <c r="J70" s="2797">
        <f t="shared" si="17"/>
        <v>42795</v>
      </c>
      <c r="K70" s="2797">
        <f t="shared" si="17"/>
        <v>42705</v>
      </c>
      <c r="L70" s="2797">
        <f t="shared" si="17"/>
        <v>42614</v>
      </c>
      <c r="M70" s="2797">
        <f t="shared" si="17"/>
        <v>42522</v>
      </c>
      <c r="N70" s="2797">
        <f t="shared" si="17"/>
        <v>42430</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6" customFormat="1" ht="15">
      <c r="A72" s="2566" t="s">
        <v>2530</v>
      </c>
      <c r="B72" s="2567"/>
      <c r="C72" s="2792" t="str">
        <f>YEAR(C70)&amp;"-"&amp;ROUNDUP(MONTH(C70)/3,0)</f>
        <v>2018-4</v>
      </c>
      <c r="D72" s="2799" t="str">
        <f>YEAR(D70)&amp;"-"&amp;ROUNDUP(MONTH(D70)/3,0)</f>
        <v>2018-3</v>
      </c>
      <c r="E72" s="2799" t="str">
        <f t="shared" ref="E72:N72" si="18">YEAR(E70)&amp;"-"&amp;ROUNDUP(MONTH(E70)/3,0)</f>
        <v>2018-2</v>
      </c>
      <c r="F72" s="2799" t="str">
        <f t="shared" si="18"/>
        <v>2018-1</v>
      </c>
      <c r="G72" s="2799" t="str">
        <f t="shared" si="18"/>
        <v>2017-4</v>
      </c>
      <c r="H72" s="2799" t="str">
        <f t="shared" si="18"/>
        <v>2017-3</v>
      </c>
      <c r="I72" s="2799" t="str">
        <f t="shared" si="18"/>
        <v>2017-2</v>
      </c>
      <c r="J72" s="2799" t="str">
        <f t="shared" si="18"/>
        <v>2017-1</v>
      </c>
      <c r="K72" s="2799" t="str">
        <f t="shared" si="18"/>
        <v>2016-4</v>
      </c>
      <c r="L72" s="2799" t="str">
        <f t="shared" si="18"/>
        <v>2016-3</v>
      </c>
      <c r="M72" s="2799" t="str">
        <f t="shared" si="18"/>
        <v>2016-2</v>
      </c>
      <c r="N72" s="2799" t="str">
        <f t="shared" si="18"/>
        <v>2016-1</v>
      </c>
      <c r="O72" s="2157"/>
      <c r="P72" s="2158"/>
      <c r="Q72" s="2159"/>
      <c r="R72" s="2159"/>
      <c r="S72" s="2159"/>
      <c r="T72" s="2159"/>
      <c r="U72" s="2159"/>
      <c r="V72" s="2159"/>
      <c r="W72" s="2159"/>
      <c r="X72" s="2159"/>
      <c r="Y72" s="2159"/>
      <c r="Z72" s="2159"/>
      <c r="AA72" s="2159"/>
      <c r="AB72" s="2159"/>
      <c r="AC72" s="2159"/>
    </row>
    <row r="73" spans="1:29" s="1219" customFormat="1" ht="27" customHeight="1">
      <c r="A73" s="2804" t="s">
        <v>923</v>
      </c>
      <c r="B73" s="478" t="str">
        <f>"北京市平均增长率"&amp;TEXT(SUMIF(基准地价!N21:N25,A73,基准地价!P21:P25),"0.00%")</f>
        <v>北京市平均增长率0.00%</v>
      </c>
      <c r="C73" s="893">
        <v>100</v>
      </c>
      <c r="D73" s="3180">
        <f>C73-$C$74</f>
        <v>99.5</v>
      </c>
      <c r="E73" s="3180">
        <f t="shared" ref="E73:N73" si="19">D73-$C$74</f>
        <v>99</v>
      </c>
      <c r="F73" s="3180">
        <f t="shared" si="19"/>
        <v>98.5</v>
      </c>
      <c r="G73" s="3180">
        <f t="shared" si="19"/>
        <v>98</v>
      </c>
      <c r="H73" s="3180">
        <f t="shared" si="19"/>
        <v>97.5</v>
      </c>
      <c r="I73" s="3180">
        <f t="shared" si="19"/>
        <v>97</v>
      </c>
      <c r="J73" s="3180">
        <f t="shared" si="19"/>
        <v>96.5</v>
      </c>
      <c r="K73" s="3180">
        <f t="shared" si="19"/>
        <v>96</v>
      </c>
      <c r="L73" s="3180">
        <f t="shared" si="19"/>
        <v>95.5</v>
      </c>
      <c r="M73" s="3180">
        <f t="shared" si="19"/>
        <v>95</v>
      </c>
      <c r="N73" s="3180">
        <f t="shared" si="19"/>
        <v>94.5</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94" t="s">
        <v>2644</v>
      </c>
      <c r="B74" s="2803"/>
      <c r="C74" s="3268">
        <v>0.5</v>
      </c>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7">
      <c r="A77" s="663" t="s">
        <v>577</v>
      </c>
      <c r="B77" s="664" t="s">
        <v>534</v>
      </c>
      <c r="C77" s="3181" t="s">
        <v>3037</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3182" t="s">
        <v>3034</v>
      </c>
      <c r="D84" s="1374" t="s">
        <v>3035</v>
      </c>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100</v>
      </c>
      <c r="D85" s="670">
        <v>95</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是否自持</v>
      </c>
      <c r="C86" s="3182" t="s">
        <v>3039</v>
      </c>
      <c r="D86" s="3182" t="s">
        <v>3035</v>
      </c>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v>100</v>
      </c>
      <c r="D87" s="691">
        <v>95</v>
      </c>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2546</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95" t="s">
        <v>2548</v>
      </c>
      <c r="C104" s="2596" t="s">
        <v>2549</v>
      </c>
      <c r="D104" s="2596" t="s">
        <v>2550</v>
      </c>
      <c r="E104" s="2596" t="s">
        <v>2551</v>
      </c>
      <c r="F104" s="2596" t="s">
        <v>2552</v>
      </c>
      <c r="G104" s="2596" t="s">
        <v>2553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82" t="s">
        <v>3040</v>
      </c>
      <c r="D108" s="3182" t="s">
        <v>3041</v>
      </c>
      <c r="E108" s="3182" t="s">
        <v>3042</v>
      </c>
      <c r="F108" s="3182" t="s">
        <v>3043</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3184" t="s">
        <v>3268</v>
      </c>
      <c r="D110" s="3184" t="s">
        <v>3269</v>
      </c>
      <c r="E110" s="3184" t="s">
        <v>3270</v>
      </c>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0(含)-20000</v>
      </c>
      <c r="D118" s="703" t="str">
        <f t="shared" si="25"/>
        <v>20000(含)-50000</v>
      </c>
      <c r="E118" s="703" t="str">
        <f t="shared" si="25"/>
        <v>50000(含)-100000</v>
      </c>
      <c r="F118" s="703" t="str">
        <f t="shared" si="25"/>
        <v>100000(含)-150000</v>
      </c>
      <c r="G118" s="703" t="str">
        <f t="shared" si="25"/>
        <v>150000(含)-</v>
      </c>
      <c r="H118" s="703" t="str">
        <f t="shared" si="25"/>
        <v>(含)-</v>
      </c>
      <c r="I118" s="703" t="str">
        <f t="shared" si="25"/>
        <v>(含)-</v>
      </c>
      <c r="J118" s="3087" t="str">
        <f t="shared" si="25"/>
        <v>(含)-</v>
      </c>
      <c r="K118" s="3087" t="str">
        <f t="shared" si="25"/>
        <v>(含)-</v>
      </c>
      <c r="L118" s="3088" t="str">
        <f t="shared" si="25"/>
        <v>(含)-</v>
      </c>
      <c r="M118" s="308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20000</v>
      </c>
      <c r="E119" s="729">
        <v>50000</v>
      </c>
      <c r="F119" s="729">
        <v>100000</v>
      </c>
      <c r="G119" s="729">
        <v>150000</v>
      </c>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102</v>
      </c>
      <c r="E120" s="725">
        <v>104</v>
      </c>
      <c r="F120" s="725">
        <v>106</v>
      </c>
      <c r="G120" s="725">
        <v>108</v>
      </c>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84" t="s">
        <v>3044</v>
      </c>
      <c r="D121" s="3184" t="s">
        <v>3045</v>
      </c>
      <c r="E121" s="3184" t="s">
        <v>3046</v>
      </c>
      <c r="F121" s="3184" t="s">
        <v>3047</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2423</v>
      </c>
      <c r="C125" s="1374" t="s">
        <v>3048</v>
      </c>
      <c r="D125" s="1374" t="s">
        <v>3050</v>
      </c>
      <c r="E125" s="1374" t="s">
        <v>3051</v>
      </c>
      <c r="F125" s="1374" t="s">
        <v>3052</v>
      </c>
      <c r="G125" s="1374" t="s">
        <v>3053</v>
      </c>
      <c r="H125" s="3184" t="s">
        <v>3055</v>
      </c>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82" t="s">
        <v>3056</v>
      </c>
      <c r="D127" s="3182" t="s">
        <v>3057</v>
      </c>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8" priority="14" stopIfTrue="1" operator="containsText" text="超过">
      <formula>NOT(ISERROR(SEARCH("超过",F53)))</formula>
    </cfRule>
  </conditionalFormatting>
  <conditionalFormatting sqref="J55">
    <cfRule type="containsText" dxfId="147" priority="13" stopIfTrue="1" operator="containsText" text="超过">
      <formula>NOT(ISERROR(SEARCH("超过",J55)))</formula>
    </cfRule>
  </conditionalFormatting>
  <conditionalFormatting sqref="H55">
    <cfRule type="containsText" dxfId="146" priority="12" stopIfTrue="1" operator="containsText" text="超过">
      <formula>NOT(ISERROR(SEARCH("超过",H55)))</formula>
    </cfRule>
  </conditionalFormatting>
  <conditionalFormatting sqref="F55">
    <cfRule type="containsText" dxfId="145" priority="11" stopIfTrue="1" operator="containsText" text="超过">
      <formula>NOT(ISERROR(SEARCH("超过",F55)))</formula>
    </cfRule>
  </conditionalFormatting>
  <conditionalFormatting sqref="F54 H54 J54">
    <cfRule type="containsText" dxfId="144" priority="10" stopIfTrue="1" operator="containsText" text="超过">
      <formula>NOT(ISERROR(SEARCH("超过",F54)))</formula>
    </cfRule>
  </conditionalFormatting>
  <conditionalFormatting sqref="E53">
    <cfRule type="expression" dxfId="143" priority="9" stopIfTrue="1">
      <formula>$F$53="超过30%"</formula>
    </cfRule>
  </conditionalFormatting>
  <conditionalFormatting sqref="G55">
    <cfRule type="expression" dxfId="142" priority="8" stopIfTrue="1">
      <formula>$H$55="超过30%"</formula>
    </cfRule>
  </conditionalFormatting>
  <conditionalFormatting sqref="E54">
    <cfRule type="expression" dxfId="141" priority="7" stopIfTrue="1">
      <formula>$F$54="超过20%"</formula>
    </cfRule>
  </conditionalFormatting>
  <conditionalFormatting sqref="E55">
    <cfRule type="expression" dxfId="140" priority="6" stopIfTrue="1">
      <formula>$F$55="超过30%"</formula>
    </cfRule>
  </conditionalFormatting>
  <conditionalFormatting sqref="G53">
    <cfRule type="expression" dxfId="139" priority="5" stopIfTrue="1">
      <formula>$H$55+$H$53="超过30%"</formula>
    </cfRule>
  </conditionalFormatting>
  <conditionalFormatting sqref="G54">
    <cfRule type="expression" dxfId="138" priority="4" stopIfTrue="1">
      <formula>$H$54="超过20%"</formula>
    </cfRule>
  </conditionalFormatting>
  <conditionalFormatting sqref="I53">
    <cfRule type="expression" dxfId="137" priority="3" stopIfTrue="1">
      <formula>$J$53="超过30%"</formula>
    </cfRule>
  </conditionalFormatting>
  <conditionalFormatting sqref="I54">
    <cfRule type="expression" dxfId="136" priority="2" stopIfTrue="1">
      <formula>$J$54="超过20%"</formula>
    </cfRule>
  </conditionalFormatting>
  <conditionalFormatting sqref="I55">
    <cfRule type="expression" dxfId="13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2"/>
  <sheetViews>
    <sheetView workbookViewId="0">
      <selection activeCell="D39" sqref="D39"/>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1">
        <f>MATCH(B1,'数据-取费表'!A6:A16,0)+5</f>
        <v>13</v>
      </c>
    </row>
    <row r="2" spans="1:31" s="2039" customFormat="1" ht="18" customHeight="1">
      <c r="A2" s="2099" t="s">
        <v>467</v>
      </c>
      <c r="B2" s="2103">
        <f ca="1">C36</f>
        <v>333218</v>
      </c>
      <c r="C2" s="2102"/>
      <c r="D2" s="2102"/>
      <c r="E2" s="2102"/>
      <c r="F2" s="2102"/>
      <c r="G2" s="2102"/>
      <c r="H2" s="2102"/>
      <c r="I2" s="2102"/>
      <c r="J2" s="2102"/>
      <c r="K2" s="2102"/>
    </row>
    <row r="3" spans="1:31" s="2039" customFormat="1" ht="18" customHeight="1">
      <c r="A3" s="2104" t="s">
        <v>1685</v>
      </c>
      <c r="B3" s="2105">
        <f ca="1">ROUND(B2*10000/IF(B1="",'数据-汇总表'!E3,INDIRECT("'数据-取费表'!K"&amp;$K$1)),0)</f>
        <v>19622</v>
      </c>
      <c r="C3" s="2102"/>
      <c r="D3" s="2102"/>
      <c r="E3" s="2102"/>
      <c r="F3" s="2102"/>
      <c r="G3" s="2102"/>
      <c r="H3" s="2102"/>
      <c r="I3" s="2102"/>
      <c r="J3" s="2102"/>
      <c r="K3" s="2102"/>
    </row>
    <row r="4" spans="1:31" s="2039" customFormat="1" ht="18" customHeight="1">
      <c r="A4" s="425" t="s">
        <v>468</v>
      </c>
      <c r="B4" s="426">
        <f ca="1">ROUND(B2*10000/IF(B1="",'数据-汇总表'!D3,INDIRECT("'数据-取费表'!R"&amp;$K$1)),0)</f>
        <v>53280</v>
      </c>
      <c r="C4" s="427"/>
      <c r="D4" s="421"/>
      <c r="E4" s="421"/>
      <c r="F4" s="421"/>
      <c r="G4" s="421"/>
      <c r="H4" s="421"/>
      <c r="I4" s="421"/>
      <c r="J4" s="421"/>
      <c r="K4" s="421"/>
    </row>
    <row r="5" spans="1:31" s="2039" customFormat="1" ht="18" customHeight="1" thickBot="1">
      <c r="A5" s="428"/>
      <c r="B5" s="429">
        <f ca="1">ROUND(B2/(IF(B1="",'数据-汇总表'!D3,INDIRECT("'数据-取费表'!R"&amp;$K$1))/666.67),0)</f>
        <v>3552</v>
      </c>
      <c r="C5" s="430" t="s">
        <v>469</v>
      </c>
      <c r="D5" s="421"/>
      <c r="E5" s="421"/>
      <c r="F5" s="421"/>
      <c r="G5" s="421"/>
      <c r="H5" s="421"/>
      <c r="I5" s="421"/>
      <c r="J5" s="421"/>
      <c r="K5" s="421"/>
    </row>
    <row r="6" spans="1:31" s="2109" customFormat="1" ht="16.5" customHeight="1">
      <c r="A6" s="2826" t="s">
        <v>1843</v>
      </c>
      <c r="B6" s="2827"/>
      <c r="C6" s="2828">
        <f ca="1">SUM(C10:K10)</f>
        <v>509722</v>
      </c>
      <c r="D6" s="2827"/>
      <c r="E6" s="2827"/>
      <c r="F6" s="2827"/>
      <c r="G6" s="2827"/>
      <c r="H6" s="2827"/>
      <c r="I6" s="2827"/>
      <c r="J6" s="2827"/>
      <c r="K6" s="2829"/>
    </row>
    <row r="7" spans="1:31" s="2111" customFormat="1" ht="25.5">
      <c r="A7" s="2830" t="s">
        <v>470</v>
      </c>
      <c r="B7" s="2831" t="s">
        <v>471</v>
      </c>
      <c r="C7" s="435" t="s">
        <v>3197</v>
      </c>
      <c r="D7" s="435" t="s">
        <v>3199</v>
      </c>
      <c r="E7" s="435" t="s">
        <v>3201</v>
      </c>
      <c r="F7" s="435" t="s">
        <v>3033</v>
      </c>
      <c r="G7" s="435" t="s">
        <v>35</v>
      </c>
      <c r="H7" s="435" t="s">
        <v>3072</v>
      </c>
      <c r="I7" s="435" t="s">
        <v>3229</v>
      </c>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32">
        <v>60508</v>
      </c>
      <c r="D8" s="2832">
        <f>C8</f>
        <v>60508</v>
      </c>
      <c r="E8" s="2832">
        <f ca="1">不动产收益法!B3</f>
        <v>25549</v>
      </c>
      <c r="F8" s="2832"/>
      <c r="G8" s="2832">
        <f ca="1">'不动产收益法（车库）'!B3</f>
        <v>6156</v>
      </c>
      <c r="H8" s="2832">
        <f ca="1">'不动产收益法（仓储）'!B3</f>
        <v>10083</v>
      </c>
      <c r="I8" s="3206">
        <f>[1]假设开发法!$I$6</f>
        <v>30254</v>
      </c>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37366.439999999988</v>
      </c>
      <c r="D9" s="440">
        <f>SUMIF('数据-汇总表'!$C19:$C33,'剩余法-待开发'!D7,'数据-汇总表'!$E19:$E33)</f>
        <v>3473.1799999999967</v>
      </c>
      <c r="E9" s="440">
        <f>SUMIF('数据-汇总表'!$C19:$C33,'剩余法-待开发'!E7,'数据-汇总表'!$E19:$E33)</f>
        <v>23770.38</v>
      </c>
      <c r="F9" s="440">
        <f>SUMIF('数据-汇总表'!$C19:$C33,'剩余法-待开发'!F7,'数据-汇总表'!$E19:$E33)</f>
        <v>0</v>
      </c>
      <c r="G9" s="440">
        <f>SUMIF('数据-汇总表'!$C19:$C33,'剩余法-待开发'!G7,'数据-汇总表'!$E19:$E33)</f>
        <v>26123.5</v>
      </c>
      <c r="H9" s="440">
        <f>SUMIF('数据-汇总表'!$C19:$C33,'剩余法-待开发'!H7,'数据-汇总表'!$E19:$E33)</f>
        <v>5874.31</v>
      </c>
      <c r="I9" s="440">
        <f>SUMIF('数据-汇总表'!$C19:$C33,'剩余法-待开发'!I7,'数据-汇总表'!$E19:$E33)</f>
        <v>59454.19</v>
      </c>
      <c r="J9" s="440">
        <f>SUMIF('数据-汇总表'!$C19:$C33,'剩余法-待开发'!J7,'数据-汇总表'!$E19:$E33)</f>
        <v>0</v>
      </c>
      <c r="K9" s="441">
        <f>SUMIF('数据-汇总表'!$C19:$C33,'剩余法-待开发'!K7,'数据-汇总表'!$E19:$E33)</f>
        <v>0</v>
      </c>
      <c r="L9" s="2112">
        <v>684</v>
      </c>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6">
        <f>ROUND(C8*C9/10000,0)</f>
        <v>226097</v>
      </c>
      <c r="D10" s="3026">
        <f>ROUND(D8*D9/10000,0)</f>
        <v>21016</v>
      </c>
      <c r="E10" s="3026">
        <f ca="1">不动产收益法!B2</f>
        <v>60731</v>
      </c>
      <c r="F10" s="3026"/>
      <c r="G10" s="3026">
        <f ca="1">'不动产收益法（车库）'!B2</f>
        <v>16082</v>
      </c>
      <c r="H10" s="3026">
        <f ca="1">'不动产收益法（仓储）'!B2</f>
        <v>5923</v>
      </c>
      <c r="I10" s="3026">
        <f>ROUND(I8*I9/10000,0)</f>
        <v>179873</v>
      </c>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c r="L11" s="2109">
        <f ca="1">G10/L9</f>
        <v>23.511695906432749</v>
      </c>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49">
        <f ca="1">IF(B1="",'数据-取费表'!P16,INDIRECT("'数据-取费表'!p"&amp;$K$1)+INDIRECT("'数据-取费表'!t"&amp;$K$1))</f>
        <v>50856</v>
      </c>
      <c r="D13" s="2842"/>
      <c r="E13" s="2843"/>
      <c r="F13" s="2844"/>
      <c r="G13" s="2810"/>
      <c r="H13" s="2811"/>
      <c r="I13" s="2811"/>
      <c r="J13" s="2811"/>
      <c r="K13" s="2812"/>
    </row>
    <row r="14" spans="1:31" s="2114" customFormat="1" ht="13.5" customHeight="1">
      <c r="A14" s="2840" t="s">
        <v>1850</v>
      </c>
      <c r="B14" s="2841" t="s">
        <v>480</v>
      </c>
      <c r="C14" s="53">
        <f ca="1">ROUND(C13*F14,0)</f>
        <v>1526</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775</v>
      </c>
      <c r="D15" s="2842"/>
      <c r="E15" s="2843"/>
      <c r="F15" s="2845">
        <f>'数据-取费表'!B34</f>
        <v>0.03</v>
      </c>
      <c r="G15" s="2810" t="s">
        <v>483</v>
      </c>
      <c r="H15" s="2811"/>
      <c r="I15" s="2811"/>
      <c r="J15" s="2811"/>
      <c r="K15" s="2812"/>
    </row>
    <row r="16" spans="1:31" s="2115" customFormat="1" ht="13.5" customHeight="1">
      <c r="A16" s="2840" t="s">
        <v>1852</v>
      </c>
      <c r="B16" s="2841" t="s">
        <v>484</v>
      </c>
      <c r="C16" s="53">
        <f ca="1">ROUND(D16*E16/10000,0)</f>
        <v>3396</v>
      </c>
      <c r="D16" s="2842">
        <f ca="1">IF(B1="",'数据-汇总表'!E3,INDIRECT("'数据-取费表'!K"&amp;$K$1)+INDIRECT("'数据-取费表'!S"&amp;$K$1))</f>
        <v>169816</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763</v>
      </c>
      <c r="D17" s="474"/>
      <c r="E17" s="2846"/>
      <c r="F17" s="2847">
        <f>'数据-取费表'!B36</f>
        <v>1.4999999999999999E-2</v>
      </c>
      <c r="G17" s="260" t="s">
        <v>486</v>
      </c>
      <c r="H17" s="2813"/>
      <c r="I17" s="2813"/>
      <c r="J17" s="2813"/>
      <c r="K17" s="278"/>
    </row>
    <row r="18" spans="1:14" s="2114" customFormat="1" ht="13.5" customHeight="1">
      <c r="A18" s="2848" t="s">
        <v>1854</v>
      </c>
      <c r="B18" s="2849" t="s">
        <v>487</v>
      </c>
      <c r="C18" s="2850">
        <f ca="1">SUM(C13:C17)</f>
        <v>57316</v>
      </c>
      <c r="D18" s="2851"/>
      <c r="E18" s="467"/>
      <c r="F18" s="467"/>
      <c r="G18" s="2814" t="s">
        <v>2428</v>
      </c>
      <c r="H18" s="2815"/>
      <c r="I18" s="2815"/>
      <c r="J18" s="2815"/>
      <c r="K18" s="2816"/>
    </row>
    <row r="19" spans="1:14" s="2114" customFormat="1" ht="13.5" customHeight="1">
      <c r="A19" s="2848" t="s">
        <v>1855</v>
      </c>
      <c r="B19" s="2849" t="s">
        <v>488</v>
      </c>
      <c r="C19" s="2806">
        <f ca="1">ROUND(D19*E19/10000,0)</f>
        <v>1698</v>
      </c>
      <c r="D19" s="2852">
        <f ca="1">D16</f>
        <v>169816</v>
      </c>
      <c r="E19" s="2806">
        <f>'数据-取费表'!B32</f>
        <v>100</v>
      </c>
      <c r="F19" s="467"/>
      <c r="G19" s="2810" t="s">
        <v>489</v>
      </c>
      <c r="H19" s="2811"/>
      <c r="I19" s="2815"/>
      <c r="J19" s="2815"/>
      <c r="K19" s="2816"/>
    </row>
    <row r="20" spans="1:14" s="2114" customFormat="1" ht="13.5" customHeight="1">
      <c r="A20" s="2848" t="s">
        <v>1856</v>
      </c>
      <c r="B20" s="2849" t="s">
        <v>490</v>
      </c>
      <c r="C20" s="2806">
        <f ca="1">C21+C22-IF(B1="",'数据-取费表'!B29,IF(G20="已全部缴纳",C21+C22,H20))</f>
        <v>0</v>
      </c>
      <c r="D20" s="2852"/>
      <c r="E20" s="2806"/>
      <c r="F20" s="2853"/>
      <c r="G20" s="3083"/>
      <c r="H20" s="2808"/>
      <c r="I20" s="2809" t="s">
        <v>2648</v>
      </c>
      <c r="J20" s="2815"/>
      <c r="K20" s="2816"/>
    </row>
    <row r="21" spans="1:14" s="2114" customFormat="1" ht="13.5" customHeight="1">
      <c r="A21" s="2840" t="s">
        <v>1857</v>
      </c>
      <c r="B21" s="2841" t="s">
        <v>491</v>
      </c>
      <c r="C21" s="53">
        <f ca="1">ROUND(D21*E21/10000,0)</f>
        <v>0</v>
      </c>
      <c r="D21" s="2842">
        <f ca="1">IF(B1="",'数据-汇总表'!E5,IF(INDIRECT("'数据-取费表'!c"&amp;$K$1)="住宅",INDIRECT("'数据-取费表'!k"&amp;$K$1),0))</f>
        <v>64609.999999999985</v>
      </c>
      <c r="E21" s="53">
        <f>'数据-取费表'!B27</f>
        <v>0</v>
      </c>
      <c r="F21" s="2845"/>
      <c r="G21" s="26"/>
      <c r="H21" s="51"/>
      <c r="I21" s="51"/>
      <c r="J21" s="51"/>
      <c r="K21" s="2817"/>
    </row>
    <row r="22" spans="1:14" s="2114" customFormat="1" ht="13.5" customHeight="1">
      <c r="A22" s="2840" t="s">
        <v>1858</v>
      </c>
      <c r="B22" s="2841" t="s">
        <v>492</v>
      </c>
      <c r="C22" s="53">
        <f ca="1">ROUND(D22*E22/10000,0)</f>
        <v>0</v>
      </c>
      <c r="D22" s="2842">
        <f ca="1">IF(B1="",'数据-汇总表'!E6,IF(INDIRECT("'数据-取费表'!c"&amp;$K$1)="住宅",INDIRECT("'数据-取费表'!s"&amp;$K$1),INDIRECT("'数据-取费表'!k"&amp;$K$1)+INDIRECT("'数据-取费表'!s"&amp;$K$1)))</f>
        <v>105206.00000000001</v>
      </c>
      <c r="E22" s="53">
        <f>'数据-取费表'!B28</f>
        <v>0</v>
      </c>
      <c r="F22" s="2845"/>
      <c r="G22" s="26"/>
      <c r="H22" s="51"/>
      <c r="I22" s="51"/>
      <c r="J22" s="51"/>
      <c r="K22" s="2817"/>
    </row>
    <row r="23" spans="1:14" s="2114" customFormat="1" ht="13.5" customHeight="1">
      <c r="A23" s="2848" t="s">
        <v>1859</v>
      </c>
      <c r="B23" s="3032" t="s">
        <v>2831</v>
      </c>
      <c r="C23" s="2850">
        <f ca="1">ROUND((C18+C19+C20)*F23,0)</f>
        <v>1180</v>
      </c>
      <c r="D23" s="467"/>
      <c r="E23" s="467"/>
      <c r="F23" s="2854">
        <f>'数据-取费表'!B37</f>
        <v>0.02</v>
      </c>
      <c r="G23" s="2810" t="s">
        <v>2429</v>
      </c>
      <c r="H23" s="2811"/>
      <c r="I23" s="2811"/>
      <c r="J23" s="2811"/>
      <c r="K23" s="2812"/>
      <c r="L23" s="2116"/>
      <c r="M23" s="2116"/>
      <c r="N23" s="2116"/>
    </row>
    <row r="24" spans="1:14" s="2114" customFormat="1" ht="13.5" customHeight="1">
      <c r="A24" s="2848" t="s">
        <v>1860</v>
      </c>
      <c r="B24" s="3032" t="s">
        <v>2834</v>
      </c>
      <c r="C24" s="2850">
        <f ca="1">ROUND(C6*F24,0)</f>
        <v>10194</v>
      </c>
      <c r="D24" s="474"/>
      <c r="E24" s="472"/>
      <c r="F24" s="2854">
        <f>'数据-取费表'!B38</f>
        <v>0.02</v>
      </c>
      <c r="G24" s="2819" t="s">
        <v>499</v>
      </c>
      <c r="H24" s="2813"/>
      <c r="I24" s="2813"/>
      <c r="J24" s="2813"/>
      <c r="K24" s="278"/>
      <c r="L24" s="2116"/>
      <c r="M24" s="2116"/>
      <c r="N24" s="2116"/>
    </row>
    <row r="25" spans="1:14" s="2117" customFormat="1" ht="13.5" customHeight="1">
      <c r="A25" s="2848" t="s">
        <v>1861</v>
      </c>
      <c r="B25" s="3032" t="s">
        <v>2832</v>
      </c>
      <c r="C25" s="466">
        <f>ROUND(F25/(1+'数据-取费表'!C42),4)</f>
        <v>2.9000000000000001E-2</v>
      </c>
      <c r="D25" s="461" t="s">
        <v>2826</v>
      </c>
      <c r="E25" s="468"/>
      <c r="F25" s="2854">
        <f>'数据-取费表'!B48+'数据-取费表'!B49</f>
        <v>3.0499999999999999E-2</v>
      </c>
      <c r="G25" s="2818" t="s">
        <v>2289</v>
      </c>
      <c r="H25" s="2811"/>
      <c r="I25" s="2811"/>
      <c r="J25" s="2811"/>
      <c r="K25" s="2812"/>
    </row>
    <row r="26" spans="1:14" s="2116" customFormat="1" ht="13.5" customHeight="1">
      <c r="A26" s="2848" t="s">
        <v>1862</v>
      </c>
      <c r="B26" s="3033" t="s">
        <v>2833</v>
      </c>
      <c r="C26" s="2855">
        <f ca="1">C28</f>
        <v>3343</v>
      </c>
      <c r="D26" s="466">
        <f ca="1">C27</f>
        <v>0.10009999999999999</v>
      </c>
      <c r="E26" s="468" t="s">
        <v>495</v>
      </c>
      <c r="F26" s="470">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1857</v>
      </c>
      <c r="B27" s="2856" t="s">
        <v>496</v>
      </c>
      <c r="C27" s="2857">
        <f ca="1">ROUND(IF('数据-取费表'!B22&lt;=1,(1+C25)*F26*'数据-取费表'!B24,(1+C25)*(POWER((1+F26),'数据-取费表'!B24)-1)),4)</f>
        <v>0.10009999999999999</v>
      </c>
      <c r="D27" s="471"/>
      <c r="E27" s="472"/>
      <c r="F27" s="473"/>
      <c r="G27" s="2570" t="str">
        <f>IF('数据-取费表'!B22&lt;=1,"（1+取得税费率/(1+5%)）×年利率×建设期","（1+取得税费率）/(1+5%)×((1+年利率)^建设期-1)")</f>
        <v>（1+取得税费率）/(1+5%)×((1+年利率)^建设期-1)</v>
      </c>
      <c r="H27" s="2813"/>
      <c r="I27" s="2813"/>
      <c r="J27" s="2813"/>
      <c r="K27" s="278"/>
    </row>
    <row r="28" spans="1:14" s="2118" customFormat="1" ht="13.5" customHeight="1">
      <c r="A28" s="802" t="s">
        <v>1858</v>
      </c>
      <c r="B28" s="2856" t="s">
        <v>2835</v>
      </c>
      <c r="C28" s="2858">
        <f ca="1">ROUND(IF('数据-取费表'!B22&lt;=1,(C18+C19+C20+C23+C24)*F26*'数据-取费表'!B24/2,(C18+C19+C20+C23+C24)*(POWER((1+F26),'数据-取费表'!B24/2)-1)),0)</f>
        <v>3343</v>
      </c>
      <c r="D28" s="471"/>
      <c r="E28" s="472"/>
      <c r="F28" s="473"/>
      <c r="G28" s="2570" t="str">
        <f>IF('数据-取费表'!B22&lt;=1,"（1）-（4）项×年利率×建设期÷2","（1）-（4）项×((1+年利率)^(建设期÷2)-1)")</f>
        <v>（1）-（4）项×((1+年利率)^(建设期÷2)-1)</v>
      </c>
      <c r="H28" s="2813"/>
      <c r="I28" s="2813"/>
      <c r="J28" s="2813"/>
      <c r="K28" s="278"/>
    </row>
    <row r="29" spans="1:14" s="2118" customFormat="1" ht="13.5" customHeight="1">
      <c r="A29" s="2859" t="s">
        <v>1863</v>
      </c>
      <c r="B29" s="2849" t="s">
        <v>497</v>
      </c>
      <c r="C29" s="2850">
        <f ca="1">ROUND(C6*F29/(1+'数据-取费表'!C42),0)</f>
        <v>26700</v>
      </c>
      <c r="D29" s="467"/>
      <c r="E29" s="467"/>
      <c r="F29" s="3034">
        <f>'数据-取费表'!B41</f>
        <v>5.5000000000000007E-2</v>
      </c>
      <c r="G29" s="2819" t="s">
        <v>498</v>
      </c>
      <c r="H29" s="2811"/>
      <c r="I29" s="2811"/>
      <c r="J29" s="2811"/>
      <c r="K29" s="2812"/>
    </row>
    <row r="30" spans="1:14" s="2119" customFormat="1" ht="13.5" customHeight="1">
      <c r="A30" s="1634" t="s">
        <v>1864</v>
      </c>
      <c r="B30" s="2860" t="s">
        <v>500</v>
      </c>
      <c r="C30" s="2855">
        <f ca="1">C31</f>
        <v>100431</v>
      </c>
      <c r="D30" s="476">
        <f ca="1">C32</f>
        <v>0.12909999999999999</v>
      </c>
      <c r="E30" s="468" t="s">
        <v>495</v>
      </c>
      <c r="F30" s="470"/>
      <c r="G30" s="2818" t="s">
        <v>2960</v>
      </c>
      <c r="H30" s="2811"/>
      <c r="I30" s="2811"/>
      <c r="J30" s="2811"/>
      <c r="K30" s="2812"/>
    </row>
    <row r="31" spans="1:14" s="2118" customFormat="1" ht="13.5" customHeight="1">
      <c r="A31" s="802" t="s">
        <v>1857</v>
      </c>
      <c r="B31" s="2856"/>
      <c r="C31" s="449">
        <f ca="1">C18+C19+C20+C23+C24+C26+C29</f>
        <v>100431</v>
      </c>
      <c r="D31" s="471"/>
      <c r="E31" s="472"/>
      <c r="F31" s="473"/>
      <c r="G31" s="260"/>
      <c r="H31" s="2813"/>
      <c r="I31" s="2813"/>
      <c r="J31" s="2813"/>
      <c r="K31" s="278"/>
    </row>
    <row r="32" spans="1:14" s="2118" customFormat="1" ht="13.5" customHeight="1">
      <c r="A32" s="802" t="s">
        <v>1858</v>
      </c>
      <c r="B32" s="2856"/>
      <c r="C32" s="53">
        <f ca="1">ROUND(C25+D26,4)</f>
        <v>0.12909999999999999</v>
      </c>
      <c r="D32" s="471"/>
      <c r="E32" s="472"/>
      <c r="F32" s="473"/>
      <c r="G32" s="260"/>
      <c r="H32" s="2813"/>
      <c r="I32" s="2813"/>
      <c r="J32" s="2813"/>
      <c r="K32" s="278"/>
    </row>
    <row r="33" spans="1:11" s="2120" customFormat="1" ht="13.5" customHeight="1">
      <c r="A33" s="3031" t="s">
        <v>2830</v>
      </c>
      <c r="B33" s="3029" t="s">
        <v>2828</v>
      </c>
      <c r="C33" s="477">
        <f ca="1">C35</f>
        <v>5631</v>
      </c>
      <c r="D33" s="466">
        <f ca="1">C34</f>
        <v>8.2299999999999998E-2</v>
      </c>
      <c r="E33" s="468" t="s">
        <v>495</v>
      </c>
      <c r="F33" s="478">
        <f ca="1">IF(B1="",'数据-取费表'!Q16,INDIRECT("'数据-取费表'!q"&amp;$K$1))</f>
        <v>0.08</v>
      </c>
      <c r="G33" s="2814"/>
      <c r="H33" s="2815"/>
      <c r="I33" s="2815"/>
      <c r="J33" s="2815"/>
      <c r="K33" s="2816"/>
    </row>
    <row r="34" spans="1:11" s="2121" customFormat="1" ht="13.5" customHeight="1">
      <c r="A34" s="374" t="s">
        <v>1857</v>
      </c>
      <c r="B34" s="2861" t="s">
        <v>501</v>
      </c>
      <c r="C34" s="471">
        <f ca="1">ROUND((1+C25)*F33,4)</f>
        <v>8.2299999999999998E-2</v>
      </c>
      <c r="D34" s="471"/>
      <c r="E34" s="472"/>
      <c r="F34" s="479"/>
      <c r="G34" s="260" t="s">
        <v>2290</v>
      </c>
      <c r="H34" s="2813"/>
      <c r="I34" s="2813"/>
      <c r="J34" s="2813"/>
      <c r="K34" s="278"/>
    </row>
    <row r="35" spans="1:11" s="2121" customFormat="1" ht="13.5" customHeight="1" thickBot="1">
      <c r="A35" s="1635" t="s">
        <v>1858</v>
      </c>
      <c r="B35" s="3030" t="s">
        <v>2836</v>
      </c>
      <c r="C35" s="1627">
        <f ca="1">ROUND((C18+C19+C20+C23+C24)*F33,0)</f>
        <v>5631</v>
      </c>
      <c r="D35" s="1628"/>
      <c r="E35" s="2862"/>
      <c r="F35" s="1629"/>
      <c r="G35" s="2820"/>
      <c r="H35" s="2821"/>
      <c r="I35" s="2821"/>
      <c r="J35" s="2821"/>
      <c r="K35" s="2822"/>
    </row>
    <row r="36" spans="1:11" s="2083" customFormat="1" ht="13.5" customHeight="1" thickBot="1">
      <c r="A36" s="283" t="s">
        <v>1845</v>
      </c>
      <c r="B36" s="2824"/>
      <c r="C36" s="2863">
        <f ca="1">ROUND((C6-C30-C33)/(1+D30+D33),0)</f>
        <v>333218</v>
      </c>
      <c r="D36" s="2824"/>
      <c r="E36" s="2824"/>
      <c r="F36" s="2824"/>
      <c r="G36" s="2823" t="s">
        <v>2837</v>
      </c>
      <c r="H36" s="2824"/>
      <c r="I36" s="2824"/>
      <c r="J36" s="2824"/>
      <c r="K36" s="2825"/>
    </row>
    <row r="38" spans="1:11" ht="12.75" customHeight="1"/>
    <row r="42" spans="1:11">
      <c r="C42" s="3207">
        <f>70.5+4.9008</f>
        <v>75.400800000000004</v>
      </c>
      <c r="D42" s="3208">
        <f>ROUND(C42*(1+3.05%),4)</f>
        <v>77.700500000000005</v>
      </c>
    </row>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80" t="str">
        <f>项目基本情况!B1</f>
        <v>北京市顺义区高丽营镇于庄03-21地块出让国有建设用地使用权抵押价格预评估</v>
      </c>
      <c r="C37" s="3280"/>
      <c r="D37" s="3280"/>
      <c r="E37" s="3280"/>
      <c r="F37" s="3280"/>
      <c r="G37" s="3280"/>
      <c r="H37" s="3280"/>
      <c r="I37" s="3280"/>
    </row>
    <row r="38" spans="1:9">
      <c r="A38" s="1655"/>
      <c r="B38" s="1655"/>
    </row>
    <row r="39" spans="1:9">
      <c r="A39" s="1653" t="s">
        <v>1902</v>
      </c>
      <c r="B39" s="1653" t="s">
        <v>2046</v>
      </c>
    </row>
    <row r="40" spans="1:9">
      <c r="A40" s="1653"/>
      <c r="B40" s="1653" t="str">
        <f>项目基本情况!B5</f>
        <v xml:space="preserve">北京万龙华房地产开发有限公司 </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吴薇、郑燚</v>
      </c>
    </row>
    <row r="47" spans="1:9">
      <c r="A47" s="1653"/>
      <c r="B47" s="1653"/>
    </row>
    <row r="48" spans="1:9">
      <c r="A48" s="1653" t="s">
        <v>1902</v>
      </c>
      <c r="B48" s="1653" t="s">
        <v>2048</v>
      </c>
    </row>
    <row r="49" spans="2:2">
      <c r="B49" s="1653" t="str">
        <f>"康正预评字"&amp;项目基本情况!B2&amp;"号"</f>
        <v>康正预评字2018-1-0667号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07"/>
      <c r="C1" s="2102"/>
      <c r="D1" s="2102"/>
      <c r="E1" s="2102"/>
      <c r="F1" s="2102"/>
      <c r="G1" s="2102"/>
      <c r="H1" s="2102"/>
      <c r="I1" s="2102"/>
      <c r="J1" s="2102"/>
      <c r="K1" s="421">
        <f>MATCH(B1,'数据-取费表'!A6:A16,0)+5</f>
        <v>13</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8"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2649</v>
      </c>
      <c r="B6" s="432"/>
      <c r="C6" s="1622">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1848</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1865</v>
      </c>
      <c r="B11" s="1620"/>
      <c r="C11" s="1620"/>
      <c r="D11" s="1620"/>
      <c r="E11" s="1620"/>
      <c r="F11" s="1620"/>
      <c r="G11" s="1620"/>
      <c r="H11" s="1620"/>
      <c r="I11" s="1620"/>
      <c r="J11" s="1620"/>
      <c r="K11" s="1621"/>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2" t="s">
        <v>1849</v>
      </c>
      <c r="B13" s="448" t="s">
        <v>479</v>
      </c>
      <c r="C13" s="449">
        <f ca="1">IF(B1="",'数据-取费表'!M16,INDIRECT("'数据-取费表'!M"&amp;$K$1)+INDIRECT("'数据-取费表'!t"&amp;$K$1))</f>
        <v>50856</v>
      </c>
      <c r="D13" s="450"/>
      <c r="E13" s="364"/>
      <c r="F13" s="451"/>
      <c r="G13" s="443"/>
      <c r="H13" s="446"/>
      <c r="I13" s="446"/>
      <c r="J13" s="446"/>
      <c r="K13" s="447"/>
    </row>
    <row r="14" spans="1:41" s="2114" customFormat="1" ht="13.5" customHeight="1">
      <c r="A14" s="1632" t="s">
        <v>1850</v>
      </c>
      <c r="B14" s="448" t="s">
        <v>480</v>
      </c>
      <c r="C14" s="53">
        <f ca="1">ROUND(C13*F14,0)</f>
        <v>1526</v>
      </c>
      <c r="D14" s="450"/>
      <c r="E14" s="364"/>
      <c r="F14" s="452">
        <f>'数据-取费表'!B33</f>
        <v>0.03</v>
      </c>
      <c r="G14" s="443" t="s">
        <v>502</v>
      </c>
      <c r="H14" s="446"/>
      <c r="I14" s="446"/>
      <c r="J14" s="446"/>
      <c r="K14" s="447"/>
    </row>
    <row r="15" spans="1:41" s="2114" customFormat="1" ht="13.5" customHeight="1">
      <c r="A15" s="1632" t="s">
        <v>1851</v>
      </c>
      <c r="B15" s="448" t="s">
        <v>482</v>
      </c>
      <c r="C15" s="53">
        <f ca="1">ROUND(IF(B1="",SUMIF('数据-取费表'!C:C,"住宅",'数据-取费表'!M:M)*F15,IF(INDIRECT("'数据-取费表'!c"&amp;$K$1)="住宅",INDIRECT("'数据-取费表'!M"&amp;$K$1)*F15,0)),0)</f>
        <v>775</v>
      </c>
      <c r="D15" s="450"/>
      <c r="E15" s="364"/>
      <c r="F15" s="452">
        <f>'数据-取费表'!B34</f>
        <v>0.03</v>
      </c>
      <c r="G15" s="443" t="s">
        <v>502</v>
      </c>
      <c r="H15" s="446"/>
      <c r="I15" s="446"/>
      <c r="J15" s="446"/>
      <c r="K15" s="447"/>
    </row>
    <row r="16" spans="1:41" s="2115" customFormat="1" ht="13.5" customHeight="1">
      <c r="A16" s="1632" t="s">
        <v>1852</v>
      </c>
      <c r="B16" s="448" t="s">
        <v>484</v>
      </c>
      <c r="C16" s="53">
        <f ca="1">ROUND(D16*E16/10000,0)</f>
        <v>3396</v>
      </c>
      <c r="D16" s="450">
        <f ca="1">IF(B1="",'数据-汇总表'!E3,INDIRECT("'数据-取费表'!K"&amp;$K$1)+INDIRECT("'数据-取费表'!S"&amp;$K$1))</f>
        <v>169816</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1853</v>
      </c>
      <c r="B17" s="448" t="s">
        <v>485</v>
      </c>
      <c r="C17" s="453">
        <f ca="1">ROUND(C13*F17,0)</f>
        <v>763</v>
      </c>
      <c r="D17" s="454"/>
      <c r="E17" s="453"/>
      <c r="F17" s="455">
        <f>'数据-取费表'!B36</f>
        <v>1.4999999999999999E-2</v>
      </c>
      <c r="G17" s="443" t="s">
        <v>502</v>
      </c>
      <c r="H17" s="456"/>
      <c r="I17" s="456"/>
      <c r="J17" s="456"/>
      <c r="K17" s="457"/>
    </row>
    <row r="18" spans="1:14" s="2117" customFormat="1" ht="13.5" customHeight="1">
      <c r="A18" s="1633" t="s">
        <v>1854</v>
      </c>
      <c r="B18" s="458" t="s">
        <v>487</v>
      </c>
      <c r="C18" s="459">
        <f ca="1">SUM(C13:C17)</f>
        <v>57316</v>
      </c>
      <c r="D18" s="460"/>
      <c r="E18" s="461"/>
      <c r="F18" s="461"/>
      <c r="G18" s="1326" t="s">
        <v>2430</v>
      </c>
      <c r="H18" s="446"/>
      <c r="I18" s="446"/>
      <c r="J18" s="446"/>
      <c r="K18" s="447"/>
    </row>
    <row r="19" spans="1:14" s="2117" customFormat="1" ht="13.5" customHeight="1">
      <c r="A19" s="1633" t="s">
        <v>1855</v>
      </c>
      <c r="B19" s="458" t="s">
        <v>493</v>
      </c>
      <c r="C19" s="459">
        <f ca="1">ROUND(C18*F19,0)</f>
        <v>1146</v>
      </c>
      <c r="D19" s="461"/>
      <c r="E19" s="461"/>
      <c r="F19" s="465">
        <f>'数据-取费表'!B37</f>
        <v>0.02</v>
      </c>
      <c r="G19" s="443" t="s">
        <v>503</v>
      </c>
      <c r="H19" s="446"/>
      <c r="I19" s="446"/>
      <c r="J19" s="446"/>
      <c r="K19" s="447"/>
      <c r="L19" s="2119"/>
      <c r="M19" s="2119"/>
      <c r="N19" s="2119"/>
    </row>
    <row r="20" spans="1:14" s="2117" customFormat="1" ht="13.5" customHeight="1">
      <c r="A20" s="1633" t="s">
        <v>1856</v>
      </c>
      <c r="B20" s="458" t="s">
        <v>504</v>
      </c>
      <c r="C20" s="3027">
        <f>F20</f>
        <v>0.02</v>
      </c>
      <c r="D20" s="468" t="s">
        <v>505</v>
      </c>
      <c r="E20" s="468"/>
      <c r="F20" s="485">
        <f>'数据-取费表'!B38</f>
        <v>0.02</v>
      </c>
      <c r="G20" s="1326" t="s">
        <v>506</v>
      </c>
      <c r="H20" s="446"/>
      <c r="I20" s="446"/>
      <c r="J20" s="446"/>
      <c r="K20" s="447"/>
      <c r="L20" s="2119"/>
      <c r="M20" s="2119"/>
      <c r="N20" s="2119"/>
    </row>
    <row r="21" spans="1:14" s="2119" customFormat="1" ht="13.5" customHeight="1">
      <c r="A21" s="1633" t="s">
        <v>1859</v>
      </c>
      <c r="B21" s="460" t="s">
        <v>494</v>
      </c>
      <c r="C21" s="469">
        <f ca="1">C22</f>
        <v>2777</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2452</v>
      </c>
    </row>
    <row r="22" spans="1:14" s="2118" customFormat="1" ht="13.5" customHeight="1">
      <c r="A22" s="1632" t="s">
        <v>1849</v>
      </c>
      <c r="B22" s="1327" t="s">
        <v>2433</v>
      </c>
      <c r="C22" s="486">
        <f ca="1">ROUND(IF('数据-取费表'!B22&lt;=1,(C18+C19)*F21*'数据-取费表'!B20/2,(C18+C19)*(POWER((1+F21),'数据-取费表'!B20/2)-1)),0)</f>
        <v>2777</v>
      </c>
      <c r="D22" s="471"/>
      <c r="E22" s="472"/>
      <c r="F22" s="473"/>
      <c r="G22" s="2565" t="str">
        <f>IF('数据-取费表'!B22&lt;=1,"((1)+(2))×年利率×建设期÷2","((1)+(2))×((1+年利率)^(建设期÷2)-1)")</f>
        <v>((1)+(2))×((1+年利率)^(建设期÷2)-1)</v>
      </c>
      <c r="H22" s="456"/>
      <c r="I22" s="456"/>
      <c r="J22" s="456"/>
      <c r="K22" s="457"/>
    </row>
    <row r="23" spans="1:14" s="2118" customFormat="1" ht="13.5" customHeight="1">
      <c r="A23" s="1632" t="s">
        <v>1850</v>
      </c>
      <c r="B23" s="1327" t="s">
        <v>508</v>
      </c>
      <c r="C23" s="487">
        <f ca="1">ROUND(IF('数据-取费表'!B22&lt;=1,F20*F21*'数据-取费表'!B20/2,F20*(POWER((1+F21),'数据-取费表'!B20/2)-1)),4)</f>
        <v>1E-3</v>
      </c>
      <c r="D23" s="471"/>
      <c r="E23" s="472"/>
      <c r="F23" s="473"/>
      <c r="G23" s="2565" t="str">
        <f>IF('数据-取费表'!B22&lt;=1,"销售费用率×年利率×建设期÷2","销售费用率×((1+年利率)^(建设期÷2)-1)")</f>
        <v>销售费用率×((1+年利率)^(建设期÷2)-1)</v>
      </c>
      <c r="H23" s="456"/>
      <c r="I23" s="456"/>
      <c r="J23" s="456"/>
      <c r="K23" s="457"/>
    </row>
    <row r="24" spans="1:14" s="2118" customFormat="1" ht="13.5" customHeight="1">
      <c r="A24" s="1633" t="s">
        <v>1860</v>
      </c>
      <c r="B24" s="3029" t="s">
        <v>2829</v>
      </c>
      <c r="C24" s="477">
        <f ca="1">C25</f>
        <v>4677</v>
      </c>
      <c r="D24" s="488">
        <f ca="1">C26</f>
        <v>1.6000000000000001E-3</v>
      </c>
      <c r="E24" s="468" t="s">
        <v>507</v>
      </c>
      <c r="F24" s="478">
        <f ca="1">IF(B1="",'数据-取费表'!Q16,INDIRECT("'数据-取费表'!q"&amp;$K$1))</f>
        <v>0.08</v>
      </c>
      <c r="G24" s="443"/>
      <c r="H24" s="446"/>
      <c r="I24" s="446"/>
      <c r="J24" s="446"/>
      <c r="K24" s="447"/>
    </row>
    <row r="25" spans="1:14" s="2118" customFormat="1" ht="13.5" customHeight="1">
      <c r="A25" s="1632" t="s">
        <v>1849</v>
      </c>
      <c r="B25" s="1327" t="s">
        <v>2434</v>
      </c>
      <c r="C25" s="489">
        <f ca="1">ROUND((C18+C19)*F24,0)</f>
        <v>4677</v>
      </c>
      <c r="D25" s="471"/>
      <c r="E25" s="472"/>
      <c r="F25" s="479"/>
      <c r="G25" s="1325" t="s">
        <v>2431</v>
      </c>
      <c r="H25" s="456"/>
      <c r="I25" s="456"/>
      <c r="J25" s="456"/>
      <c r="K25" s="457"/>
    </row>
    <row r="26" spans="1:14" s="2118" customFormat="1" ht="13.5" customHeight="1">
      <c r="A26" s="1632" t="s">
        <v>1850</v>
      </c>
      <c r="B26" s="1327" t="s">
        <v>509</v>
      </c>
      <c r="C26" s="490">
        <f ca="1">ROUND(F20*F24,4)</f>
        <v>1.6000000000000001E-3</v>
      </c>
      <c r="D26" s="471"/>
      <c r="E26" s="480"/>
      <c r="F26" s="479"/>
      <c r="G26" s="1325" t="s">
        <v>510</v>
      </c>
      <c r="H26" s="456"/>
      <c r="I26" s="456"/>
      <c r="J26" s="456"/>
      <c r="K26" s="457"/>
    </row>
    <row r="27" spans="1:14" s="2118" customFormat="1" ht="13.5" customHeight="1">
      <c r="A27" s="1636" t="s">
        <v>1868</v>
      </c>
      <c r="B27" s="458" t="s">
        <v>511</v>
      </c>
      <c r="C27" s="3028">
        <f>ROUND(F27/(1+'数据-取费表'!C42),4)</f>
        <v>5.2400000000000002E-2</v>
      </c>
      <c r="D27" s="461" t="s">
        <v>2827</v>
      </c>
      <c r="E27" s="461"/>
      <c r="F27" s="465">
        <f>'数据-取费表'!B41</f>
        <v>5.5000000000000007E-2</v>
      </c>
      <c r="G27" s="1958" t="s">
        <v>2291</v>
      </c>
      <c r="H27" s="446"/>
      <c r="I27" s="446"/>
      <c r="J27" s="446"/>
      <c r="K27" s="447"/>
    </row>
    <row r="28" spans="1:14" s="2119" customFormat="1" ht="13.5" customHeight="1">
      <c r="A28" s="1636" t="s">
        <v>1869</v>
      </c>
      <c r="B28" s="475" t="s">
        <v>512</v>
      </c>
      <c r="C28" s="469">
        <f ca="1">ROUND((C18+C19+C21+C24)/(1-C20-D21-D24-C27),0)</f>
        <v>71261</v>
      </c>
      <c r="D28" s="476"/>
      <c r="E28" s="468"/>
      <c r="F28" s="470"/>
      <c r="G28" s="1326" t="s">
        <v>2432</v>
      </c>
      <c r="H28" s="446"/>
      <c r="I28" s="446"/>
      <c r="J28" s="446"/>
      <c r="K28" s="447"/>
    </row>
    <row r="29" spans="1:14" s="2119" customFormat="1" ht="13.5" customHeight="1">
      <c r="A29" s="1636"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80"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1" t="s">
        <v>2961</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521</v>
      </c>
      <c r="B6" s="512"/>
      <c r="C6" s="3500" t="s">
        <v>522</v>
      </c>
      <c r="D6" s="3501"/>
      <c r="E6" s="3538" t="s">
        <v>523</v>
      </c>
      <c r="F6" s="3539"/>
      <c r="G6" s="3500" t="s">
        <v>524</v>
      </c>
      <c r="H6" s="3501"/>
      <c r="I6" s="3500" t="s">
        <v>525</v>
      </c>
      <c r="J6" s="3501"/>
      <c r="K6" s="513" t="s">
        <v>526</v>
      </c>
      <c r="L6" s="2131"/>
      <c r="M6" s="2132"/>
      <c r="N6" s="2132"/>
      <c r="O6" s="2132"/>
      <c r="P6" s="3502" t="s">
        <v>527</v>
      </c>
      <c r="Q6" s="3503"/>
      <c r="R6" s="3508" t="s">
        <v>523</v>
      </c>
      <c r="S6" s="3509"/>
      <c r="T6" s="3508" t="s">
        <v>524</v>
      </c>
      <c r="U6" s="3509"/>
      <c r="V6" s="3495" t="s">
        <v>525</v>
      </c>
      <c r="W6" s="3495"/>
      <c r="X6" s="1566"/>
      <c r="Y6" s="3508" t="s">
        <v>527</v>
      </c>
      <c r="Z6" s="3509"/>
      <c r="AA6" s="3497" t="s">
        <v>523</v>
      </c>
      <c r="AB6" s="3498" t="s">
        <v>524</v>
      </c>
      <c r="AC6" s="3497" t="s">
        <v>525</v>
      </c>
    </row>
    <row r="7" spans="1:29" ht="15">
      <c r="A7" s="514"/>
      <c r="B7" s="515"/>
      <c r="C7" s="3532" t="s">
        <v>2915</v>
      </c>
      <c r="D7" s="3533"/>
      <c r="E7" s="3540" t="s">
        <v>2916</v>
      </c>
      <c r="F7" s="3541"/>
      <c r="G7" s="3532" t="s">
        <v>2917</v>
      </c>
      <c r="H7" s="3533"/>
      <c r="I7" s="3532" t="s">
        <v>2918</v>
      </c>
      <c r="J7" s="3533"/>
      <c r="K7" s="513"/>
      <c r="L7" s="2131"/>
      <c r="M7" s="2132"/>
      <c r="N7" s="2132"/>
      <c r="O7" s="2132"/>
      <c r="P7" s="3504"/>
      <c r="Q7" s="3505"/>
      <c r="R7" s="3510"/>
      <c r="S7" s="3511"/>
      <c r="T7" s="3510"/>
      <c r="U7" s="3511"/>
      <c r="V7" s="3495"/>
      <c r="W7" s="3495"/>
      <c r="X7" s="1566"/>
      <c r="Y7" s="3510"/>
      <c r="Z7" s="3511"/>
      <c r="AA7" s="3498"/>
      <c r="AB7" s="3498"/>
      <c r="AC7" s="3498"/>
    </row>
    <row r="8" spans="1:29" ht="15.75" thickBot="1">
      <c r="A8" s="516"/>
      <c r="B8" s="517"/>
      <c r="C8" s="3534" t="s">
        <v>2919</v>
      </c>
      <c r="D8" s="3535"/>
      <c r="E8" s="3536" t="s">
        <v>2919</v>
      </c>
      <c r="F8" s="3537"/>
      <c r="G8" s="3534" t="s">
        <v>2919</v>
      </c>
      <c r="H8" s="3535"/>
      <c r="I8" s="3534" t="s">
        <v>2919</v>
      </c>
      <c r="J8" s="3535"/>
      <c r="K8" s="513" t="s">
        <v>528</v>
      </c>
      <c r="L8" s="2131"/>
      <c r="M8" s="2132"/>
      <c r="N8" s="2132"/>
      <c r="O8" s="2132"/>
      <c r="P8" s="3506"/>
      <c r="Q8" s="3507"/>
      <c r="R8" s="3510"/>
      <c r="S8" s="3511"/>
      <c r="T8" s="3512"/>
      <c r="U8" s="3513"/>
      <c r="V8" s="3495"/>
      <c r="W8" s="3495"/>
      <c r="X8" s="1566"/>
      <c r="Y8" s="3512"/>
      <c r="Z8" s="3513"/>
      <c r="AA8" s="3499"/>
      <c r="AB8" s="3499"/>
      <c r="AC8" s="3499"/>
    </row>
    <row r="9" spans="1:29" s="1219" customFormat="1" ht="15.75" thickBot="1">
      <c r="A9" s="2909"/>
      <c r="B9" s="2916" t="s">
        <v>529</v>
      </c>
      <c r="C9" s="518">
        <f>'数据-取费表'!B2</f>
        <v>43444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525" t="s">
        <v>530</v>
      </c>
      <c r="Q9" s="3527"/>
      <c r="R9" s="1567" t="s">
        <v>8</v>
      </c>
      <c r="S9" s="1568">
        <f t="shared" ref="S9:S17" si="0">F9</f>
        <v>0</v>
      </c>
      <c r="T9" s="1567" t="s">
        <v>8</v>
      </c>
      <c r="U9" s="1568">
        <f t="shared" ref="U9:U17" si="1">H9</f>
        <v>0</v>
      </c>
      <c r="V9" s="1567" t="s">
        <v>8</v>
      </c>
      <c r="W9" s="1568">
        <f t="shared" ref="W9:W17" si="2">J9</f>
        <v>0</v>
      </c>
      <c r="X9" s="1569"/>
      <c r="Y9" s="3525" t="s">
        <v>530</v>
      </c>
      <c r="Z9" s="3526"/>
      <c r="AA9" s="1570" t="e">
        <f>D9/F9</f>
        <v>#DIV/0!</v>
      </c>
      <c r="AB9" s="1570" t="e">
        <f>D9/H9</f>
        <v>#DIV/0!</v>
      </c>
      <c r="AC9" s="1570" t="e">
        <f>D9/J9</f>
        <v>#DIV/0!</v>
      </c>
    </row>
    <row r="10" spans="1:29" s="1219" customFormat="1" ht="15.75" thickBot="1">
      <c r="A10" s="2910"/>
      <c r="B10" s="291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525" t="s">
        <v>533</v>
      </c>
      <c r="Q10" s="3526"/>
      <c r="R10" s="1567" t="s">
        <v>8</v>
      </c>
      <c r="S10" s="1568">
        <f t="shared" si="0"/>
        <v>0</v>
      </c>
      <c r="T10" s="1567" t="s">
        <v>8</v>
      </c>
      <c r="U10" s="1568">
        <f t="shared" si="1"/>
        <v>0</v>
      </c>
      <c r="V10" s="1567" t="s">
        <v>8</v>
      </c>
      <c r="W10" s="1568">
        <f t="shared" si="2"/>
        <v>0</v>
      </c>
      <c r="X10" s="1569"/>
      <c r="Y10" s="3525" t="s">
        <v>533</v>
      </c>
      <c r="Z10" s="3526"/>
      <c r="AA10" s="1570" t="e">
        <f t="shared" ref="AA10:AA42" si="3">D10/F10</f>
        <v>#DIV/0!</v>
      </c>
      <c r="AB10" s="1570" t="e">
        <f t="shared" ref="AB10:AB42" si="4">D10/H10</f>
        <v>#DIV/0!</v>
      </c>
      <c r="AC10" s="1570" t="e">
        <f t="shared" ref="AC10:AC42" si="5">D10/J10</f>
        <v>#DIV/0!</v>
      </c>
    </row>
    <row r="11" spans="1:29" s="1219" customFormat="1" ht="15">
      <c r="A11" s="2911"/>
      <c r="B11" s="2918" t="s">
        <v>2753</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94" t="s">
        <v>535</v>
      </c>
      <c r="Q11" s="1150" t="str">
        <f t="shared" ref="Q11:Q17" si="6">B11</f>
        <v>用途</v>
      </c>
      <c r="R11" s="1567" t="s">
        <v>8</v>
      </c>
      <c r="S11" s="1568">
        <f t="shared" si="0"/>
        <v>100</v>
      </c>
      <c r="T11" s="1567" t="s">
        <v>8</v>
      </c>
      <c r="U11" s="1568">
        <f t="shared" si="1"/>
        <v>100</v>
      </c>
      <c r="V11" s="1567" t="s">
        <v>8</v>
      </c>
      <c r="W11" s="1568">
        <f t="shared" si="2"/>
        <v>100</v>
      </c>
      <c r="X11" s="1569"/>
      <c r="Y11" s="3440" t="s">
        <v>536</v>
      </c>
      <c r="Z11" s="1149" t="str">
        <f t="shared" ref="Z11:Z17" si="7">Q11</f>
        <v>用途</v>
      </c>
      <c r="AA11" s="1570">
        <f t="shared" si="3"/>
        <v>1</v>
      </c>
      <c r="AB11" s="1570">
        <f t="shared" si="4"/>
        <v>1</v>
      </c>
      <c r="AC11" s="1570">
        <f t="shared" si="5"/>
        <v>1</v>
      </c>
    </row>
    <row r="12" spans="1:29" s="1337" customFormat="1" ht="27">
      <c r="A12" s="2912"/>
      <c r="B12" s="2917" t="s">
        <v>2754</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494"/>
      <c r="Q12" s="1150" t="str">
        <f t="shared" si="6"/>
        <v>土地使用年限（年）</v>
      </c>
      <c r="R12" s="1567" t="s">
        <v>8</v>
      </c>
      <c r="S12" s="1568">
        <f t="shared" si="0"/>
        <v>101</v>
      </c>
      <c r="T12" s="1567" t="s">
        <v>8</v>
      </c>
      <c r="U12" s="1568">
        <f t="shared" si="1"/>
        <v>101</v>
      </c>
      <c r="V12" s="1567" t="s">
        <v>8</v>
      </c>
      <c r="W12" s="1568">
        <f t="shared" si="2"/>
        <v>101</v>
      </c>
      <c r="X12" s="1569"/>
      <c r="Y12" s="3440"/>
      <c r="Z12" s="1149" t="str">
        <f t="shared" si="7"/>
        <v>土地使用年限（年）</v>
      </c>
      <c r="AA12" s="1570">
        <f t="shared" si="3"/>
        <v>0.99009900990099009</v>
      </c>
      <c r="AB12" s="1570">
        <f t="shared" si="4"/>
        <v>0.99009900990099009</v>
      </c>
      <c r="AC12" s="1570">
        <f t="shared" si="5"/>
        <v>0.99009900990099009</v>
      </c>
    </row>
    <row r="13" spans="1:29" ht="15">
      <c r="A13" s="2913"/>
      <c r="B13" s="2917"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94"/>
      <c r="Q13" s="1150" t="str">
        <f t="shared" si="6"/>
        <v>容积率</v>
      </c>
      <c r="R13" s="1567" t="s">
        <v>8</v>
      </c>
      <c r="S13" s="1568" t="e">
        <f t="shared" si="0"/>
        <v>#N/A</v>
      </c>
      <c r="T13" s="1567" t="s">
        <v>8</v>
      </c>
      <c r="U13" s="1568" t="e">
        <f t="shared" si="1"/>
        <v>#N/A</v>
      </c>
      <c r="V13" s="1567" t="s">
        <v>8</v>
      </c>
      <c r="W13" s="1568" t="e">
        <f t="shared" si="2"/>
        <v>#N/A</v>
      </c>
      <c r="X13" s="1569"/>
      <c r="Y13" s="3440"/>
      <c r="Z13" s="1149" t="str">
        <f t="shared" si="7"/>
        <v>容积率</v>
      </c>
      <c r="AA13" s="1570" t="e">
        <f t="shared" si="3"/>
        <v>#N/A</v>
      </c>
      <c r="AB13" s="1570" t="e">
        <f t="shared" si="4"/>
        <v>#N/A</v>
      </c>
      <c r="AC13" s="1570" t="e">
        <f t="shared" si="5"/>
        <v>#N/A</v>
      </c>
    </row>
    <row r="14" spans="1:29" s="1219"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94"/>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D14/F14</f>
        <v>1</v>
      </c>
      <c r="AB14" s="1570">
        <f>D14/H14</f>
        <v>1</v>
      </c>
      <c r="AC14" s="1570">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94"/>
      <c r="Q15" s="1150">
        <f t="shared" si="6"/>
        <v>111</v>
      </c>
      <c r="R15" s="1567" t="s">
        <v>8</v>
      </c>
      <c r="S15" s="1568">
        <f t="shared" si="0"/>
        <v>100</v>
      </c>
      <c r="T15" s="1567" t="s">
        <v>8</v>
      </c>
      <c r="U15" s="1568">
        <f t="shared" si="1"/>
        <v>100</v>
      </c>
      <c r="V15" s="1567" t="s">
        <v>8</v>
      </c>
      <c r="W15" s="1568">
        <f t="shared" si="2"/>
        <v>100</v>
      </c>
      <c r="X15" s="1569"/>
      <c r="Y15" s="3440"/>
      <c r="Z15" s="1149">
        <f t="shared" si="7"/>
        <v>111</v>
      </c>
      <c r="AA15" s="1570">
        <f t="shared" si="3"/>
        <v>1</v>
      </c>
      <c r="AB15" s="1570">
        <f t="shared" si="4"/>
        <v>1</v>
      </c>
      <c r="AC15" s="1570">
        <f t="shared" si="5"/>
        <v>1</v>
      </c>
    </row>
    <row r="16" spans="1:29" ht="15.75"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94"/>
      <c r="Q16" s="1150">
        <f t="shared" si="6"/>
        <v>111</v>
      </c>
      <c r="R16" s="1567" t="s">
        <v>8</v>
      </c>
      <c r="S16" s="1568">
        <f t="shared" si="0"/>
        <v>100</v>
      </c>
      <c r="T16" s="1567" t="s">
        <v>8</v>
      </c>
      <c r="U16" s="1568">
        <f t="shared" si="1"/>
        <v>100</v>
      </c>
      <c r="V16" s="1567" t="s">
        <v>8</v>
      </c>
      <c r="W16" s="1568">
        <f t="shared" si="2"/>
        <v>100</v>
      </c>
      <c r="X16" s="1569"/>
      <c r="Y16" s="3440"/>
      <c r="Z16" s="1149">
        <f t="shared" si="7"/>
        <v>111</v>
      </c>
      <c r="AA16" s="1570">
        <f t="shared" si="3"/>
        <v>1</v>
      </c>
      <c r="AB16" s="1570">
        <f t="shared" si="4"/>
        <v>1</v>
      </c>
      <c r="AC16" s="1570">
        <f t="shared" si="5"/>
        <v>1</v>
      </c>
    </row>
    <row r="17" spans="1:29" ht="15">
      <c r="A17" s="2907" t="s">
        <v>2751</v>
      </c>
      <c r="B17" s="165" t="s">
        <v>598</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528" t="s">
        <v>540</v>
      </c>
      <c r="Q17" s="1571" t="str">
        <f t="shared" si="6"/>
        <v>产业集聚程度</v>
      </c>
      <c r="R17" s="1572" t="s">
        <v>8</v>
      </c>
      <c r="S17" s="1573">
        <f t="shared" si="0"/>
        <v>100</v>
      </c>
      <c r="T17" s="1572" t="s">
        <v>8</v>
      </c>
      <c r="U17" s="1573">
        <f t="shared" si="1"/>
        <v>100</v>
      </c>
      <c r="V17" s="1572" t="s">
        <v>8</v>
      </c>
      <c r="W17" s="1573">
        <f t="shared" si="2"/>
        <v>100</v>
      </c>
      <c r="X17" s="1566"/>
      <c r="Y17" s="3528"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529"/>
      <c r="Q18" s="1571"/>
      <c r="R18" s="1572"/>
      <c r="S18" s="1573"/>
      <c r="T18" s="1572"/>
      <c r="U18" s="1573"/>
      <c r="V18" s="1572"/>
      <c r="W18" s="1573"/>
      <c r="X18" s="1566"/>
      <c r="Y18" s="3529"/>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529"/>
      <c r="Q19" s="1571" t="str">
        <f>B19</f>
        <v>交通便捷度</v>
      </c>
      <c r="R19" s="1572" t="s">
        <v>8</v>
      </c>
      <c r="S19" s="1573">
        <f>F19</f>
        <v>100</v>
      </c>
      <c r="T19" s="1572" t="s">
        <v>8</v>
      </c>
      <c r="U19" s="1573">
        <f>H19</f>
        <v>100</v>
      </c>
      <c r="V19" s="1572" t="s">
        <v>8</v>
      </c>
      <c r="W19" s="1573">
        <f>J19</f>
        <v>100</v>
      </c>
      <c r="X19" s="1566"/>
      <c r="Y19" s="3529"/>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0"/>
      <c r="M20" s="2132"/>
      <c r="N20" s="2132"/>
      <c r="O20" s="2139"/>
      <c r="P20" s="3529"/>
      <c r="Q20" s="1571"/>
      <c r="R20" s="1572"/>
      <c r="S20" s="1573"/>
      <c r="T20" s="1572"/>
      <c r="U20" s="1573"/>
      <c r="V20" s="1572"/>
      <c r="W20" s="1573"/>
      <c r="X20" s="1566"/>
      <c r="Y20" s="3529"/>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529"/>
      <c r="Q21" s="1571" t="str">
        <f t="shared" ref="Q21:Q35" si="8">B21</f>
        <v>区域土地利用方向</v>
      </c>
      <c r="R21" s="1572" t="s">
        <v>8</v>
      </c>
      <c r="S21" s="1573">
        <f>F21</f>
        <v>100</v>
      </c>
      <c r="T21" s="1572" t="s">
        <v>8</v>
      </c>
      <c r="U21" s="1573">
        <f>H21</f>
        <v>100</v>
      </c>
      <c r="V21" s="1572" t="s">
        <v>8</v>
      </c>
      <c r="W21" s="1573">
        <f>J21</f>
        <v>100</v>
      </c>
      <c r="X21" s="1566"/>
      <c r="Y21" s="3529"/>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0"/>
      <c r="M22" s="2132"/>
      <c r="N22" s="2132"/>
      <c r="O22" s="2139"/>
      <c r="P22" s="3529"/>
      <c r="Q22" s="1571"/>
      <c r="R22" s="1572"/>
      <c r="S22" s="1573"/>
      <c r="T22" s="1572"/>
      <c r="U22" s="1573"/>
      <c r="V22" s="1572"/>
      <c r="W22" s="1573"/>
      <c r="X22" s="1566"/>
      <c r="Y22" s="3529"/>
      <c r="Z22" s="1574"/>
      <c r="AA22" s="1575"/>
      <c r="AB22" s="1575"/>
      <c r="AC22" s="1575"/>
    </row>
    <row r="23" spans="1:29" ht="15">
      <c r="A23" s="514"/>
      <c r="B23" s="921"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529"/>
      <c r="Q23" s="1571" t="str">
        <f t="shared" si="8"/>
        <v>环境状况</v>
      </c>
      <c r="R23" s="1572" t="s">
        <v>8</v>
      </c>
      <c r="S23" s="1573">
        <f>F23</f>
        <v>100</v>
      </c>
      <c r="T23" s="1572" t="s">
        <v>8</v>
      </c>
      <c r="U23" s="1573">
        <f>H23</f>
        <v>100</v>
      </c>
      <c r="V23" s="1572" t="s">
        <v>8</v>
      </c>
      <c r="W23" s="1573">
        <f>J23</f>
        <v>100</v>
      </c>
      <c r="X23" s="1566"/>
      <c r="Y23" s="3529"/>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529"/>
      <c r="Q24" s="1571"/>
      <c r="R24" s="1572"/>
      <c r="S24" s="1573"/>
      <c r="T24" s="1572"/>
      <c r="U24" s="1573"/>
      <c r="V24" s="1572"/>
      <c r="W24" s="1573"/>
      <c r="X24" s="1566"/>
      <c r="Y24" s="3529"/>
      <c r="Z24" s="1574"/>
      <c r="AA24" s="1575">
        <v>1</v>
      </c>
      <c r="AB24" s="1575">
        <v>1</v>
      </c>
      <c r="AC24" s="1575">
        <v>1</v>
      </c>
    </row>
    <row r="25" spans="1:29" s="1219" customFormat="1" ht="15">
      <c r="A25" s="576"/>
      <c r="B25" s="2591" t="s">
        <v>2546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529"/>
      <c r="Q25" s="1150" t="str">
        <f t="shared" si="8"/>
        <v>公共配套设施</v>
      </c>
      <c r="R25" s="1567" t="s">
        <v>8</v>
      </c>
      <c r="S25" s="1568">
        <f>F25</f>
        <v>100</v>
      </c>
      <c r="T25" s="1567" t="s">
        <v>8</v>
      </c>
      <c r="U25" s="1568">
        <f>H25</f>
        <v>100</v>
      </c>
      <c r="V25" s="1567" t="s">
        <v>8</v>
      </c>
      <c r="W25" s="1568">
        <f>J25</f>
        <v>100</v>
      </c>
      <c r="X25" s="1569"/>
      <c r="Y25" s="3529"/>
      <c r="Z25" s="1149" t="str">
        <f>Q25</f>
        <v>公共配套设施</v>
      </c>
      <c r="AA25" s="1575">
        <f>D25/F25</f>
        <v>1</v>
      </c>
      <c r="AB25" s="1575">
        <f>D25/H25</f>
        <v>1</v>
      </c>
      <c r="AC25" s="1575">
        <f>D25/J25</f>
        <v>1</v>
      </c>
    </row>
    <row r="26" spans="1:29" s="1219" customFormat="1" ht="15">
      <c r="A26" s="576"/>
      <c r="B26" s="594"/>
      <c r="C26" s="2590"/>
      <c r="D26" s="554"/>
      <c r="E26" s="553"/>
      <c r="F26" s="554"/>
      <c r="G26" s="553"/>
      <c r="H26" s="554"/>
      <c r="I26" s="575"/>
      <c r="J26" s="554"/>
      <c r="K26" s="530"/>
      <c r="L26" s="2133"/>
      <c r="M26" s="2134"/>
      <c r="N26" s="2134"/>
      <c r="O26" s="2135"/>
      <c r="P26" s="3529"/>
      <c r="Q26" s="1150"/>
      <c r="R26" s="1567"/>
      <c r="S26" s="1568"/>
      <c r="T26" s="1567"/>
      <c r="U26" s="1568"/>
      <c r="V26" s="1567"/>
      <c r="W26" s="1568"/>
      <c r="X26" s="1569"/>
      <c r="Y26" s="3529"/>
      <c r="Z26" s="1149"/>
      <c r="AA26" s="1570">
        <v>1</v>
      </c>
      <c r="AB26" s="1570">
        <v>1</v>
      </c>
      <c r="AC26" s="1570">
        <v>1</v>
      </c>
    </row>
    <row r="27" spans="1:29" s="1219" customFormat="1" ht="15">
      <c r="A27" s="576"/>
      <c r="B27" s="2591" t="s">
        <v>2547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529"/>
      <c r="Q27" s="2576" t="str">
        <f>B27</f>
        <v>基础设施水平</v>
      </c>
      <c r="R27" s="1567" t="s">
        <v>8</v>
      </c>
      <c r="S27" s="1568">
        <f>F27</f>
        <v>100</v>
      </c>
      <c r="T27" s="1567" t="s">
        <v>8</v>
      </c>
      <c r="U27" s="1568">
        <f>H27</f>
        <v>100</v>
      </c>
      <c r="V27" s="1567" t="s">
        <v>8</v>
      </c>
      <c r="W27" s="1568">
        <f>J27</f>
        <v>100</v>
      </c>
      <c r="X27" s="1569"/>
      <c r="Y27" s="3529"/>
      <c r="Z27" s="2573" t="str">
        <f>Q27</f>
        <v>基础设施水平</v>
      </c>
      <c r="AA27" s="1575">
        <f>D27/F27</f>
        <v>1</v>
      </c>
      <c r="AB27" s="1575">
        <f>D27/H27</f>
        <v>1</v>
      </c>
      <c r="AC27" s="1575">
        <f>D27/J27</f>
        <v>1</v>
      </c>
    </row>
    <row r="28" spans="1:29" s="1219" customFormat="1" ht="15">
      <c r="A28" s="576"/>
      <c r="B28" s="594"/>
      <c r="C28" s="2590"/>
      <c r="D28" s="554"/>
      <c r="E28" s="578"/>
      <c r="F28" s="554"/>
      <c r="G28" s="578"/>
      <c r="H28" s="554"/>
      <c r="I28" s="578"/>
      <c r="J28" s="554"/>
      <c r="K28" s="530"/>
      <c r="L28" s="2133"/>
      <c r="M28" s="2134"/>
      <c r="N28" s="2134"/>
      <c r="O28" s="2135"/>
      <c r="P28" s="3529"/>
      <c r="Q28" s="2576"/>
      <c r="R28" s="1567"/>
      <c r="S28" s="1568"/>
      <c r="T28" s="1567"/>
      <c r="U28" s="1568"/>
      <c r="V28" s="1567"/>
      <c r="W28" s="1568"/>
      <c r="X28" s="1569"/>
      <c r="Y28" s="3529"/>
      <c r="Z28" s="2573"/>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529"/>
      <c r="Q29" s="1571" t="str">
        <f t="shared" si="8"/>
        <v>临街状况</v>
      </c>
      <c r="R29" s="1572" t="s">
        <v>8</v>
      </c>
      <c r="S29" s="1573">
        <f t="shared" ref="S29:S42" si="9">F29</f>
        <v>100</v>
      </c>
      <c r="T29" s="1572" t="s">
        <v>8</v>
      </c>
      <c r="U29" s="1573">
        <f t="shared" ref="U29:U42" si="10">H29</f>
        <v>100</v>
      </c>
      <c r="V29" s="1572" t="s">
        <v>8</v>
      </c>
      <c r="W29" s="1573">
        <f t="shared" ref="W29:W42" si="11">J29</f>
        <v>100</v>
      </c>
      <c r="X29" s="1566"/>
      <c r="Y29" s="3529"/>
      <c r="Z29" s="1574" t="str">
        <f t="shared" ref="Z29:Z42" si="12">Q29</f>
        <v>临街状况</v>
      </c>
      <c r="AA29" s="1575">
        <f t="shared" si="3"/>
        <v>1</v>
      </c>
      <c r="AB29" s="1575">
        <f t="shared" si="4"/>
        <v>1</v>
      </c>
      <c r="AC29" s="1575">
        <f t="shared" si="5"/>
        <v>1</v>
      </c>
    </row>
    <row r="30" spans="1:29" ht="27">
      <c r="A30" s="531"/>
      <c r="B30" s="921" t="s">
        <v>548</v>
      </c>
      <c r="C30" s="259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529"/>
      <c r="Q30" s="1571" t="str">
        <f t="shared" si="8"/>
        <v>毗邻道路的类型与等级</v>
      </c>
      <c r="R30" s="1572" t="s">
        <v>8</v>
      </c>
      <c r="S30" s="1573">
        <f t="shared" si="9"/>
        <v>100</v>
      </c>
      <c r="T30" s="1572" t="s">
        <v>8</v>
      </c>
      <c r="U30" s="1573">
        <f t="shared" si="10"/>
        <v>100</v>
      </c>
      <c r="V30" s="1572" t="s">
        <v>8</v>
      </c>
      <c r="W30" s="1573">
        <f t="shared" si="11"/>
        <v>100</v>
      </c>
      <c r="X30" s="1566"/>
      <c r="Y30" s="3529"/>
      <c r="Z30" s="1574" t="str">
        <f t="shared" si="12"/>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0"/>
      <c r="M31" s="2132"/>
      <c r="N31" s="2132"/>
      <c r="O31" s="2139"/>
      <c r="P31" s="3529"/>
      <c r="Q31" s="1571"/>
      <c r="R31" s="1572"/>
      <c r="S31" s="1573"/>
      <c r="T31" s="1572"/>
      <c r="U31" s="1573"/>
      <c r="V31" s="1572"/>
      <c r="W31" s="1573"/>
      <c r="X31" s="1566"/>
      <c r="Y31" s="3529"/>
      <c r="Z31" s="1574"/>
      <c r="AA31" s="1575">
        <v>1</v>
      </c>
      <c r="AB31" s="1575">
        <v>1</v>
      </c>
      <c r="AC31" s="1575">
        <v>1</v>
      </c>
    </row>
    <row r="32" spans="1:29" ht="15">
      <c r="A32" s="531"/>
      <c r="B32" s="526" t="s">
        <v>549</v>
      </c>
      <c r="C32" s="259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529"/>
      <c r="Q32" s="1571" t="str">
        <f t="shared" si="8"/>
        <v>土地级别</v>
      </c>
      <c r="R32" s="1572" t="s">
        <v>8</v>
      </c>
      <c r="S32" s="1573">
        <f t="shared" si="9"/>
        <v>100</v>
      </c>
      <c r="T32" s="1572" t="s">
        <v>8</v>
      </c>
      <c r="U32" s="1573">
        <f t="shared" si="10"/>
        <v>100</v>
      </c>
      <c r="V32" s="1572" t="s">
        <v>8</v>
      </c>
      <c r="W32" s="1573">
        <f t="shared" si="11"/>
        <v>100</v>
      </c>
      <c r="X32" s="1566"/>
      <c r="Y32" s="3529"/>
      <c r="Z32" s="1574" t="str">
        <f t="shared" si="12"/>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529"/>
      <c r="Q33" s="1571">
        <f t="shared" si="8"/>
        <v>111</v>
      </c>
      <c r="R33" s="1572" t="s">
        <v>8</v>
      </c>
      <c r="S33" s="1573">
        <f t="shared" si="9"/>
        <v>100</v>
      </c>
      <c r="T33" s="1572" t="s">
        <v>8</v>
      </c>
      <c r="U33" s="1573">
        <f t="shared" si="10"/>
        <v>100</v>
      </c>
      <c r="V33" s="1572" t="s">
        <v>8</v>
      </c>
      <c r="W33" s="1573">
        <f t="shared" si="11"/>
        <v>100</v>
      </c>
      <c r="X33" s="1566"/>
      <c r="Y33" s="3529"/>
      <c r="Z33" s="1574">
        <f t="shared" si="12"/>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530" t="s">
        <v>550</v>
      </c>
      <c r="Q34" s="1571">
        <f t="shared" si="8"/>
        <v>111</v>
      </c>
      <c r="R34" s="1572" t="s">
        <v>8</v>
      </c>
      <c r="S34" s="1573">
        <f t="shared" si="9"/>
        <v>100</v>
      </c>
      <c r="T34" s="1572" t="s">
        <v>8</v>
      </c>
      <c r="U34" s="1573">
        <f t="shared" si="10"/>
        <v>100</v>
      </c>
      <c r="V34" s="1572" t="s">
        <v>8</v>
      </c>
      <c r="W34" s="1573">
        <f t="shared" si="11"/>
        <v>100</v>
      </c>
      <c r="X34" s="1566"/>
      <c r="Y34" s="3531" t="s">
        <v>550</v>
      </c>
      <c r="Z34" s="1574">
        <f t="shared" si="12"/>
        <v>111</v>
      </c>
      <c r="AA34" s="1575">
        <f t="shared" si="3"/>
        <v>1</v>
      </c>
      <c r="AB34" s="1575">
        <f t="shared" si="4"/>
        <v>1</v>
      </c>
      <c r="AC34" s="1575">
        <f t="shared" si="5"/>
        <v>1</v>
      </c>
    </row>
    <row r="35" spans="1:29" s="1338" customFormat="1" ht="15.75" thickBot="1">
      <c r="A35" s="588"/>
      <c r="B35" s="259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531"/>
      <c r="Q35" s="1571">
        <f t="shared" si="8"/>
        <v>111</v>
      </c>
      <c r="R35" s="1576" t="s">
        <v>8</v>
      </c>
      <c r="S35" s="1577">
        <f t="shared" si="9"/>
        <v>100</v>
      </c>
      <c r="T35" s="1576" t="s">
        <v>8</v>
      </c>
      <c r="U35" s="1577">
        <f t="shared" si="10"/>
        <v>100</v>
      </c>
      <c r="V35" s="1576" t="s">
        <v>8</v>
      </c>
      <c r="W35" s="1577">
        <f t="shared" si="11"/>
        <v>100</v>
      </c>
      <c r="X35" s="1578"/>
      <c r="Y35" s="3531"/>
      <c r="Z35" s="1579">
        <f t="shared" si="12"/>
        <v>111</v>
      </c>
      <c r="AA35" s="1575">
        <f t="shared" si="3"/>
        <v>1</v>
      </c>
      <c r="AB35" s="1575">
        <f t="shared" si="4"/>
        <v>1</v>
      </c>
      <c r="AC35" s="1575">
        <f t="shared" si="5"/>
        <v>1</v>
      </c>
    </row>
    <row r="36" spans="1:29" ht="15">
      <c r="A36" s="2905"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531"/>
      <c r="Q36" s="1571" t="str">
        <f>B36</f>
        <v>宗地面积</v>
      </c>
      <c r="R36" s="1572" t="s">
        <v>8</v>
      </c>
      <c r="S36" s="1573" t="e">
        <f t="shared" si="9"/>
        <v>#N/A</v>
      </c>
      <c r="T36" s="1572" t="s">
        <v>8</v>
      </c>
      <c r="U36" s="1573" t="e">
        <f t="shared" si="10"/>
        <v>#N/A</v>
      </c>
      <c r="V36" s="1572" t="s">
        <v>8</v>
      </c>
      <c r="W36" s="1573" t="e">
        <f t="shared" si="11"/>
        <v>#N/A</v>
      </c>
      <c r="X36" s="1566"/>
      <c r="Y36" s="3531"/>
      <c r="Z36" s="1574" t="str">
        <f t="shared" si="12"/>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531"/>
      <c r="Q37" s="1571" t="str">
        <f t="shared" ref="Q37:Q42" si="13">B37</f>
        <v>宗地形状</v>
      </c>
      <c r="R37" s="1572" t="s">
        <v>8</v>
      </c>
      <c r="S37" s="1573">
        <f t="shared" si="9"/>
        <v>100</v>
      </c>
      <c r="T37" s="1572" t="s">
        <v>8</v>
      </c>
      <c r="U37" s="1573">
        <f t="shared" si="10"/>
        <v>100</v>
      </c>
      <c r="V37" s="1572" t="s">
        <v>8</v>
      </c>
      <c r="W37" s="1573">
        <f t="shared" si="11"/>
        <v>100</v>
      </c>
      <c r="X37" s="1566"/>
      <c r="Y37" s="3531"/>
      <c r="Z37" s="1574" t="str">
        <f t="shared" si="12"/>
        <v>宗地形状</v>
      </c>
      <c r="AA37" s="1575">
        <f t="shared" si="3"/>
        <v>1</v>
      </c>
      <c r="AB37" s="1575">
        <f t="shared" si="4"/>
        <v>1</v>
      </c>
      <c r="AC37" s="1575">
        <f t="shared" si="5"/>
        <v>1</v>
      </c>
    </row>
    <row r="38" spans="1:29" s="1219" customFormat="1" ht="15">
      <c r="A38" s="599"/>
      <c r="B38" s="1893"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531"/>
      <c r="Q38" s="1571" t="str">
        <f t="shared" si="13"/>
        <v>宗地开发程度</v>
      </c>
      <c r="R38" s="1567" t="s">
        <v>8</v>
      </c>
      <c r="S38" s="1568">
        <f t="shared" si="9"/>
        <v>100</v>
      </c>
      <c r="T38" s="1567" t="s">
        <v>8</v>
      </c>
      <c r="U38" s="1568">
        <f t="shared" si="10"/>
        <v>100</v>
      </c>
      <c r="V38" s="1567" t="s">
        <v>8</v>
      </c>
      <c r="W38" s="1568">
        <f t="shared" si="11"/>
        <v>100</v>
      </c>
      <c r="X38" s="1569"/>
      <c r="Y38" s="3531"/>
      <c r="Z38" s="1149" t="str">
        <f t="shared" si="12"/>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531" t="s">
        <v>601</v>
      </c>
      <c r="Q39" s="1571" t="str">
        <f t="shared" si="13"/>
        <v>工程地质条件</v>
      </c>
      <c r="R39" s="1572" t="s">
        <v>8</v>
      </c>
      <c r="S39" s="1573">
        <f t="shared" si="9"/>
        <v>100</v>
      </c>
      <c r="T39" s="1572" t="s">
        <v>8</v>
      </c>
      <c r="U39" s="1573">
        <f t="shared" si="10"/>
        <v>100</v>
      </c>
      <c r="V39" s="1572" t="s">
        <v>8</v>
      </c>
      <c r="W39" s="1573">
        <f t="shared" si="11"/>
        <v>100</v>
      </c>
      <c r="X39" s="1566"/>
      <c r="Y39" s="3531" t="s">
        <v>601</v>
      </c>
      <c r="Z39" s="1574" t="str">
        <f t="shared" si="12"/>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531"/>
      <c r="Q40" s="1571">
        <f t="shared" si="13"/>
        <v>111</v>
      </c>
      <c r="R40" s="1572" t="s">
        <v>8</v>
      </c>
      <c r="S40" s="1573">
        <f t="shared" si="9"/>
        <v>100</v>
      </c>
      <c r="T40" s="1572" t="s">
        <v>8</v>
      </c>
      <c r="U40" s="1573">
        <f t="shared" si="10"/>
        <v>100</v>
      </c>
      <c r="V40" s="1572" t="s">
        <v>8</v>
      </c>
      <c r="W40" s="1573">
        <f t="shared" si="11"/>
        <v>100</v>
      </c>
      <c r="X40" s="1566"/>
      <c r="Y40" s="3531"/>
      <c r="Z40" s="1574">
        <f t="shared" si="12"/>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531"/>
      <c r="Q41" s="1571">
        <f t="shared" si="13"/>
        <v>111</v>
      </c>
      <c r="R41" s="1572" t="s">
        <v>8</v>
      </c>
      <c r="S41" s="1573">
        <f t="shared" si="9"/>
        <v>100</v>
      </c>
      <c r="T41" s="1572" t="s">
        <v>8</v>
      </c>
      <c r="U41" s="1573">
        <f t="shared" si="10"/>
        <v>100</v>
      </c>
      <c r="V41" s="1572" t="s">
        <v>8</v>
      </c>
      <c r="W41" s="1573">
        <f t="shared" si="11"/>
        <v>100</v>
      </c>
      <c r="X41" s="1566"/>
      <c r="Y41" s="3531"/>
      <c r="Z41" s="1574">
        <f t="shared" si="12"/>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531"/>
      <c r="Q42" s="1571">
        <f t="shared" si="13"/>
        <v>111</v>
      </c>
      <c r="R42" s="1576" t="s">
        <v>8</v>
      </c>
      <c r="S42" s="1577">
        <f t="shared" si="9"/>
        <v>100</v>
      </c>
      <c r="T42" s="1576" t="s">
        <v>8</v>
      </c>
      <c r="U42" s="1577">
        <f t="shared" si="10"/>
        <v>100</v>
      </c>
      <c r="V42" s="1576" t="s">
        <v>8</v>
      </c>
      <c r="W42" s="1577">
        <f t="shared" si="11"/>
        <v>100</v>
      </c>
      <c r="X42" s="1578"/>
      <c r="Y42" s="3531"/>
      <c r="Z42" s="1579">
        <f t="shared" si="12"/>
        <v>111</v>
      </c>
      <c r="AA42" s="1575">
        <f t="shared" si="3"/>
        <v>1</v>
      </c>
      <c r="AB42" s="1575">
        <f t="shared" si="4"/>
        <v>1</v>
      </c>
      <c r="AC42" s="1575">
        <f t="shared" si="5"/>
        <v>1</v>
      </c>
    </row>
    <row r="43" spans="1:29" ht="15">
      <c r="A43" s="606" t="s">
        <v>556</v>
      </c>
      <c r="B43" s="607" t="s">
        <v>2920</v>
      </c>
      <c r="C43" s="608" t="s">
        <v>1</v>
      </c>
      <c r="D43" s="609"/>
      <c r="E43" s="610"/>
      <c r="F43" s="611"/>
      <c r="G43" s="612"/>
      <c r="H43" s="613"/>
      <c r="I43" s="610"/>
      <c r="J43" s="613"/>
      <c r="K43" s="1339"/>
      <c r="L43" s="2142"/>
      <c r="M43" s="2132"/>
      <c r="N43" s="2132"/>
      <c r="O43" s="2143"/>
      <c r="P43" s="3494" t="str">
        <f>A43</f>
        <v>成交单价</v>
      </c>
      <c r="Q43" s="3494"/>
      <c r="R43" s="3495">
        <f>E43</f>
        <v>0</v>
      </c>
      <c r="S43" s="3495"/>
      <c r="T43" s="3495">
        <f>G43</f>
        <v>0</v>
      </c>
      <c r="U43" s="3495"/>
      <c r="V43" s="3495">
        <f>I43</f>
        <v>0</v>
      </c>
      <c r="W43" s="3495"/>
      <c r="X43" s="1558"/>
      <c r="Y43" s="1580"/>
      <c r="Z43" s="1558"/>
      <c r="AA43" s="1558"/>
      <c r="AB43" s="1558"/>
      <c r="AC43" s="1558"/>
    </row>
    <row r="44" spans="1:29" ht="15.75" thickBot="1">
      <c r="A44" s="614" t="s">
        <v>2690</v>
      </c>
      <c r="B44" s="615"/>
      <c r="C44" s="616" t="e">
        <f>R45</f>
        <v>#DIV/0!</v>
      </c>
      <c r="D44" s="617"/>
      <c r="E44" s="616" t="e">
        <f>R44</f>
        <v>#DIV/0!</v>
      </c>
      <c r="F44" s="618"/>
      <c r="G44" s="619" t="e">
        <f>T44</f>
        <v>#DIV/0!</v>
      </c>
      <c r="H44" s="617"/>
      <c r="I44" s="616" t="e">
        <f>V44</f>
        <v>#DIV/0!</v>
      </c>
      <c r="J44" s="617"/>
      <c r="K44" s="1340"/>
      <c r="L44" s="2142"/>
      <c r="M44" s="2132"/>
      <c r="N44" s="2132"/>
      <c r="O44" s="2143"/>
      <c r="P44" s="3494" t="str">
        <f>A44</f>
        <v>比较价格（元/平方米）</v>
      </c>
      <c r="Q44" s="3494"/>
      <c r="R44" s="3496" t="e">
        <f>ROUND(PRODUCT(R43,AA9:AA42),0)</f>
        <v>#DIV/0!</v>
      </c>
      <c r="S44" s="3496"/>
      <c r="T44" s="3496" t="e">
        <f>ROUND(PRODUCT(T43,AB9:AB42),0)</f>
        <v>#DIV/0!</v>
      </c>
      <c r="U44" s="3496"/>
      <c r="V44" s="3496" t="e">
        <f>ROUND(PRODUCT(V43,AC9:AC42),0)</f>
        <v>#DIV/0!</v>
      </c>
      <c r="W44" s="3496"/>
      <c r="X44" s="1558"/>
      <c r="Y44" s="1558"/>
      <c r="Z44" s="1558"/>
      <c r="AA44" s="1558"/>
      <c r="AB44" s="1558"/>
      <c r="AC44" s="1558"/>
    </row>
    <row r="45" spans="1:29" ht="15.75" thickBot="1">
      <c r="A45" s="620" t="s">
        <v>2921</v>
      </c>
      <c r="B45" s="621"/>
      <c r="C45" s="622" t="e">
        <f>R45</f>
        <v>#DIV/0!</v>
      </c>
      <c r="D45" s="622"/>
      <c r="E45" s="622"/>
      <c r="F45" s="622"/>
      <c r="G45" s="622"/>
      <c r="H45" s="622"/>
      <c r="I45" s="622"/>
      <c r="J45" s="622"/>
      <c r="K45" s="1341"/>
      <c r="L45" s="2142"/>
      <c r="M45" s="2132"/>
      <c r="N45" s="2132"/>
      <c r="O45" s="2143"/>
      <c r="P45" s="3491" t="str">
        <f>A45</f>
        <v>估价对象XX用房的比较价格（楼面单价，元/平方米）</v>
      </c>
      <c r="Q45" s="3492"/>
      <c r="R45" s="3493" t="e">
        <f>ROUND(AVERAGE(R44:V44),0)</f>
        <v>#DIV/0!</v>
      </c>
      <c r="S45" s="3493"/>
      <c r="T45" s="3493"/>
      <c r="U45" s="3493"/>
      <c r="V45" s="3493"/>
      <c r="W45" s="3493"/>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9" t="s">
        <v>1725</v>
      </c>
      <c r="D52" s="2225" t="s">
        <v>2293</v>
      </c>
      <c r="E52" s="630" t="s">
        <v>562</v>
      </c>
      <c r="F52" s="1949" t="s">
        <v>563</v>
      </c>
      <c r="G52" s="3542" t="s">
        <v>2284</v>
      </c>
      <c r="H52" s="3543"/>
      <c r="I52" s="1950" t="s">
        <v>1948</v>
      </c>
      <c r="J52" s="1554">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64609.999999999985</v>
      </c>
      <c r="F53" s="1948" t="e">
        <f t="shared" ref="F53:F62" si="14">ROUND(B53*E53/10000,0)</f>
        <v>#DIV/0!</v>
      </c>
      <c r="G53" s="3544"/>
      <c r="H53" s="3545"/>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5">IF($C$52="北京市系数",I54,J54)</f>
        <v>0.6</v>
      </c>
      <c r="D54" s="2227">
        <v>0.25</v>
      </c>
      <c r="E54" s="638"/>
      <c r="F54" s="1948" t="e">
        <f t="shared" si="14"/>
        <v>#DIV/0!</v>
      </c>
      <c r="G54" s="3546" t="s">
        <v>2285</v>
      </c>
      <c r="H54" s="1952" t="str">
        <f>项目基本情况!B43</f>
        <v>八级</v>
      </c>
      <c r="I54" s="1951">
        <f>SUMIF(修正!$A$45:$A$56,H54,修正!B45:B56)</f>
        <v>0.6</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6">ROUND($C$45*C55*D55,0)</f>
        <v>#DIV/0!</v>
      </c>
      <c r="C55" s="377">
        <f t="shared" si="15"/>
        <v>0.3</v>
      </c>
      <c r="D55" s="2227">
        <v>0.25</v>
      </c>
      <c r="E55" s="638"/>
      <c r="F55" s="1948" t="e">
        <f t="shared" si="14"/>
        <v>#DIV/0!</v>
      </c>
      <c r="G55" s="3546"/>
      <c r="H55" s="1953" t="str">
        <f>项目基本情况!B43</f>
        <v>八级</v>
      </c>
      <c r="I55" s="1951">
        <f>SUMIF(修正!$A$45:$A$56,H55,修正!C45:C56)</f>
        <v>0.3</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6"/>
        <v>#DIV/0!</v>
      </c>
      <c r="C56" s="377">
        <f t="shared" si="15"/>
        <v>0.2</v>
      </c>
      <c r="D56" s="2227">
        <v>0.25</v>
      </c>
      <c r="E56" s="638"/>
      <c r="F56" s="1948" t="e">
        <f t="shared" si="14"/>
        <v>#DIV/0!</v>
      </c>
      <c r="G56" s="3546"/>
      <c r="H56" s="1953" t="str">
        <f>项目基本情况!B43</f>
        <v>八级</v>
      </c>
      <c r="I56" s="1951">
        <f>SUMIF(修正!$A$45:$A$56,H56,修正!D45:D56)</f>
        <v>0.2</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6"/>
        <v>#DIV/0!</v>
      </c>
      <c r="C57" s="377">
        <f t="shared" si="15"/>
        <v>0.2</v>
      </c>
      <c r="D57" s="2227">
        <v>0.25</v>
      </c>
      <c r="E57" s="638"/>
      <c r="F57" s="1948" t="e">
        <f t="shared" si="14"/>
        <v>#DIV/0!</v>
      </c>
      <c r="G57" s="3546"/>
      <c r="H57" s="1953" t="str">
        <f>项目基本情况!B43</f>
        <v>八级</v>
      </c>
      <c r="I57" s="1951">
        <f>SUMIF(修正!$A$45:$A$56,H57,修正!E45:E56)</f>
        <v>0.2</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2326</v>
      </c>
      <c r="B58" s="637" t="e">
        <f t="shared" si="16"/>
        <v>#DIV/0!</v>
      </c>
      <c r="C58" s="377">
        <f t="shared" si="15"/>
        <v>0.2</v>
      </c>
      <c r="D58" s="2227">
        <v>0.25</v>
      </c>
      <c r="E58" s="640">
        <f>'数据-汇总表'!E11</f>
        <v>0</v>
      </c>
      <c r="F58" s="1948" t="e">
        <f t="shared" si="14"/>
        <v>#DIV/0!</v>
      </c>
      <c r="G58" s="1954" t="s">
        <v>2286</v>
      </c>
      <c r="H58" s="1953" t="str">
        <f>项目基本情况!C43</f>
        <v>八级</v>
      </c>
      <c r="I58" s="1951">
        <f>SUMIF(修正!$A$45:$A$56,H58,修正!F45:F56)</f>
        <v>0.2</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6"/>
        <v>#DIV/0!</v>
      </c>
      <c r="C59" s="377">
        <f t="shared" si="15"/>
        <v>0.2</v>
      </c>
      <c r="D59" s="2227">
        <v>0.25</v>
      </c>
      <c r="E59" s="640">
        <f>'数据-汇总表'!E12</f>
        <v>65328.5</v>
      </c>
      <c r="F59" s="1948" t="e">
        <f t="shared" si="14"/>
        <v>#DIV/0!</v>
      </c>
      <c r="G59" s="1944" t="s">
        <v>1678</v>
      </c>
      <c r="H59" s="1952" t="str">
        <f>IF(G59="商业",项目基本情况!B43,IF(G59="办公",项目基本情况!C43,IF(G59="住宅",项目基本情况!D43,项目基本情况!E43)))</f>
        <v>八级</v>
      </c>
      <c r="I59" s="1951">
        <f>SUMIF(修正!$A$45:$A$56,H59,修正!G45:G56)</f>
        <v>0.2</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6"/>
        <v>#DIV/0!</v>
      </c>
      <c r="C60" s="377">
        <f t="shared" si="15"/>
        <v>0.15</v>
      </c>
      <c r="D60" s="2227">
        <v>0.25</v>
      </c>
      <c r="E60" s="640">
        <f>'数据-汇总表'!E13</f>
        <v>26123.5</v>
      </c>
      <c r="F60" s="1948" t="e">
        <f t="shared" si="14"/>
        <v>#DIV/0!</v>
      </c>
      <c r="G60" s="1944" t="s">
        <v>923</v>
      </c>
      <c r="H60" s="1952" t="str">
        <f>IF(G60="商业",项目基本情况!B43,IF(G60="办公",项目基本情况!C43,IF(G60="住宅",项目基本情况!D43,项目基本情况!E43)))</f>
        <v>八级</v>
      </c>
      <c r="I60" s="1951">
        <f>SUMIF(修正!$A$45:$A$56,H60,修正!H45:H56)</f>
        <v>0.15</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6"/>
        <v>#DIV/0!</v>
      </c>
      <c r="C61" s="377">
        <f t="shared" si="15"/>
        <v>0.15</v>
      </c>
      <c r="D61" s="2227">
        <v>0.25</v>
      </c>
      <c r="E61" s="640">
        <f>'数据-汇总表'!E14</f>
        <v>0</v>
      </c>
      <c r="F61" s="1948" t="e">
        <f t="shared" si="14"/>
        <v>#DIV/0!</v>
      </c>
      <c r="G61" s="1954" t="s">
        <v>2285</v>
      </c>
      <c r="H61" s="1953" t="str">
        <f>项目基本情况!B43</f>
        <v>八级</v>
      </c>
      <c r="I61" s="1951">
        <f>SUMIF(修正!$A$45:$A$56,H61,修正!H45:H56)</f>
        <v>0.15</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6"/>
        <v>#DIV/0!</v>
      </c>
      <c r="C62" s="377">
        <f t="shared" si="15"/>
        <v>0.15</v>
      </c>
      <c r="D62" s="2227">
        <v>0.25</v>
      </c>
      <c r="E62" s="640">
        <f>'数据-汇总表'!E15</f>
        <v>0</v>
      </c>
      <c r="F62" s="1948" t="e">
        <f t="shared" si="14"/>
        <v>#DIV/0!</v>
      </c>
      <c r="G62" s="1955" t="s">
        <v>2286</v>
      </c>
      <c r="H62" s="1956" t="str">
        <f>项目基本情况!C43</f>
        <v>八级</v>
      </c>
      <c r="I62" s="1951">
        <f>SUMIF(修正!$A$45:$A$56,H62,修正!H45:H56)</f>
        <v>0.15</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2294</v>
      </c>
      <c r="E63" s="642">
        <f>IF(B43="楼面地价",SUM(E53:E62),'数据-汇总表'!D3)</f>
        <v>62541.33</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2018-12-1</v>
      </c>
      <c r="D65" s="2797">
        <f>EDATE(C65,-3)</f>
        <v>43344</v>
      </c>
      <c r="E65" s="2797">
        <f t="shared" ref="E65:N65" si="17">EDATE(D65,-3)</f>
        <v>43252</v>
      </c>
      <c r="F65" s="2797">
        <f t="shared" si="17"/>
        <v>43160</v>
      </c>
      <c r="G65" s="2797">
        <f t="shared" si="17"/>
        <v>43070</v>
      </c>
      <c r="H65" s="2797">
        <f t="shared" si="17"/>
        <v>42979</v>
      </c>
      <c r="I65" s="2797">
        <f t="shared" si="17"/>
        <v>42887</v>
      </c>
      <c r="J65" s="2797">
        <f t="shared" si="17"/>
        <v>42795</v>
      </c>
      <c r="K65" s="2797">
        <f t="shared" si="17"/>
        <v>42705</v>
      </c>
      <c r="L65" s="2797">
        <f t="shared" si="17"/>
        <v>42614</v>
      </c>
      <c r="M65" s="2797">
        <f t="shared" si="17"/>
        <v>42522</v>
      </c>
      <c r="N65" s="2797">
        <f t="shared" si="17"/>
        <v>42430</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6" customFormat="1" ht="15">
      <c r="A67" s="2566" t="s">
        <v>2531</v>
      </c>
      <c r="B67" s="645"/>
      <c r="C67" s="2792" t="str">
        <f>YEAR(C65)&amp;"-"&amp;ROUNDUP(MONTH(C65)/3,0)</f>
        <v>2018-4</v>
      </c>
      <c r="D67" s="2799" t="str">
        <f t="shared" ref="D67:N67" si="18">YEAR(D65)&amp;"-"&amp;ROUNDUP(MONTH(D65)/3,0)</f>
        <v>2018-3</v>
      </c>
      <c r="E67" s="2799" t="str">
        <f t="shared" si="18"/>
        <v>2018-2</v>
      </c>
      <c r="F67" s="2799" t="str">
        <f t="shared" si="18"/>
        <v>2018-1</v>
      </c>
      <c r="G67" s="2799" t="str">
        <f t="shared" si="18"/>
        <v>2017-4</v>
      </c>
      <c r="H67" s="2799" t="str">
        <f t="shared" si="18"/>
        <v>2017-3</v>
      </c>
      <c r="I67" s="2799" t="str">
        <f t="shared" si="18"/>
        <v>2017-2</v>
      </c>
      <c r="J67" s="2799" t="str">
        <f t="shared" si="18"/>
        <v>2017-1</v>
      </c>
      <c r="K67" s="2799" t="str">
        <f t="shared" si="18"/>
        <v>2016-4</v>
      </c>
      <c r="L67" s="2799" t="str">
        <f t="shared" si="18"/>
        <v>2016-3</v>
      </c>
      <c r="M67" s="2799" t="str">
        <f t="shared" si="18"/>
        <v>2016-2</v>
      </c>
      <c r="N67" s="2799" t="str">
        <f t="shared" si="18"/>
        <v>2016-1</v>
      </c>
      <c r="O67" s="2157"/>
      <c r="P67" s="2158"/>
      <c r="Q67" s="2159"/>
      <c r="R67" s="2159"/>
      <c r="S67" s="2159"/>
      <c r="T67" s="2159"/>
      <c r="U67" s="2159"/>
      <c r="V67" s="2159"/>
      <c r="W67" s="2159"/>
      <c r="X67" s="2159"/>
      <c r="Y67" s="2159"/>
      <c r="Z67" s="2159"/>
      <c r="AA67" s="2159"/>
      <c r="AB67" s="2159"/>
      <c r="AC67" s="2159"/>
    </row>
    <row r="68" spans="1:29" s="1219" customFormat="1" ht="27.75" customHeight="1">
      <c r="A68" s="2796" t="s">
        <v>2646</v>
      </c>
      <c r="B68" s="478" t="str">
        <f>"北京市平均增长率"&amp;TEXT(基准地价!P24,"0.00%")</f>
        <v>北京市平均增长率0.00%</v>
      </c>
      <c r="C68" s="893">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2546</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95" t="s">
        <v>2548</v>
      </c>
      <c r="C95" s="2596" t="s">
        <v>2549</v>
      </c>
      <c r="D95" s="2596" t="s">
        <v>2550</v>
      </c>
      <c r="E95" s="2596" t="s">
        <v>2551</v>
      </c>
      <c r="F95" s="2596" t="s">
        <v>2552</v>
      </c>
      <c r="G95" s="2596" t="s">
        <v>2553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087" t="str">
        <f t="shared" si="24"/>
        <v>(含)-</v>
      </c>
      <c r="L109" s="3088" t="str">
        <f t="shared" si="24"/>
        <v>(含)-</v>
      </c>
      <c r="M109" s="308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2423</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34" priority="14" stopIfTrue="1" operator="containsText" text="超过">
      <formula>NOT(ISERROR(SEARCH("超过",F48)))</formula>
    </cfRule>
  </conditionalFormatting>
  <conditionalFormatting sqref="J50">
    <cfRule type="containsText" dxfId="133" priority="13" stopIfTrue="1" operator="containsText" text="超过">
      <formula>NOT(ISERROR(SEARCH("超过",J50)))</formula>
    </cfRule>
  </conditionalFormatting>
  <conditionalFormatting sqref="H50">
    <cfRule type="containsText" dxfId="132" priority="12" stopIfTrue="1" operator="containsText" text="超过">
      <formula>NOT(ISERROR(SEARCH("超过",H50)))</formula>
    </cfRule>
  </conditionalFormatting>
  <conditionalFormatting sqref="F50">
    <cfRule type="containsText" dxfId="131" priority="11" stopIfTrue="1" operator="containsText" text="超过">
      <formula>NOT(ISERROR(SEARCH("超过",F50)))</formula>
    </cfRule>
  </conditionalFormatting>
  <conditionalFormatting sqref="F49 H49 J49">
    <cfRule type="containsText" dxfId="130" priority="10" stopIfTrue="1" operator="containsText" text="超过">
      <formula>NOT(ISERROR(SEARCH("超过",F49)))</formula>
    </cfRule>
  </conditionalFormatting>
  <conditionalFormatting sqref="E48">
    <cfRule type="expression" dxfId="129" priority="9" stopIfTrue="1">
      <formula>$F$48="超过30%"</formula>
    </cfRule>
  </conditionalFormatting>
  <conditionalFormatting sqref="G50">
    <cfRule type="expression" dxfId="128" priority="8" stopIfTrue="1">
      <formula>$H$50="超过30%"</formula>
    </cfRule>
  </conditionalFormatting>
  <conditionalFormatting sqref="E50">
    <cfRule type="expression" dxfId="127" priority="6" stopIfTrue="1">
      <formula>$F$50="超过30%"</formula>
    </cfRule>
  </conditionalFormatting>
  <conditionalFormatting sqref="G48">
    <cfRule type="expression" dxfId="126" priority="5" stopIfTrue="1">
      <formula>$H$48="超过30%"</formula>
    </cfRule>
  </conditionalFormatting>
  <conditionalFormatting sqref="G49">
    <cfRule type="expression" dxfId="125" priority="4" stopIfTrue="1">
      <formula>$H$49="超过20%"</formula>
    </cfRule>
  </conditionalFormatting>
  <conditionalFormatting sqref="I48">
    <cfRule type="expression" dxfId="124" priority="3" stopIfTrue="1">
      <formula>$J$48="超过30%"</formula>
    </cfRule>
  </conditionalFormatting>
  <conditionalFormatting sqref="I49">
    <cfRule type="expression" dxfId="123" priority="2" stopIfTrue="1">
      <formula>$J$49="超过20%"</formula>
    </cfRule>
  </conditionalFormatting>
  <conditionalFormatting sqref="I50">
    <cfRule type="expression" dxfId="122" priority="1" stopIfTrue="1">
      <formula>$J$50="超过30%"</formula>
    </cfRule>
  </conditionalFormatting>
  <conditionalFormatting sqref="E49">
    <cfRule type="expression" dxfId="12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50"/>
      <c r="G1" s="1400"/>
      <c r="H1" s="1400"/>
      <c r="I1" s="1400"/>
      <c r="J1" s="1400"/>
      <c r="K1" s="1400"/>
      <c r="L1" s="1880" t="s">
        <v>2238</v>
      </c>
      <c r="M1" s="1881">
        <f>SUMPRODUCT((区片价!B5:B9=I2)*(区片价!C3:F3=E2)*(区片价!C5:F9))</f>
        <v>0</v>
      </c>
      <c r="N1" s="1882">
        <f>SUMPRODUCT((因素修正幅度!B5:B9=I2)*(因素修正幅度!C3:F3=E2)*(因素修正幅度!C5:F9))</f>
        <v>0</v>
      </c>
      <c r="O1" s="2187"/>
      <c r="P1" s="2187"/>
      <c r="Q1" s="2187"/>
      <c r="R1" s="2933" t="s">
        <v>2759</v>
      </c>
      <c r="S1" s="2933" t="s">
        <v>2760</v>
      </c>
      <c r="T1" s="2933" t="s">
        <v>2781</v>
      </c>
      <c r="U1" s="2933" t="s">
        <v>2782</v>
      </c>
      <c r="V1" s="2933" t="s">
        <v>2783</v>
      </c>
      <c r="W1" s="2187"/>
      <c r="X1" s="2187"/>
      <c r="Y1" s="2187"/>
      <c r="Z1" s="2187"/>
      <c r="AA1" s="2187"/>
      <c r="AB1" s="2187"/>
      <c r="AC1" s="2188"/>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3" t="s">
        <v>2239</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10" t="s">
        <v>1688</v>
      </c>
      <c r="B3" s="1037" t="e">
        <f>ROUND(B2*10000/D1,0)</f>
        <v>#DIV/0!</v>
      </c>
      <c r="C3" s="1406" t="s">
        <v>927</v>
      </c>
      <c r="D3" s="1407" t="s">
        <v>928</v>
      </c>
      <c r="E3" s="1411"/>
      <c r="F3" s="1412" t="s">
        <v>2922</v>
      </c>
      <c r="G3" s="1038">
        <f>IF(F3="宗地容积率",'数据-汇总表'!I4,IF(F3="估价对象容积率",'数据-汇总表'!I6,'数据-汇总表'!I7))</f>
        <v>1.01</v>
      </c>
      <c r="H3" s="1413" t="s">
        <v>929</v>
      </c>
      <c r="I3" s="1039">
        <v>8</v>
      </c>
      <c r="J3" s="1409" t="s">
        <v>930</v>
      </c>
      <c r="K3" s="1400"/>
      <c r="L3" s="1883" t="s">
        <v>2240</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2280</v>
      </c>
      <c r="B4" s="2451" t="e">
        <f>ROUND(B2*10000/F1,0)</f>
        <v>#DIV/0!</v>
      </c>
      <c r="C4" s="1892" t="s">
        <v>2254</v>
      </c>
      <c r="D4" s="1892" t="e">
        <f>ROUND(B2/(F1/666.67),0)</f>
        <v>#DIV/0!</v>
      </c>
      <c r="E4" s="1892" t="s">
        <v>2255</v>
      </c>
      <c r="F4" s="1890"/>
      <c r="G4" s="1890"/>
      <c r="H4" s="1890"/>
      <c r="I4" s="1890"/>
      <c r="J4" s="1891"/>
      <c r="K4" s="1400"/>
      <c r="L4" s="1883" t="s">
        <v>2241</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20" customFormat="1" ht="15.75" thickBot="1">
      <c r="A5" s="1637" t="s">
        <v>1824</v>
      </c>
      <c r="B5" s="1414" t="s">
        <v>931</v>
      </c>
      <c r="C5" s="1040" t="e">
        <f>ROUND(IF(E2="商业",IF(F16="增加",C6*C7+C16,C6*C7-C16),IF(E2="住宅",IF(F16="增加",C6*C12+C16,C6*C12-C16),IF(F16="增加",C6+C16,C6-C16))),0)</f>
        <v>#DIV/0!</v>
      </c>
      <c r="D5" s="3115">
        <f>ROUND(IF(E2="商业",IF(F16="增加",C6+C16,C6-C16)),0)</f>
        <v>0</v>
      </c>
      <c r="E5" s="1415"/>
      <c r="F5" s="1415"/>
      <c r="G5" s="1416"/>
      <c r="H5" s="1416"/>
      <c r="I5" s="1416"/>
      <c r="J5" s="1417"/>
      <c r="K5" s="1593"/>
      <c r="L5" s="1883" t="s">
        <v>2242</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3" t="s">
        <v>2243</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8"/>
      <c r="AE6" s="1418"/>
      <c r="AF6" s="1418"/>
      <c r="AG6" s="1418"/>
      <c r="AH6" s="1418"/>
      <c r="AI6" s="1418"/>
      <c r="AJ6" s="1419"/>
    </row>
    <row r="7" spans="1:39" ht="24">
      <c r="A7" s="3556" t="str">
        <f>IF(E2="商业",IF(C8="不临58条商业街","",2),"")</f>
        <v/>
      </c>
      <c r="B7" s="1426" t="s">
        <v>932</v>
      </c>
      <c r="C7" s="1042" t="e">
        <f>IF(C8="不临58条商业街",1,ROUND(1+(1.6*E8+1.2*E9+0.8*E10+0.4*E11)*C9,4))</f>
        <v>#DIV/0!</v>
      </c>
      <c r="D7" s="1427" t="s">
        <v>933</v>
      </c>
      <c r="E7" s="1043"/>
      <c r="F7" s="1428"/>
      <c r="G7" s="1429"/>
      <c r="H7" s="1429"/>
      <c r="I7" s="1429"/>
      <c r="J7" s="1430"/>
      <c r="K7" s="1594"/>
      <c r="L7" s="1883" t="s">
        <v>2244</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2762</v>
      </c>
      <c r="X7" s="2924">
        <f>G2</f>
        <v>0</v>
      </c>
      <c r="Y7" s="2924" t="s">
        <v>2763</v>
      </c>
      <c r="Z7" s="2925">
        <f>G3</f>
        <v>1.01</v>
      </c>
      <c r="AA7" s="2190"/>
      <c r="AB7" s="2190"/>
      <c r="AC7" s="2191"/>
      <c r="AD7" s="2926"/>
      <c r="AE7" s="2926"/>
      <c r="AF7" s="2926"/>
      <c r="AG7" s="2926"/>
      <c r="AH7" s="2926"/>
      <c r="AI7" s="2926"/>
      <c r="AJ7" s="2927"/>
    </row>
    <row r="8" spans="1:39" ht="15">
      <c r="A8" s="3557"/>
      <c r="B8" s="1413" t="s">
        <v>934</v>
      </c>
      <c r="C8" s="1528"/>
      <c r="D8" s="1044" t="s">
        <v>935</v>
      </c>
      <c r="E8" s="1045" t="e">
        <f>ROUND(C11/E7,4)</f>
        <v>#DIV/0!</v>
      </c>
      <c r="F8" s="1431" t="s">
        <v>936</v>
      </c>
      <c r="G8" s="1432"/>
      <c r="H8" s="1432"/>
      <c r="I8" s="1432"/>
      <c r="J8" s="1433"/>
      <c r="K8" s="1400"/>
      <c r="L8" s="1883" t="s">
        <v>2245</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548" t="s">
        <v>2780</v>
      </c>
      <c r="X8" s="3549"/>
      <c r="Y8" s="1847" t="s">
        <v>2764</v>
      </c>
      <c r="Z8" s="1847" t="s">
        <v>2765</v>
      </c>
      <c r="AA8" s="1847" t="s">
        <v>2766</v>
      </c>
      <c r="AB8" s="1847" t="s">
        <v>2767</v>
      </c>
      <c r="AC8" s="1847" t="s">
        <v>2768</v>
      </c>
      <c r="AD8" s="1847" t="s">
        <v>2769</v>
      </c>
      <c r="AE8" s="1847" t="s">
        <v>2770</v>
      </c>
      <c r="AF8" s="1847" t="s">
        <v>2771</v>
      </c>
      <c r="AG8" s="1847" t="s">
        <v>2772</v>
      </c>
      <c r="AH8" s="1847" t="s">
        <v>2773</v>
      </c>
      <c r="AI8" s="1847" t="s">
        <v>2774</v>
      </c>
      <c r="AJ8" s="1847" t="s">
        <v>2775</v>
      </c>
    </row>
    <row r="9" spans="1:39" ht="15">
      <c r="A9" s="3557"/>
      <c r="B9" s="1413" t="s">
        <v>937</v>
      </c>
      <c r="C9" s="1046">
        <f>SUMIF(修正!C59:C119,C8,修正!E59:E119)</f>
        <v>0</v>
      </c>
      <c r="D9" s="1047" t="s">
        <v>938</v>
      </c>
      <c r="E9" s="1047" t="e">
        <f>ROUND(C11/E7,4)</f>
        <v>#DIV/0!</v>
      </c>
      <c r="F9" s="1431" t="s">
        <v>939</v>
      </c>
      <c r="G9" s="1432"/>
      <c r="H9" s="1432"/>
      <c r="I9" s="1432"/>
      <c r="J9" s="1433"/>
      <c r="K9" s="1400"/>
      <c r="L9" s="1883" t="s">
        <v>2246</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547" t="s">
        <v>2776</v>
      </c>
      <c r="X9" s="2928" t="s">
        <v>2777</v>
      </c>
      <c r="Y9" s="3093"/>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557"/>
      <c r="B10" s="1413" t="s">
        <v>940</v>
      </c>
      <c r="C10" s="1047">
        <f>SUMIF(修正!C59:C119,C8,修正!F59:F119)</f>
        <v>0</v>
      </c>
      <c r="D10" s="1047" t="s">
        <v>941</v>
      </c>
      <c r="E10" s="1047" t="e">
        <f>ROUND(C11/E7,4)</f>
        <v>#DIV/0!</v>
      </c>
      <c r="F10" s="1431" t="s">
        <v>942</v>
      </c>
      <c r="G10" s="1432"/>
      <c r="H10" s="1432"/>
      <c r="I10" s="1432"/>
      <c r="J10" s="1433"/>
      <c r="K10" s="1400"/>
      <c r="L10" s="1883" t="s">
        <v>2247</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547"/>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557"/>
      <c r="B11" s="1434" t="s">
        <v>943</v>
      </c>
      <c r="C11" s="1048">
        <f>C10/4</f>
        <v>0</v>
      </c>
      <c r="D11" s="1048" t="s">
        <v>944</v>
      </c>
      <c r="E11" s="1048" t="e">
        <f>ROUND(C11/E7,4)</f>
        <v>#DIV/0!</v>
      </c>
      <c r="F11" s="1435" t="s">
        <v>945</v>
      </c>
      <c r="G11" s="1436"/>
      <c r="H11" s="1436"/>
      <c r="I11" s="1436"/>
      <c r="J11" s="1437"/>
      <c r="K11" s="1400"/>
      <c r="L11" s="1883" t="s">
        <v>2248</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547" t="s">
        <v>2778</v>
      </c>
      <c r="X11" s="1047" t="s">
        <v>2763</v>
      </c>
      <c r="Y11" s="1652">
        <f>$G$3</f>
        <v>1.01</v>
      </c>
      <c r="Z11" s="1652">
        <f t="shared" ref="Z11:AJ11" si="3">$G$3</f>
        <v>1.01</v>
      </c>
      <c r="AA11" s="1652">
        <f t="shared" si="3"/>
        <v>1.01</v>
      </c>
      <c r="AB11" s="1652">
        <f t="shared" si="3"/>
        <v>1.01</v>
      </c>
      <c r="AC11" s="1652">
        <f t="shared" si="3"/>
        <v>1.01</v>
      </c>
      <c r="AD11" s="1652">
        <f t="shared" si="3"/>
        <v>1.01</v>
      </c>
      <c r="AE11" s="1652">
        <f t="shared" si="3"/>
        <v>1.01</v>
      </c>
      <c r="AF11" s="1652">
        <f t="shared" si="3"/>
        <v>1.01</v>
      </c>
      <c r="AG11" s="1652">
        <f t="shared" si="3"/>
        <v>1.01</v>
      </c>
      <c r="AH11" s="1652">
        <f t="shared" si="3"/>
        <v>1.01</v>
      </c>
      <c r="AI11" s="1652">
        <f t="shared" si="3"/>
        <v>1.01</v>
      </c>
      <c r="AJ11" s="1652">
        <f t="shared" si="3"/>
        <v>1.01</v>
      </c>
    </row>
    <row r="12" spans="1:39" ht="25.5" thickBot="1">
      <c r="A12" s="3556" t="s">
        <v>1872</v>
      </c>
      <c r="B12" s="1438" t="s">
        <v>946</v>
      </c>
      <c r="C12" s="1042">
        <f>ROUND(C15*D15*E15*F15*G15*H15*I15*J15,4)</f>
        <v>1</v>
      </c>
      <c r="D12" s="1439" t="s">
        <v>947</v>
      </c>
      <c r="E12" s="1440"/>
      <c r="F12" s="1440"/>
      <c r="G12" s="1441"/>
      <c r="H12" s="1441"/>
      <c r="I12" s="1441"/>
      <c r="J12" s="1442"/>
      <c r="K12" s="1400"/>
      <c r="L12" s="1886" t="s">
        <v>2249</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547"/>
      <c r="X12" s="2931" t="s">
        <v>2779</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558"/>
      <c r="B13" s="1443" t="s">
        <v>1697</v>
      </c>
      <c r="C13" s="1444" t="s">
        <v>1698</v>
      </c>
      <c r="D13" s="1088" t="s">
        <v>1699</v>
      </c>
      <c r="E13" s="1088" t="s">
        <v>1700</v>
      </c>
      <c r="F13" s="1445" t="s">
        <v>948</v>
      </c>
      <c r="G13" s="1446" t="s">
        <v>1643</v>
      </c>
      <c r="H13" s="1447" t="s">
        <v>1643</v>
      </c>
      <c r="I13" s="1448" t="s">
        <v>1643</v>
      </c>
      <c r="J13" s="1449" t="s">
        <v>1643</v>
      </c>
      <c r="K13" s="1400"/>
      <c r="L13" s="2187"/>
      <c r="M13" s="2187"/>
      <c r="N13" s="2187"/>
      <c r="O13" s="2187"/>
      <c r="P13" s="2187"/>
      <c r="Q13" s="2187"/>
      <c r="R13" s="2934">
        <v>12</v>
      </c>
      <c r="S13" s="2923"/>
      <c r="T13" s="2934" t="e">
        <f t="shared" si="0"/>
        <v>#DIV/0!</v>
      </c>
      <c r="U13" s="2923"/>
      <c r="V13" s="2934" t="e">
        <f t="shared" si="1"/>
        <v>#DIV/0!</v>
      </c>
      <c r="W13" s="3547"/>
      <c r="X13" s="2931"/>
      <c r="Y13" s="2930">
        <f>(-0.163*(Y12^2)-0.59*Y12+7617)*(10^(-4))/Y11</f>
        <v>0.75415841584158416</v>
      </c>
      <c r="Z13" s="2930">
        <f t="shared" ref="Z13:AJ13" si="5">(-0.163*(Z12^2)-0.59*Z12+7617)*(10^(-4))/Z11</f>
        <v>0.75415841584158416</v>
      </c>
      <c r="AA13" s="2930">
        <f t="shared" si="5"/>
        <v>0.75415841584158416</v>
      </c>
      <c r="AB13" s="2930">
        <f t="shared" si="5"/>
        <v>0.75415841584158416</v>
      </c>
      <c r="AC13" s="2930">
        <f t="shared" si="5"/>
        <v>0.75415841584158416</v>
      </c>
      <c r="AD13" s="2930">
        <f t="shared" si="5"/>
        <v>0.75415841584158416</v>
      </c>
      <c r="AE13" s="2930">
        <f t="shared" si="5"/>
        <v>0.75415841584158416</v>
      </c>
      <c r="AF13" s="2930">
        <f t="shared" si="5"/>
        <v>0.75415841584158416</v>
      </c>
      <c r="AG13" s="2930">
        <f t="shared" si="5"/>
        <v>0.75415841584158416</v>
      </c>
      <c r="AH13" s="2930">
        <f t="shared" si="5"/>
        <v>0.75415841584158416</v>
      </c>
      <c r="AI13" s="2930">
        <f t="shared" si="5"/>
        <v>0.75415841584158416</v>
      </c>
      <c r="AJ13" s="2930">
        <f t="shared" si="5"/>
        <v>0.75415841584158416</v>
      </c>
    </row>
    <row r="14" spans="1:39" ht="12.75" customHeight="1" thickBot="1">
      <c r="A14" s="3558"/>
      <c r="B14" s="1450"/>
      <c r="C14" s="1451"/>
      <c r="D14" s="1452"/>
      <c r="E14" s="1452"/>
      <c r="F14" s="1453"/>
      <c r="G14" s="1454" t="s">
        <v>949</v>
      </c>
      <c r="H14" s="1455"/>
      <c r="I14" s="1456"/>
      <c r="J14" s="1457"/>
      <c r="K14" s="1400"/>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559"/>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7"/>
      <c r="R15" s="2934">
        <v>14</v>
      </c>
      <c r="S15" s="2923"/>
      <c r="T15" s="2934" t="e">
        <f t="shared" si="0"/>
        <v>#DIV/0!</v>
      </c>
      <c r="U15" s="2923"/>
      <c r="V15" s="2934" t="e">
        <f t="shared" si="1"/>
        <v>#DIV/0!</v>
      </c>
      <c r="W15" s="2187"/>
      <c r="X15" s="2187"/>
      <c r="Y15" s="2187"/>
      <c r="Z15" s="2187"/>
      <c r="AA15" s="2187"/>
      <c r="AB15" s="2187"/>
      <c r="AC15" s="2188"/>
    </row>
    <row r="16" spans="1:39" ht="24">
      <c r="A16" s="3556"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557"/>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1830</v>
      </c>
      <c r="B18" s="2770" t="s">
        <v>956</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43444</v>
      </c>
      <c r="H19" s="1474" t="s">
        <v>2923</v>
      </c>
      <c r="I19" s="2782" t="str">
        <f>IF(H19="季度增幅（自定义）",SUMIF(N21:N24,E2,O21:O24),"")</f>
        <v/>
      </c>
      <c r="J19" s="1470"/>
      <c r="K19" s="1480"/>
      <c r="L19" s="3037" t="s">
        <v>2838</v>
      </c>
      <c r="M19" s="3038">
        <f>ROUND(SUMIF(地价!B2:F2,E2,地价!B23:F23),0)</f>
        <v>0</v>
      </c>
      <c r="N19" s="2784" t="s">
        <v>1677</v>
      </c>
      <c r="O19" s="2783">
        <f>ROUNDDOWN(DATEDIF(E19,G19,"M")/3,0)</f>
        <v>19</v>
      </c>
      <c r="P19" s="1595"/>
      <c r="R19" s="2922"/>
      <c r="S19" s="2922"/>
      <c r="T19" s="2922"/>
      <c r="U19" s="2922"/>
      <c r="V19" s="2922"/>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1837</v>
      </c>
      <c r="B20" s="2777" t="s">
        <v>972</v>
      </c>
      <c r="C20" s="2778" t="e">
        <f>ROUND(POWER(1+G20,J20-I20)*(POWER(1+G20,I20)-1)/(POWER(1+G20,J20)-1),4)</f>
        <v>#DIV/0!</v>
      </c>
      <c r="D20" s="2779" t="s">
        <v>973</v>
      </c>
      <c r="E20" s="3090">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80"/>
      <c r="L20" s="3039" t="s">
        <v>2839</v>
      </c>
      <c r="M20" s="3040">
        <f>ROUND(SUMPRODUCT((地价!A4:A23=YEAR(G19)&amp;"-"&amp;ROUNDUP(MONTH(G19)/3,0))*(地价!B2:F2=E2)*(地价!B4:F23)),0)</f>
        <v>0</v>
      </c>
      <c r="N20" s="2787" t="s">
        <v>2643</v>
      </c>
      <c r="O20" s="2785" t="s">
        <v>2642</v>
      </c>
      <c r="P20" s="2786" t="s">
        <v>2647</v>
      </c>
      <c r="R20" s="2922"/>
      <c r="S20" s="2922"/>
      <c r="T20" s="2922"/>
      <c r="U20" s="2922"/>
      <c r="V20" s="2922"/>
      <c r="W20" s="2193"/>
      <c r="X20" s="2193"/>
      <c r="Y20" s="2193"/>
      <c r="Z20" s="2193"/>
      <c r="AA20" s="2193"/>
      <c r="AB20" s="2193"/>
      <c r="AC20" s="2193"/>
      <c r="AD20" s="1471"/>
      <c r="AE20" s="1471"/>
      <c r="AF20" s="1471"/>
      <c r="AG20" s="1471"/>
      <c r="AH20" s="1471"/>
      <c r="AI20" s="1471"/>
    </row>
    <row r="21" spans="1:40" s="1420" customFormat="1" ht="14.25">
      <c r="A21" s="1641" t="s">
        <v>1838</v>
      </c>
      <c r="B21" s="1479" t="s">
        <v>2758</v>
      </c>
      <c r="C21" s="1157">
        <f>IF(B21="容积率修正",IF(G3&lt;=10,D22,J22),C23)</f>
        <v>0</v>
      </c>
      <c r="D21" s="1480"/>
      <c r="E21" s="1480"/>
      <c r="F21" s="1480"/>
      <c r="G21" s="1480"/>
      <c r="H21" s="1480"/>
      <c r="I21" s="1480"/>
      <c r="J21" s="1481"/>
      <c r="K21" s="1480"/>
      <c r="L21" s="1480"/>
      <c r="M21" s="1480"/>
      <c r="N21" s="1477" t="s">
        <v>976</v>
      </c>
      <c r="O21" s="1541"/>
      <c r="P21" s="2767">
        <f>SUMPRODUCT((地价!A3:A23=YEAR(G19)&amp;"-"&amp;ROUNDUP(MONTH(G19)/3,0))*(地价!AD2:AH2=N21)*(地价!AD3:AH23))</f>
        <v>0</v>
      </c>
      <c r="R21" s="2922"/>
      <c r="S21" s="2922"/>
      <c r="T21" s="2922"/>
      <c r="U21" s="2922"/>
      <c r="V21" s="2922"/>
      <c r="W21" s="2193"/>
      <c r="X21" s="2193"/>
      <c r="Y21" s="2193"/>
      <c r="Z21" s="2193"/>
      <c r="AA21" s="2193"/>
      <c r="AB21" s="2193"/>
      <c r="AC21" s="2193"/>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7">
        <f>SUMPRODUCT((地价!A3:A23=YEAR(G19)&amp;"-"&amp;ROUNDUP(MONTH(G19)/3,0))*(地价!AD2:AH2=N22)*(地价!AD3:AH23))</f>
        <v>0</v>
      </c>
      <c r="R22" s="2922"/>
      <c r="S22" s="2922"/>
      <c r="T22" s="2922"/>
      <c r="U22" s="2922"/>
      <c r="V22" s="2922"/>
      <c r="W22" s="2193"/>
      <c r="X22" s="2193"/>
      <c r="Y22" s="2193"/>
      <c r="Z22" s="2193"/>
      <c r="AA22" s="2193"/>
      <c r="AB22" s="2193"/>
      <c r="AC22" s="2193"/>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7">
        <f>SUMPRODUCT((地价!A3:A23=YEAR(G19)&amp;"-"&amp;ROUNDUP(MONTH(G19)/3,0))*(地价!AD2:AH2=N23)*(地价!AD3:AH23))</f>
        <v>0</v>
      </c>
      <c r="R23" s="2922"/>
      <c r="S23" s="2922"/>
      <c r="T23" s="2922"/>
      <c r="U23" s="2922"/>
      <c r="V23" s="2922"/>
      <c r="W23" s="2193"/>
      <c r="X23" s="2193"/>
      <c r="Y23" s="2193"/>
      <c r="Z23" s="2193"/>
      <c r="AA23" s="2193"/>
      <c r="AB23" s="2193"/>
      <c r="AC23" s="2193"/>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2"/>
      <c r="S24" s="2922"/>
      <c r="T24" s="2922"/>
      <c r="U24" s="2922"/>
      <c r="V24" s="2922"/>
      <c r="W24" s="2193"/>
      <c r="X24" s="2193"/>
      <c r="Y24" s="2193"/>
      <c r="Z24" s="2193"/>
      <c r="AA24" s="2193"/>
      <c r="AB24" s="2193"/>
      <c r="AC24" s="2193"/>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3"/>
      <c r="M25" s="2193"/>
      <c r="N25" s="2795" t="s">
        <v>2645</v>
      </c>
      <c r="O25" s="2193"/>
      <c r="P25" s="1540">
        <f>SUMPRODUCT((地价!A3:A23=YEAR(G19)&amp;"-"&amp;ROUNDUP(MONTH(G19)/3,0))*(地价!AD2:AH2=N25)*(地价!AD3:AH23))</f>
        <v>0</v>
      </c>
      <c r="R25" s="2922"/>
      <c r="S25" s="2922"/>
      <c r="T25" s="2922"/>
      <c r="U25" s="2922"/>
      <c r="V25" s="2922"/>
      <c r="W25" s="2193"/>
      <c r="X25" s="2193"/>
      <c r="Y25" s="2193"/>
      <c r="Z25" s="2193"/>
      <c r="AA25" s="2193"/>
      <c r="AB25" s="2193"/>
      <c r="AC25" s="2193"/>
    </row>
    <row r="26" spans="1:40" ht="14.25">
      <c r="A26" s="1488"/>
      <c r="B26" s="1482" t="s">
        <v>987</v>
      </c>
      <c r="C26" s="1062" t="e">
        <f>E29+SUM(E33:E39)</f>
        <v>#DIV/0!</v>
      </c>
      <c r="D26" s="1489"/>
      <c r="E26" s="1455"/>
      <c r="F26" s="1490"/>
      <c r="G26" s="1455"/>
      <c r="H26" s="1455"/>
      <c r="I26" s="1455"/>
      <c r="J26" s="1491"/>
      <c r="K26" s="1400"/>
      <c r="L26" s="2193"/>
      <c r="M26" s="2193"/>
      <c r="N26" s="2193"/>
      <c r="O26" s="2193"/>
      <c r="P26" s="2193"/>
      <c r="Q26" s="2193"/>
      <c r="R26" s="2922"/>
      <c r="S26" s="2922"/>
      <c r="T26" s="2922"/>
      <c r="U26" s="2922"/>
      <c r="V26" s="2922"/>
      <c r="W26" s="2193"/>
      <c r="X26" s="2193"/>
      <c r="Y26" s="2193"/>
      <c r="Z26" s="2193"/>
      <c r="AA26" s="2193"/>
      <c r="AB26" s="2193"/>
      <c r="AC26" s="2193"/>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3"/>
      <c r="M27" s="2193"/>
      <c r="N27" s="2193"/>
      <c r="O27" s="2193"/>
      <c r="P27" s="2193"/>
      <c r="Q27" s="2193"/>
      <c r="R27" s="2922"/>
      <c r="S27" s="2922"/>
      <c r="T27" s="2922"/>
      <c r="U27" s="2922"/>
      <c r="V27" s="2922"/>
      <c r="W27" s="2193"/>
      <c r="X27" s="2193"/>
      <c r="Y27" s="2193"/>
      <c r="Z27" s="2193"/>
      <c r="AA27" s="2193"/>
      <c r="AB27" s="2193"/>
      <c r="AC27" s="2193"/>
    </row>
    <row r="28" spans="1:40" ht="14.25">
      <c r="A28" s="1484"/>
      <c r="B28" s="1497" t="s">
        <v>990</v>
      </c>
      <c r="C28" s="1498" t="s">
        <v>991</v>
      </c>
      <c r="D28" s="1498" t="s">
        <v>992</v>
      </c>
      <c r="E28" s="1499" t="s">
        <v>993</v>
      </c>
      <c r="F28" s="1500"/>
      <c r="G28" s="1441"/>
      <c r="H28" s="1441"/>
      <c r="I28" s="1441"/>
      <c r="J28" s="1442"/>
      <c r="K28" s="1400"/>
      <c r="L28" s="2193"/>
      <c r="M28" s="2193"/>
      <c r="N28" s="2193"/>
      <c r="O28" s="2193"/>
      <c r="P28" s="2193"/>
      <c r="Q28" s="2193"/>
      <c r="R28" s="2922"/>
      <c r="S28" s="2922"/>
      <c r="T28" s="2922"/>
      <c r="U28" s="2922"/>
      <c r="V28" s="2922"/>
      <c r="W28" s="2193"/>
      <c r="X28" s="2193"/>
      <c r="Y28" s="2193"/>
      <c r="Z28" s="2193"/>
      <c r="AA28" s="2193"/>
      <c r="AB28" s="2193"/>
      <c r="AC28" s="2193"/>
      <c r="AD28" s="1471"/>
      <c r="AE28" s="1471"/>
      <c r="AF28" s="1471"/>
      <c r="AG28" s="1471"/>
    </row>
    <row r="29" spans="1:40" ht="24">
      <c r="A29" s="1501"/>
      <c r="B29" s="1502" t="s">
        <v>994</v>
      </c>
      <c r="C29" s="1062" t="e">
        <f>ROUND(C5*C18*C19*C20*C21*C24,0)</f>
        <v>#DIV/0!</v>
      </c>
      <c r="D29" s="1503"/>
      <c r="E29" s="1847" t="e">
        <f>ROUND(C29*D29/10000,0)</f>
        <v>#DIV/0!</v>
      </c>
      <c r="F29" s="1504" t="s">
        <v>1702</v>
      </c>
      <c r="G29" s="1505"/>
      <c r="H29" s="1505"/>
      <c r="I29" s="1505"/>
      <c r="J29" s="1506"/>
      <c r="K29" s="1400"/>
      <c r="L29" s="2193"/>
      <c r="M29" s="2193"/>
      <c r="N29" s="2193"/>
      <c r="O29" s="2193"/>
      <c r="P29" s="2193"/>
      <c r="Q29" s="2193"/>
      <c r="R29" s="2922"/>
      <c r="S29" s="2922"/>
      <c r="T29" s="2922"/>
      <c r="U29" s="2922"/>
      <c r="V29" s="2922"/>
      <c r="W29" s="2193"/>
      <c r="X29" s="2193"/>
      <c r="Y29" s="2193"/>
      <c r="Z29" s="2193"/>
      <c r="AA29" s="2193"/>
      <c r="AB29" s="2193"/>
      <c r="AC29" s="2193"/>
      <c r="AH29" s="1401"/>
      <c r="AI29" s="1401"/>
      <c r="AJ29" s="1404"/>
      <c r="AK29" s="1404"/>
      <c r="AL29" s="1404"/>
      <c r="AM29" s="1404"/>
    </row>
    <row r="30" spans="1:40" ht="24.75" thickBot="1">
      <c r="A30" s="1507"/>
      <c r="B30" s="1508" t="s">
        <v>995</v>
      </c>
      <c r="C30" s="1050" t="e">
        <f>ROUND(IF(E2="工业",C29*M39,C29*M38),0)</f>
        <v>#DIV/0!</v>
      </c>
      <c r="D30" s="1509"/>
      <c r="E30" s="1847" t="e">
        <f>ROUND(C30*D30/10000,0)</f>
        <v>#DIV/0!</v>
      </c>
      <c r="F30" s="1510" t="s">
        <v>996</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562" t="s">
        <v>2949</v>
      </c>
      <c r="B33" s="1523" t="s">
        <v>1000</v>
      </c>
      <c r="C33" s="1062" t="e">
        <f>ROUND(D5*C19*C20*C24*F33,0)</f>
        <v>#DIV/0!</v>
      </c>
      <c r="D33" s="1536"/>
      <c r="E33" s="1047" t="e">
        <f>ROUND(C33*D33/10000,0)</f>
        <v>#DIV/0!</v>
      </c>
      <c r="F33" s="1047">
        <f>SUMIF(修正!A45:A56,G2,修正!B45:B56)</f>
        <v>0</v>
      </c>
      <c r="G33" s="1047" t="e">
        <f>ROUND(IF(E2="工业",C33*$M$39,C33*$M$38),0)</f>
        <v>#DIV/0!</v>
      </c>
      <c r="H33" s="1047">
        <f>D33</f>
        <v>0</v>
      </c>
      <c r="I33" s="1047"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563"/>
      <c r="B34" s="1444" t="s">
        <v>1001</v>
      </c>
      <c r="C34" s="1062" t="e">
        <f>ROUND(D5*C19*C20*C24*F34,0)</f>
        <v>#DIV/0!</v>
      </c>
      <c r="D34" s="1536"/>
      <c r="E34" s="1047" t="e">
        <f t="shared" ref="E34:E39" si="6">ROUND(C34*D34/10000,0)</f>
        <v>#DIV/0!</v>
      </c>
      <c r="F34" s="1047">
        <f>SUMIF(修正!A45:A56,G2,修正!C45:C56)</f>
        <v>0</v>
      </c>
      <c r="G34" s="1047" t="e">
        <f>ROUND(IF(E2="工业",C34*$M$39,C34*$M$38),0)</f>
        <v>#DIV/0!</v>
      </c>
      <c r="H34" s="1047">
        <f t="shared" ref="H34:H39" si="7">D34</f>
        <v>0</v>
      </c>
      <c r="I34" s="1047" t="e">
        <f t="shared" ref="I34:I39" si="8">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563"/>
      <c r="B35" s="1444" t="s">
        <v>1002</v>
      </c>
      <c r="C35" s="1062" t="e">
        <f>ROUND(D5*C19*C20*C24*F35,0)</f>
        <v>#DIV/0!</v>
      </c>
      <c r="D35" s="1536"/>
      <c r="E35" s="1047" t="e">
        <f t="shared" si="6"/>
        <v>#DIV/0!</v>
      </c>
      <c r="F35" s="1047">
        <f>SUMIF(修正!A45:A56,G2,修正!D45:D56)</f>
        <v>0</v>
      </c>
      <c r="G35" s="1047" t="e">
        <f>ROUND(IF(E2="工业",C35*$M$39,C35*$M$38),0)</f>
        <v>#DIV/0!</v>
      </c>
      <c r="H35" s="1047">
        <f t="shared" si="7"/>
        <v>0</v>
      </c>
      <c r="I35" s="1047" t="e">
        <f t="shared" si="8"/>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564"/>
      <c r="B36" s="1444" t="s">
        <v>1003</v>
      </c>
      <c r="C36" s="1062" t="e">
        <f>ROUND(D5*C19*C20*C24*F36,0)</f>
        <v>#DIV/0!</v>
      </c>
      <c r="D36" s="1536"/>
      <c r="E36" s="1047" t="e">
        <f t="shared" si="6"/>
        <v>#DIV/0!</v>
      </c>
      <c r="F36" s="1047">
        <f>SUMIF(修正!A45:A56,G2,修正!E45:E56)</f>
        <v>0</v>
      </c>
      <c r="G36" s="1047" t="e">
        <f>ROUND(IF(E2="工业",C36*$M$39,C36*$M$38),0)</f>
        <v>#DIV/0!</v>
      </c>
      <c r="H36" s="1047">
        <f t="shared" si="7"/>
        <v>0</v>
      </c>
      <c r="I36" s="1047" t="e">
        <f t="shared" si="8"/>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1004</v>
      </c>
      <c r="C37" s="1047" t="e">
        <f>ROUND(C5*C19*C20*C24*F37,0)</f>
        <v>#DIV/0!</v>
      </c>
      <c r="D37" s="1536"/>
      <c r="E37" s="1047" t="e">
        <f t="shared" si="6"/>
        <v>#DIV/0!</v>
      </c>
      <c r="F37" s="1062">
        <f>SUMIF(修正!A45:A56,G2,修正!F45:F56)</f>
        <v>0</v>
      </c>
      <c r="G37" s="1047" t="e">
        <f>ROUND(IF(E2="工业",C37*$M$39,C37*$M$38),0)</f>
        <v>#DIV/0!</v>
      </c>
      <c r="H37" s="1047">
        <f t="shared" si="7"/>
        <v>0</v>
      </c>
      <c r="I37" s="1047" t="e">
        <f t="shared" si="8"/>
        <v>#DIV/0!</v>
      </c>
      <c r="J37" s="1524"/>
      <c r="K37" s="1400"/>
      <c r="L37" s="1543" t="s">
        <v>1704</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1005</v>
      </c>
      <c r="C38" s="1047" t="e">
        <f>ROUND(C5*C19*C20*C24*F38,0)</f>
        <v>#DIV/0!</v>
      </c>
      <c r="D38" s="1536"/>
      <c r="E38" s="1047" t="e">
        <f t="shared" si="6"/>
        <v>#DIV/0!</v>
      </c>
      <c r="F38" s="1062">
        <f>SUMIF(修正!A45:A56,G2,修正!G45:G56)</f>
        <v>0</v>
      </c>
      <c r="G38" s="1047" t="e">
        <f>ROUND(IF(E2="工业",C38*$M$39,C38*$M$38),0)</f>
        <v>#DIV/0!</v>
      </c>
      <c r="H38" s="1047">
        <f t="shared" si="7"/>
        <v>0</v>
      </c>
      <c r="I38" s="1047" t="e">
        <f t="shared" si="8"/>
        <v>#DIV/0!</v>
      </c>
      <c r="J38" s="1524"/>
      <c r="K38" s="1400"/>
      <c r="L38" s="1545" t="s">
        <v>1706</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1006</v>
      </c>
      <c r="C39" s="1050" t="e">
        <f>ROUND(C5*C19*C20*C24*F39,0)</f>
        <v>#DIV/0!</v>
      </c>
      <c r="D39" s="1537"/>
      <c r="E39" s="1050" t="e">
        <f t="shared" si="6"/>
        <v>#DIV/0!</v>
      </c>
      <c r="F39" s="1064">
        <f>SUMIF(修正!A45:A56,G2,修正!H45:H56)</f>
        <v>0</v>
      </c>
      <c r="G39" s="1050" t="e">
        <f>ROUND(IF(E2="工业",C39*$M$39,C39*$M$38),0)</f>
        <v>#DIV/0!</v>
      </c>
      <c r="H39" s="1050">
        <f t="shared" si="7"/>
        <v>0</v>
      </c>
      <c r="I39" s="1050" t="e">
        <f t="shared" si="8"/>
        <v>#DIV/0!</v>
      </c>
      <c r="J39" s="1526"/>
      <c r="K39" s="1400"/>
      <c r="L39" s="1547" t="s">
        <v>1705</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1007</v>
      </c>
      <c r="B44" s="2418"/>
      <c r="C44" s="2419"/>
      <c r="D44" s="2420"/>
      <c r="E44" s="2420"/>
      <c r="F44" s="2421"/>
      <c r="G44" s="1065"/>
      <c r="H44" s="2421"/>
      <c r="I44" s="1065"/>
      <c r="J44" s="1065"/>
      <c r="K44" s="1065"/>
      <c r="L44" s="1065"/>
      <c r="M44" s="1065"/>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1008</v>
      </c>
      <c r="B45" s="2423">
        <f>1+E47</f>
        <v>1</v>
      </c>
      <c r="C45" s="2424"/>
      <c r="D45" s="2425"/>
      <c r="E45" s="2426"/>
      <c r="F45" s="2427"/>
      <c r="G45" s="2421"/>
      <c r="H45" s="2421"/>
      <c r="I45" s="1065"/>
      <c r="J45" s="1065"/>
      <c r="K45" s="1065"/>
      <c r="L45" s="1065"/>
      <c r="M45" s="1065"/>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6" t="s">
        <v>1009</v>
      </c>
      <c r="B46" s="2406" t="s">
        <v>1010</v>
      </c>
      <c r="C46" s="2428" t="s">
        <v>1011</v>
      </c>
      <c r="D46" s="2429" t="s">
        <v>1012</v>
      </c>
      <c r="E46" s="2430" t="s">
        <v>1014</v>
      </c>
      <c r="F46" s="2431" t="s">
        <v>2250</v>
      </c>
      <c r="G46" s="2429" t="s">
        <v>1015</v>
      </c>
      <c r="H46" s="2412" t="s">
        <v>2416</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6" t="s">
        <v>1021</v>
      </c>
      <c r="B47" s="2409" t="str">
        <f>估价对象房地状况!C16</f>
        <v>较差</v>
      </c>
      <c r="C47" s="1049"/>
      <c r="D47" s="2415">
        <f t="shared" ref="D47:D55" si="9">SUMIF($J$46:$N$46,C47,J47:N47)</f>
        <v>0</v>
      </c>
      <c r="E47" s="2434">
        <f>ROUND(SUM(D47:D55),4)</f>
        <v>0</v>
      </c>
      <c r="F47" s="2435" t="str">
        <f>IF(E2="商业",SUMIF(L1:L12,G2,N1:N12),"——")</f>
        <v>——</v>
      </c>
      <c r="G47" s="2413"/>
      <c r="H47" s="2459" t="str">
        <f t="shared" ref="H47:H55" si="10">IFERROR(ROUNDDOWN(($F$47*I47/2),4),"——")</f>
        <v>——</v>
      </c>
      <c r="I47" s="2433">
        <v>0.33</v>
      </c>
      <c r="J47" s="2436">
        <f t="shared" ref="J47:J55" si="11">K47+$G47</f>
        <v>0</v>
      </c>
      <c r="K47" s="2436">
        <f t="shared" ref="K47:K55" si="12">$L47+$G47</f>
        <v>0</v>
      </c>
      <c r="L47" s="2436">
        <v>0</v>
      </c>
      <c r="M47" s="2436">
        <f t="shared" ref="M47:N55" si="13">L47-$G47</f>
        <v>0</v>
      </c>
      <c r="N47" s="2436">
        <f t="shared" si="13"/>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6" t="s">
        <v>1022</v>
      </c>
      <c r="B48" s="2406" t="str">
        <f>估价对象房地状况!C18</f>
        <v>一般</v>
      </c>
      <c r="C48" s="1049"/>
      <c r="D48" s="2415">
        <f t="shared" si="9"/>
        <v>0</v>
      </c>
      <c r="E48" s="2437"/>
      <c r="F48" s="2435"/>
      <c r="G48" s="2413"/>
      <c r="H48" s="2459" t="str">
        <f t="shared" si="10"/>
        <v>——</v>
      </c>
      <c r="I48" s="2433">
        <v>0.25</v>
      </c>
      <c r="J48" s="2436">
        <f t="shared" si="11"/>
        <v>0</v>
      </c>
      <c r="K48" s="2436">
        <f t="shared" si="12"/>
        <v>0</v>
      </c>
      <c r="L48" s="2436">
        <v>0</v>
      </c>
      <c r="M48" s="2436">
        <f t="shared" si="13"/>
        <v>0</v>
      </c>
      <c r="N48" s="2436">
        <f t="shared" si="13"/>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6" t="s">
        <v>1023</v>
      </c>
      <c r="B49" s="2406" t="str">
        <f>估价对象房地状况!C19</f>
        <v>较好</v>
      </c>
      <c r="C49" s="1049"/>
      <c r="D49" s="2415">
        <f t="shared" si="9"/>
        <v>0</v>
      </c>
      <c r="E49" s="2437"/>
      <c r="F49" s="2435"/>
      <c r="G49" s="2413"/>
      <c r="H49" s="2459" t="str">
        <f t="shared" si="10"/>
        <v>——</v>
      </c>
      <c r="I49" s="2433">
        <v>0.05</v>
      </c>
      <c r="J49" s="2436">
        <f t="shared" si="11"/>
        <v>0</v>
      </c>
      <c r="K49" s="2436">
        <f t="shared" si="12"/>
        <v>0</v>
      </c>
      <c r="L49" s="2436">
        <v>0</v>
      </c>
      <c r="M49" s="2436">
        <f t="shared" si="13"/>
        <v>0</v>
      </c>
      <c r="N49" s="2436">
        <f t="shared" si="13"/>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6" t="s">
        <v>1024</v>
      </c>
      <c r="B50" s="3092" t="s">
        <v>2925</v>
      </c>
      <c r="C50" s="1049"/>
      <c r="D50" s="2415">
        <f t="shared" si="9"/>
        <v>0</v>
      </c>
      <c r="E50" s="2437"/>
      <c r="F50" s="2435"/>
      <c r="G50" s="2413"/>
      <c r="H50" s="2459" t="str">
        <f t="shared" si="10"/>
        <v>——</v>
      </c>
      <c r="I50" s="2433">
        <v>0.05</v>
      </c>
      <c r="J50" s="2436">
        <f t="shared" si="11"/>
        <v>0</v>
      </c>
      <c r="K50" s="2436">
        <f t="shared" si="12"/>
        <v>0</v>
      </c>
      <c r="L50" s="2436">
        <v>0</v>
      </c>
      <c r="M50" s="2436">
        <f t="shared" si="13"/>
        <v>0</v>
      </c>
      <c r="N50" s="2436">
        <f t="shared" si="13"/>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6" t="s">
        <v>1025</v>
      </c>
      <c r="B51" s="2406" t="str">
        <f>估价对象房地状况!C24</f>
        <v>次干道</v>
      </c>
      <c r="C51" s="1049"/>
      <c r="D51" s="2415">
        <f t="shared" si="9"/>
        <v>0</v>
      </c>
      <c r="E51" s="2437"/>
      <c r="F51" s="2435"/>
      <c r="G51" s="2413"/>
      <c r="H51" s="2459" t="str">
        <f t="shared" si="10"/>
        <v>——</v>
      </c>
      <c r="I51" s="2433">
        <v>0.08</v>
      </c>
      <c r="J51" s="2436">
        <f t="shared" si="11"/>
        <v>0</v>
      </c>
      <c r="K51" s="2436">
        <f t="shared" si="12"/>
        <v>0</v>
      </c>
      <c r="L51" s="2436">
        <v>0</v>
      </c>
      <c r="M51" s="2436">
        <f t="shared" si="13"/>
        <v>0</v>
      </c>
      <c r="N51" s="2436">
        <f t="shared" si="13"/>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6" t="s">
        <v>1026</v>
      </c>
      <c r="B52" s="3091" t="s">
        <v>2924</v>
      </c>
      <c r="C52" s="1049"/>
      <c r="D52" s="2415">
        <f t="shared" si="9"/>
        <v>0</v>
      </c>
      <c r="E52" s="2437"/>
      <c r="F52" s="2435"/>
      <c r="G52" s="2413"/>
      <c r="H52" s="2459" t="str">
        <f t="shared" si="10"/>
        <v>——</v>
      </c>
      <c r="I52" s="2433">
        <v>0.03</v>
      </c>
      <c r="J52" s="2436">
        <f t="shared" si="11"/>
        <v>0</v>
      </c>
      <c r="K52" s="2436">
        <f t="shared" si="12"/>
        <v>0</v>
      </c>
      <c r="L52" s="2436">
        <v>0</v>
      </c>
      <c r="M52" s="2436">
        <f t="shared" si="13"/>
        <v>0</v>
      </c>
      <c r="N52" s="2436">
        <f t="shared" si="13"/>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38" t="s">
        <v>1027</v>
      </c>
      <c r="B53" s="2407" t="str">
        <f>估价对象房地状况!C21</f>
        <v>一般</v>
      </c>
      <c r="C53" s="1049"/>
      <c r="D53" s="2415">
        <f t="shared" si="9"/>
        <v>0</v>
      </c>
      <c r="E53" s="2437"/>
      <c r="F53" s="2435"/>
      <c r="G53" s="2413"/>
      <c r="H53" s="2459" t="str">
        <f t="shared" si="10"/>
        <v>——</v>
      </c>
      <c r="I53" s="2433">
        <v>0.05</v>
      </c>
      <c r="J53" s="2436">
        <f t="shared" si="11"/>
        <v>0</v>
      </c>
      <c r="K53" s="2436">
        <f t="shared" si="12"/>
        <v>0</v>
      </c>
      <c r="L53" s="2436">
        <v>0</v>
      </c>
      <c r="M53" s="2436">
        <f t="shared" si="13"/>
        <v>0</v>
      </c>
      <c r="N53" s="2436">
        <f t="shared" si="13"/>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1028</v>
      </c>
      <c r="B54" s="2406" t="str">
        <f>估价对象房地状况!C22</f>
        <v>七通</v>
      </c>
      <c r="C54" s="1049"/>
      <c r="D54" s="2415">
        <f t="shared" si="9"/>
        <v>0</v>
      </c>
      <c r="E54" s="2437"/>
      <c r="F54" s="2435"/>
      <c r="G54" s="2413"/>
      <c r="H54" s="2459" t="str">
        <f t="shared" si="10"/>
        <v>——</v>
      </c>
      <c r="I54" s="2433">
        <v>0.1</v>
      </c>
      <c r="J54" s="2436">
        <f t="shared" si="11"/>
        <v>0</v>
      </c>
      <c r="K54" s="2436">
        <f t="shared" si="12"/>
        <v>0</v>
      </c>
      <c r="L54" s="2436">
        <v>0</v>
      </c>
      <c r="M54" s="2436">
        <f t="shared" si="13"/>
        <v>0</v>
      </c>
      <c r="N54" s="2436">
        <f t="shared" si="13"/>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39" t="s">
        <v>1029</v>
      </c>
      <c r="B55" s="2410" t="str">
        <f>估价对象房地状况!C20</f>
        <v>一般</v>
      </c>
      <c r="C55" s="1049"/>
      <c r="D55" s="2415">
        <f t="shared" si="9"/>
        <v>0</v>
      </c>
      <c r="E55" s="2441"/>
      <c r="F55" s="2435"/>
      <c r="G55" s="2413"/>
      <c r="H55" s="2459" t="str">
        <f t="shared" si="10"/>
        <v>——</v>
      </c>
      <c r="I55" s="2440">
        <v>0.06</v>
      </c>
      <c r="J55" s="2436">
        <f t="shared" si="11"/>
        <v>0</v>
      </c>
      <c r="K55" s="2436">
        <f t="shared" si="12"/>
        <v>0</v>
      </c>
      <c r="L55" s="2436">
        <v>0</v>
      </c>
      <c r="M55" s="2436">
        <f t="shared" si="13"/>
        <v>0</v>
      </c>
      <c r="N55" s="2436">
        <f t="shared" si="13"/>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1030</v>
      </c>
      <c r="B56" s="2423">
        <f>1+E58</f>
        <v>1</v>
      </c>
      <c r="C56" s="2442"/>
      <c r="D56" s="2425"/>
      <c r="E56" s="2426"/>
      <c r="F56" s="2427"/>
      <c r="G56" s="2421"/>
      <c r="H56" s="2421"/>
      <c r="I56" s="2421"/>
      <c r="J56" s="1065"/>
      <c r="K56" s="1065"/>
      <c r="L56" s="1065"/>
      <c r="M56" s="1065"/>
      <c r="N56" s="1065"/>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6" t="s">
        <v>1009</v>
      </c>
      <c r="B57" s="2406"/>
      <c r="C57" s="2428" t="s">
        <v>1011</v>
      </c>
      <c r="D57" s="2429" t="s">
        <v>1012</v>
      </c>
      <c r="E57" s="2430" t="s">
        <v>1014</v>
      </c>
      <c r="F57" s="2431" t="s">
        <v>2251</v>
      </c>
      <c r="G57" s="2429" t="s">
        <v>1015</v>
      </c>
      <c r="H57" s="2412" t="s">
        <v>2416</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6" t="s">
        <v>1031</v>
      </c>
      <c r="B58" s="2409">
        <f>估价对象房地状况!C17</f>
        <v>0</v>
      </c>
      <c r="C58" s="1049"/>
      <c r="D58" s="2415">
        <f t="shared" ref="D58:D66" si="14">SUMIF($J$57:$N$57,C58,J58:N58)</f>
        <v>0</v>
      </c>
      <c r="E58" s="2434">
        <f>ROUND(SUM(D58:D66),4)</f>
        <v>0</v>
      </c>
      <c r="F58" s="2435" t="str">
        <f>IF(E2="办公",SUMIF(L1:L12,G2,N1:N12),"——")</f>
        <v>——</v>
      </c>
      <c r="G58" s="2413"/>
      <c r="H58" s="2459" t="str">
        <f>IFERROR(ROUNDDOWN($F$58*I58/2,4),"——")</f>
        <v>——</v>
      </c>
      <c r="I58" s="2433">
        <v>0.24</v>
      </c>
      <c r="J58" s="2436">
        <f t="shared" ref="J58:J66" si="15">K58+$G58</f>
        <v>0</v>
      </c>
      <c r="K58" s="2436">
        <f t="shared" ref="K58:K66" si="16">$L58+$G58</f>
        <v>0</v>
      </c>
      <c r="L58" s="2436">
        <v>0</v>
      </c>
      <c r="M58" s="2436">
        <f t="shared" ref="M58:N66" si="17">L58-$G58</f>
        <v>0</v>
      </c>
      <c r="N58" s="2436">
        <f t="shared" si="17"/>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6" t="s">
        <v>1022</v>
      </c>
      <c r="B59" s="2406" t="str">
        <f>估价对象房地状况!C18</f>
        <v>一般</v>
      </c>
      <c r="C59" s="1049"/>
      <c r="D59" s="2415">
        <f t="shared" si="14"/>
        <v>0</v>
      </c>
      <c r="E59" s="2437"/>
      <c r="F59" s="2435"/>
      <c r="G59" s="2413"/>
      <c r="H59" s="2414" t="str">
        <f t="shared" ref="H59:H66" si="18">IFERROR($F$58*I59/2,"——")</f>
        <v>——</v>
      </c>
      <c r="I59" s="2433">
        <v>0.3</v>
      </c>
      <c r="J59" s="2436">
        <f t="shared" si="15"/>
        <v>0</v>
      </c>
      <c r="K59" s="2436">
        <f t="shared" si="16"/>
        <v>0</v>
      </c>
      <c r="L59" s="2436">
        <v>0</v>
      </c>
      <c r="M59" s="2436">
        <f t="shared" si="17"/>
        <v>0</v>
      </c>
      <c r="N59" s="2436">
        <f t="shared" si="17"/>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6" t="s">
        <v>1023</v>
      </c>
      <c r="B60" s="2406" t="str">
        <f>估价对象房地状况!C19</f>
        <v>较好</v>
      </c>
      <c r="C60" s="1049"/>
      <c r="D60" s="2415">
        <f t="shared" si="14"/>
        <v>0</v>
      </c>
      <c r="E60" s="2437"/>
      <c r="F60" s="2435"/>
      <c r="G60" s="2413"/>
      <c r="H60" s="2414" t="str">
        <f t="shared" si="18"/>
        <v>——</v>
      </c>
      <c r="I60" s="2433">
        <v>0.08</v>
      </c>
      <c r="J60" s="2436">
        <f t="shared" si="15"/>
        <v>0</v>
      </c>
      <c r="K60" s="2436">
        <f t="shared" si="16"/>
        <v>0</v>
      </c>
      <c r="L60" s="2436">
        <v>0</v>
      </c>
      <c r="M60" s="2436">
        <f t="shared" si="17"/>
        <v>0</v>
      </c>
      <c r="N60" s="2436">
        <f t="shared" si="17"/>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6" t="s">
        <v>1024</v>
      </c>
      <c r="B61" s="3092" t="s">
        <v>2926</v>
      </c>
      <c r="C61" s="1049"/>
      <c r="D61" s="2415">
        <f t="shared" si="14"/>
        <v>0</v>
      </c>
      <c r="E61" s="2437"/>
      <c r="F61" s="2435"/>
      <c r="G61" s="2413"/>
      <c r="H61" s="2414" t="str">
        <f t="shared" si="18"/>
        <v>——</v>
      </c>
      <c r="I61" s="2433">
        <v>0.04</v>
      </c>
      <c r="J61" s="2436">
        <f t="shared" si="15"/>
        <v>0</v>
      </c>
      <c r="K61" s="2436">
        <f t="shared" si="16"/>
        <v>0</v>
      </c>
      <c r="L61" s="2436">
        <v>0</v>
      </c>
      <c r="M61" s="2436">
        <f t="shared" si="17"/>
        <v>0</v>
      </c>
      <c r="N61" s="2436">
        <f t="shared" si="17"/>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6" t="s">
        <v>1025</v>
      </c>
      <c r="B62" s="2406" t="str">
        <f>估价对象房地状况!C24</f>
        <v>次干道</v>
      </c>
      <c r="C62" s="1049"/>
      <c r="D62" s="2415">
        <f t="shared" si="14"/>
        <v>0</v>
      </c>
      <c r="E62" s="2437"/>
      <c r="F62" s="2435"/>
      <c r="G62" s="2413"/>
      <c r="H62" s="2414" t="str">
        <f t="shared" si="18"/>
        <v>——</v>
      </c>
      <c r="I62" s="2433">
        <v>0.05</v>
      </c>
      <c r="J62" s="2436">
        <f t="shared" si="15"/>
        <v>0</v>
      </c>
      <c r="K62" s="2436">
        <f t="shared" si="16"/>
        <v>0</v>
      </c>
      <c r="L62" s="2436">
        <v>0</v>
      </c>
      <c r="M62" s="2436">
        <f t="shared" si="17"/>
        <v>0</v>
      </c>
      <c r="N62" s="2436">
        <f t="shared" si="17"/>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6" t="s">
        <v>1026</v>
      </c>
      <c r="B63" s="3091" t="s">
        <v>2924</v>
      </c>
      <c r="C63" s="1049"/>
      <c r="D63" s="2415">
        <f t="shared" si="14"/>
        <v>0</v>
      </c>
      <c r="E63" s="2437"/>
      <c r="F63" s="2435"/>
      <c r="G63" s="2413"/>
      <c r="H63" s="2414" t="str">
        <f t="shared" si="18"/>
        <v>——</v>
      </c>
      <c r="I63" s="2433">
        <v>0.05</v>
      </c>
      <c r="J63" s="2436">
        <f t="shared" si="15"/>
        <v>0</v>
      </c>
      <c r="K63" s="2436">
        <f t="shared" si="16"/>
        <v>0</v>
      </c>
      <c r="L63" s="2436">
        <v>0</v>
      </c>
      <c r="M63" s="2436">
        <f t="shared" si="17"/>
        <v>0</v>
      </c>
      <c r="N63" s="2436">
        <f t="shared" si="17"/>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6" t="s">
        <v>1027</v>
      </c>
      <c r="B64" s="2407" t="str">
        <f>估价对象房地状况!C21</f>
        <v>一般</v>
      </c>
      <c r="C64" s="1049"/>
      <c r="D64" s="2415">
        <f t="shared" si="14"/>
        <v>0</v>
      </c>
      <c r="E64" s="2437"/>
      <c r="F64" s="2435"/>
      <c r="G64" s="2413"/>
      <c r="H64" s="2414" t="str">
        <f t="shared" si="18"/>
        <v>——</v>
      </c>
      <c r="I64" s="2433">
        <v>0.06</v>
      </c>
      <c r="J64" s="2436">
        <f t="shared" si="15"/>
        <v>0</v>
      </c>
      <c r="K64" s="2436">
        <f t="shared" si="16"/>
        <v>0</v>
      </c>
      <c r="L64" s="2436">
        <v>0</v>
      </c>
      <c r="M64" s="2436">
        <f t="shared" si="17"/>
        <v>0</v>
      </c>
      <c r="N64" s="2436">
        <f t="shared" si="17"/>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6" t="s">
        <v>1028</v>
      </c>
      <c r="B65" s="2407" t="str">
        <f>估价对象房地状况!C22</f>
        <v>七通</v>
      </c>
      <c r="C65" s="1049"/>
      <c r="D65" s="2415">
        <f t="shared" si="14"/>
        <v>0</v>
      </c>
      <c r="E65" s="2437"/>
      <c r="F65" s="2435"/>
      <c r="G65" s="2413"/>
      <c r="H65" s="2414" t="str">
        <f t="shared" si="18"/>
        <v>——</v>
      </c>
      <c r="I65" s="2433">
        <v>0.12</v>
      </c>
      <c r="J65" s="2436">
        <f t="shared" si="15"/>
        <v>0</v>
      </c>
      <c r="K65" s="2436">
        <f t="shared" si="16"/>
        <v>0</v>
      </c>
      <c r="L65" s="2436">
        <v>0</v>
      </c>
      <c r="M65" s="2436">
        <f t="shared" si="17"/>
        <v>0</v>
      </c>
      <c r="N65" s="2436">
        <f t="shared" si="17"/>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39" t="s">
        <v>1029</v>
      </c>
      <c r="B66" s="2411" t="str">
        <f>估价对象房地状况!C20</f>
        <v>一般</v>
      </c>
      <c r="C66" s="1049"/>
      <c r="D66" s="2415">
        <f t="shared" si="14"/>
        <v>0</v>
      </c>
      <c r="E66" s="2441"/>
      <c r="F66" s="2435"/>
      <c r="G66" s="2413"/>
      <c r="H66" s="2414" t="str">
        <f t="shared" si="18"/>
        <v>——</v>
      </c>
      <c r="I66" s="2440">
        <v>0.06</v>
      </c>
      <c r="J66" s="2436">
        <f t="shared" si="15"/>
        <v>0</v>
      </c>
      <c r="K66" s="2436">
        <f t="shared" si="16"/>
        <v>0</v>
      </c>
      <c r="L66" s="2436">
        <v>0</v>
      </c>
      <c r="M66" s="2436">
        <f t="shared" si="17"/>
        <v>0</v>
      </c>
      <c r="N66" s="2436">
        <f t="shared" si="17"/>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1032</v>
      </c>
      <c r="B67" s="2423">
        <f>1+E69</f>
        <v>1</v>
      </c>
      <c r="C67" s="2442"/>
      <c r="D67" s="2425"/>
      <c r="E67" s="2426"/>
      <c r="F67" s="2427"/>
      <c r="G67" s="2421"/>
      <c r="H67" s="2421"/>
      <c r="I67" s="2421"/>
      <c r="J67" s="1065"/>
      <c r="K67" s="1065"/>
      <c r="L67" s="1065"/>
      <c r="M67" s="1065"/>
      <c r="N67" s="1065"/>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6" t="s">
        <v>1009</v>
      </c>
      <c r="B68" s="2406"/>
      <c r="C68" s="2428" t="s">
        <v>1011</v>
      </c>
      <c r="D68" s="2429" t="s">
        <v>1012</v>
      </c>
      <c r="E68" s="2430" t="s">
        <v>1014</v>
      </c>
      <c r="F68" s="2431" t="s">
        <v>2252</v>
      </c>
      <c r="G68" s="2429" t="s">
        <v>1015</v>
      </c>
      <c r="H68" s="2412" t="s">
        <v>2416</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6" t="s">
        <v>1033</v>
      </c>
      <c r="B69" s="2409" t="str">
        <f>估价对象房地状况!C15</f>
        <v>一般</v>
      </c>
      <c r="C69" s="1158"/>
      <c r="D69" s="2415">
        <f t="shared" ref="D69:D77" si="19">SUMIF($J$68:$N$68,C69,J69:N69)</f>
        <v>0</v>
      </c>
      <c r="E69" s="2434">
        <f>ROUND(SUM(D69:D77),4)</f>
        <v>0</v>
      </c>
      <c r="F69" s="2435" t="str">
        <f>IF(E2="住宅",SUMIF(L1:L12,G2,N1:N12),"——")</f>
        <v>——</v>
      </c>
      <c r="G69" s="2416"/>
      <c r="H69" s="2460" t="str">
        <f t="shared" ref="H69:H77" si="20">IFERROR(ROUNDDOWN($F$69*I69/2,4),"——")</f>
        <v>——</v>
      </c>
      <c r="I69" s="2433">
        <v>0.14000000000000001</v>
      </c>
      <c r="J69" s="2436">
        <f t="shared" ref="J69:J77" si="21">K69+$G69</f>
        <v>0</v>
      </c>
      <c r="K69" s="2436">
        <f t="shared" ref="K69:K77" si="22">$L69+$G69</f>
        <v>0</v>
      </c>
      <c r="L69" s="2436">
        <v>0</v>
      </c>
      <c r="M69" s="2436">
        <f t="shared" ref="M69:N77" si="23">L69-$G69</f>
        <v>0</v>
      </c>
      <c r="N69" s="2436">
        <f t="shared" si="23"/>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6" t="s">
        <v>1034</v>
      </c>
      <c r="B70" s="2406" t="str">
        <f>估价对象房地状况!C18</f>
        <v>一般</v>
      </c>
      <c r="C70" s="1158"/>
      <c r="D70" s="2415">
        <f t="shared" si="19"/>
        <v>0</v>
      </c>
      <c r="E70" s="2443"/>
      <c r="F70" s="2444"/>
      <c r="G70" s="2416"/>
      <c r="H70" s="2460" t="str">
        <f t="shared" si="20"/>
        <v>——</v>
      </c>
      <c r="I70" s="2433">
        <v>0.3</v>
      </c>
      <c r="J70" s="2436">
        <f t="shared" si="21"/>
        <v>0</v>
      </c>
      <c r="K70" s="2436">
        <f t="shared" si="22"/>
        <v>0</v>
      </c>
      <c r="L70" s="2436">
        <v>0</v>
      </c>
      <c r="M70" s="2436">
        <f t="shared" si="23"/>
        <v>0</v>
      </c>
      <c r="N70" s="2436">
        <f t="shared" si="23"/>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6" t="s">
        <v>1023</v>
      </c>
      <c r="B71" s="2406" t="str">
        <f>估价对象房地状况!C19</f>
        <v>较好</v>
      </c>
      <c r="C71" s="1158"/>
      <c r="D71" s="2415">
        <f t="shared" si="19"/>
        <v>0</v>
      </c>
      <c r="E71" s="2443"/>
      <c r="F71" s="2444"/>
      <c r="G71" s="2416"/>
      <c r="H71" s="2460" t="str">
        <f t="shared" si="20"/>
        <v>——</v>
      </c>
      <c r="I71" s="2433">
        <v>0.08</v>
      </c>
      <c r="J71" s="2436">
        <f t="shared" si="21"/>
        <v>0</v>
      </c>
      <c r="K71" s="2436">
        <f t="shared" si="22"/>
        <v>0</v>
      </c>
      <c r="L71" s="2436">
        <v>0</v>
      </c>
      <c r="M71" s="2436">
        <f t="shared" si="23"/>
        <v>0</v>
      </c>
      <c r="N71" s="2436">
        <f t="shared" si="23"/>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6" t="s">
        <v>1035</v>
      </c>
      <c r="B72" s="2406" t="str">
        <f>估价对象房地状况!C24</f>
        <v>次干道</v>
      </c>
      <c r="C72" s="1158"/>
      <c r="D72" s="2415">
        <f t="shared" si="19"/>
        <v>0</v>
      </c>
      <c r="E72" s="2443"/>
      <c r="F72" s="2444"/>
      <c r="G72" s="2416"/>
      <c r="H72" s="2460" t="str">
        <f t="shared" si="20"/>
        <v>——</v>
      </c>
      <c r="I72" s="2433">
        <v>0.04</v>
      </c>
      <c r="J72" s="2436">
        <f t="shared" si="21"/>
        <v>0</v>
      </c>
      <c r="K72" s="2436">
        <f t="shared" si="22"/>
        <v>0</v>
      </c>
      <c r="L72" s="2436">
        <v>0</v>
      </c>
      <c r="M72" s="2436">
        <f t="shared" si="23"/>
        <v>0</v>
      </c>
      <c r="N72" s="2436">
        <f t="shared" si="23"/>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6" t="s">
        <v>1027</v>
      </c>
      <c r="B73" s="2407" t="str">
        <f>估价对象房地状况!C21</f>
        <v>一般</v>
      </c>
      <c r="C73" s="1158"/>
      <c r="D73" s="2415">
        <f t="shared" si="19"/>
        <v>0</v>
      </c>
      <c r="E73" s="2443"/>
      <c r="F73" s="2444"/>
      <c r="G73" s="2416"/>
      <c r="H73" s="2460" t="str">
        <f t="shared" si="20"/>
        <v>——</v>
      </c>
      <c r="I73" s="2433">
        <v>0.08</v>
      </c>
      <c r="J73" s="2436">
        <f t="shared" si="21"/>
        <v>0</v>
      </c>
      <c r="K73" s="2436">
        <f t="shared" si="22"/>
        <v>0</v>
      </c>
      <c r="L73" s="2436">
        <v>0</v>
      </c>
      <c r="M73" s="2436">
        <f t="shared" si="23"/>
        <v>0</v>
      </c>
      <c r="N73" s="2436">
        <f t="shared" si="23"/>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6" t="s">
        <v>1028</v>
      </c>
      <c r="B74" s="2407" t="str">
        <f>估价对象房地状况!C22</f>
        <v>七通</v>
      </c>
      <c r="C74" s="1158"/>
      <c r="D74" s="2415">
        <f t="shared" si="19"/>
        <v>0</v>
      </c>
      <c r="E74" s="2443"/>
      <c r="F74" s="2444"/>
      <c r="G74" s="2416"/>
      <c r="H74" s="2460" t="str">
        <f t="shared" si="20"/>
        <v>——</v>
      </c>
      <c r="I74" s="2433">
        <v>0.12</v>
      </c>
      <c r="J74" s="2436">
        <f t="shared" si="21"/>
        <v>0</v>
      </c>
      <c r="K74" s="2436">
        <f t="shared" si="22"/>
        <v>0</v>
      </c>
      <c r="L74" s="2436">
        <v>0</v>
      </c>
      <c r="M74" s="2436">
        <f t="shared" si="23"/>
        <v>0</v>
      </c>
      <c r="N74" s="2436">
        <f t="shared" si="23"/>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6" t="s">
        <v>1026</v>
      </c>
      <c r="B75" s="3091" t="s">
        <v>2924</v>
      </c>
      <c r="C75" s="1158"/>
      <c r="D75" s="2415">
        <f t="shared" si="19"/>
        <v>0</v>
      </c>
      <c r="E75" s="2443"/>
      <c r="F75" s="2444"/>
      <c r="G75" s="2416"/>
      <c r="H75" s="2460" t="str">
        <f t="shared" si="20"/>
        <v>——</v>
      </c>
      <c r="I75" s="2433">
        <v>0.05</v>
      </c>
      <c r="J75" s="2436">
        <f t="shared" si="21"/>
        <v>0</v>
      </c>
      <c r="K75" s="2436">
        <f t="shared" si="22"/>
        <v>0</v>
      </c>
      <c r="L75" s="2436">
        <v>0</v>
      </c>
      <c r="M75" s="2436">
        <f t="shared" si="23"/>
        <v>0</v>
      </c>
      <c r="N75" s="2436">
        <f t="shared" si="23"/>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6" t="s">
        <v>1029</v>
      </c>
      <c r="B76" s="2409" t="str">
        <f>估价对象房地状况!C20</f>
        <v>一般</v>
      </c>
      <c r="C76" s="1158"/>
      <c r="D76" s="2415">
        <f t="shared" si="19"/>
        <v>0</v>
      </c>
      <c r="E76" s="2443"/>
      <c r="F76" s="2444"/>
      <c r="G76" s="2416"/>
      <c r="H76" s="2460" t="str">
        <f t="shared" si="20"/>
        <v>——</v>
      </c>
      <c r="I76" s="2433">
        <v>0.15</v>
      </c>
      <c r="J76" s="2436">
        <f t="shared" si="21"/>
        <v>0</v>
      </c>
      <c r="K76" s="2436">
        <f t="shared" si="22"/>
        <v>0</v>
      </c>
      <c r="L76" s="2436">
        <v>0</v>
      </c>
      <c r="M76" s="2436">
        <f t="shared" si="23"/>
        <v>0</v>
      </c>
      <c r="N76" s="2436">
        <f t="shared" si="23"/>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1036</v>
      </c>
      <c r="B77" s="1848"/>
      <c r="C77" s="1158"/>
      <c r="D77" s="2415">
        <f t="shared" si="19"/>
        <v>0</v>
      </c>
      <c r="E77" s="2445"/>
      <c r="F77" s="2444"/>
      <c r="G77" s="2416"/>
      <c r="H77" s="2460" t="str">
        <f t="shared" si="20"/>
        <v>——</v>
      </c>
      <c r="I77" s="2440">
        <v>0.04</v>
      </c>
      <c r="J77" s="2436">
        <f t="shared" si="21"/>
        <v>0</v>
      </c>
      <c r="K77" s="2436">
        <f t="shared" si="22"/>
        <v>0</v>
      </c>
      <c r="L77" s="2436">
        <v>0</v>
      </c>
      <c r="M77" s="2436">
        <f t="shared" si="23"/>
        <v>0</v>
      </c>
      <c r="N77" s="2436">
        <f t="shared" si="23"/>
        <v>0</v>
      </c>
      <c r="AC77" s="1404"/>
      <c r="AD77" s="1403"/>
      <c r="AJ77" s="1402"/>
      <c r="AN77" s="1403"/>
    </row>
    <row r="78" spans="1:40" ht="15">
      <c r="A78" s="2422" t="s">
        <v>1037</v>
      </c>
      <c r="B78" s="2423">
        <f>1+E80</f>
        <v>1</v>
      </c>
      <c r="C78" s="2442"/>
      <c r="D78" s="2425"/>
      <c r="E78" s="2426"/>
      <c r="F78" s="2427"/>
      <c r="G78" s="2421"/>
      <c r="H78" s="2421"/>
      <c r="I78" s="2421"/>
      <c r="J78" s="1065"/>
      <c r="K78" s="1065"/>
      <c r="L78" s="1065"/>
      <c r="M78" s="1065"/>
      <c r="N78" s="1065"/>
      <c r="AC78" s="1404"/>
      <c r="AD78" s="1403"/>
      <c r="AJ78" s="1402"/>
      <c r="AN78" s="1403"/>
    </row>
    <row r="79" spans="1:40" ht="24">
      <c r="A79" s="1066" t="s">
        <v>1009</v>
      </c>
      <c r="B79" s="2406"/>
      <c r="C79" s="2428" t="s">
        <v>1011</v>
      </c>
      <c r="D79" s="2429" t="s">
        <v>1012</v>
      </c>
      <c r="E79" s="2430" t="s">
        <v>1014</v>
      </c>
      <c r="F79" s="2431" t="s">
        <v>2253</v>
      </c>
      <c r="G79" s="2429" t="s">
        <v>1015</v>
      </c>
      <c r="H79" s="2412" t="s">
        <v>2416</v>
      </c>
      <c r="I79" s="2429" t="s">
        <v>1013</v>
      </c>
      <c r="J79" s="2432" t="s">
        <v>1016</v>
      </c>
      <c r="K79" s="2432" t="s">
        <v>1017</v>
      </c>
      <c r="L79" s="2432" t="s">
        <v>1018</v>
      </c>
      <c r="M79" s="2432" t="s">
        <v>1019</v>
      </c>
      <c r="N79" s="2432" t="s">
        <v>1020</v>
      </c>
      <c r="AC79" s="1404"/>
      <c r="AD79" s="1403"/>
      <c r="AJ79" s="1402"/>
      <c r="AN79" s="1403"/>
    </row>
    <row r="80" spans="1:40" ht="24">
      <c r="A80" s="1066" t="s">
        <v>1038</v>
      </c>
      <c r="B80" s="2406">
        <f>估价对象房地状况!G15</f>
        <v>0</v>
      </c>
      <c r="C80" s="1049"/>
      <c r="D80" s="2415">
        <f t="shared" ref="D80:D87" si="24">SUMIF($J$79:$N$79,C80,J80:N80)</f>
        <v>0</v>
      </c>
      <c r="E80" s="2434">
        <f>ROUND(SUM(D80:D87),4)</f>
        <v>0</v>
      </c>
      <c r="F80" s="2435" t="str">
        <f>IF(E2="工业",SUMIF(L1:L12,G2,N1:N12),"——")</f>
        <v>——</v>
      </c>
      <c r="G80" s="2413"/>
      <c r="H80" s="2459" t="str">
        <f t="shared" ref="H80:H87" si="25">IFERROR(ROUNDDOWN($F$80*I80/2,4),"——")</f>
        <v>——</v>
      </c>
      <c r="I80" s="2433">
        <v>0.26</v>
      </c>
      <c r="J80" s="2436">
        <f t="shared" ref="J80:J87" si="26">K80+$G80</f>
        <v>0</v>
      </c>
      <c r="K80" s="2436">
        <f t="shared" ref="K80:K87" si="27">$L80+$G80</f>
        <v>0</v>
      </c>
      <c r="L80" s="2436">
        <v>0</v>
      </c>
      <c r="M80" s="2436">
        <f t="shared" ref="M80:N87" si="28">L80-$G80</f>
        <v>0</v>
      </c>
      <c r="N80" s="2436">
        <f t="shared" si="28"/>
        <v>0</v>
      </c>
      <c r="AC80" s="1404"/>
      <c r="AD80" s="1403"/>
      <c r="AJ80" s="1402"/>
      <c r="AN80" s="1403"/>
    </row>
    <row r="81" spans="1:40" ht="14.25">
      <c r="A81" s="1066" t="s">
        <v>1034</v>
      </c>
      <c r="B81" s="2406">
        <f>估价对象房地状况!G16</f>
        <v>0</v>
      </c>
      <c r="C81" s="1049"/>
      <c r="D81" s="2415">
        <f t="shared" si="24"/>
        <v>0</v>
      </c>
      <c r="E81" s="2443"/>
      <c r="F81" s="2444"/>
      <c r="G81" s="2413"/>
      <c r="H81" s="2459" t="str">
        <f t="shared" si="25"/>
        <v>——</v>
      </c>
      <c r="I81" s="2433">
        <v>0.33</v>
      </c>
      <c r="J81" s="2436">
        <f t="shared" si="26"/>
        <v>0</v>
      </c>
      <c r="K81" s="2436">
        <f t="shared" si="27"/>
        <v>0</v>
      </c>
      <c r="L81" s="2436">
        <v>0</v>
      </c>
      <c r="M81" s="2436">
        <f t="shared" si="28"/>
        <v>0</v>
      </c>
      <c r="N81" s="2436">
        <f t="shared" si="28"/>
        <v>0</v>
      </c>
      <c r="AC81" s="1404"/>
      <c r="AD81" s="1403"/>
      <c r="AJ81" s="1402"/>
      <c r="AN81" s="1403"/>
    </row>
    <row r="82" spans="1:40" ht="24">
      <c r="A82" s="1066" t="s">
        <v>1023</v>
      </c>
      <c r="B82" s="2406">
        <f>估价对象房地状况!G17</f>
        <v>0</v>
      </c>
      <c r="C82" s="1049"/>
      <c r="D82" s="2415">
        <f t="shared" si="24"/>
        <v>0</v>
      </c>
      <c r="E82" s="2443"/>
      <c r="F82" s="2444"/>
      <c r="G82" s="2413"/>
      <c r="H82" s="2459" t="str">
        <f t="shared" si="25"/>
        <v>——</v>
      </c>
      <c r="I82" s="2433">
        <v>0.05</v>
      </c>
      <c r="J82" s="2436">
        <f t="shared" si="26"/>
        <v>0</v>
      </c>
      <c r="K82" s="2436">
        <f t="shared" si="27"/>
        <v>0</v>
      </c>
      <c r="L82" s="2436">
        <v>0</v>
      </c>
      <c r="M82" s="2436">
        <f t="shared" si="28"/>
        <v>0</v>
      </c>
      <c r="N82" s="2436">
        <f t="shared" si="28"/>
        <v>0</v>
      </c>
      <c r="AC82" s="1404"/>
      <c r="AD82" s="1403"/>
      <c r="AJ82" s="1402"/>
      <c r="AN82" s="1403"/>
    </row>
    <row r="83" spans="1:40" ht="14.25">
      <c r="A83" s="1066" t="s">
        <v>1035</v>
      </c>
      <c r="B83" s="2406">
        <f>估价对象房地状况!G22</f>
        <v>0</v>
      </c>
      <c r="C83" s="1049"/>
      <c r="D83" s="2415">
        <f t="shared" si="24"/>
        <v>0</v>
      </c>
      <c r="E83" s="2443"/>
      <c r="F83" s="2444"/>
      <c r="G83" s="2413"/>
      <c r="H83" s="2459" t="str">
        <f t="shared" si="25"/>
        <v>——</v>
      </c>
      <c r="I83" s="2433">
        <v>0.04</v>
      </c>
      <c r="J83" s="2436">
        <f t="shared" si="26"/>
        <v>0</v>
      </c>
      <c r="K83" s="2436">
        <f t="shared" si="27"/>
        <v>0</v>
      </c>
      <c r="L83" s="2436">
        <v>0</v>
      </c>
      <c r="M83" s="2436">
        <f t="shared" si="28"/>
        <v>0</v>
      </c>
      <c r="N83" s="2436">
        <f t="shared" si="28"/>
        <v>0</v>
      </c>
      <c r="AC83" s="1404"/>
      <c r="AD83" s="1403"/>
      <c r="AJ83" s="1402"/>
      <c r="AN83" s="1403"/>
    </row>
    <row r="84" spans="1:40" ht="24">
      <c r="A84" s="1066" t="s">
        <v>1027</v>
      </c>
      <c r="B84" s="2407">
        <f>估价对象房地状况!G19</f>
        <v>0</v>
      </c>
      <c r="C84" s="1049"/>
      <c r="D84" s="2415">
        <f t="shared" si="24"/>
        <v>0</v>
      </c>
      <c r="E84" s="2443"/>
      <c r="F84" s="2444"/>
      <c r="G84" s="2413"/>
      <c r="H84" s="2459" t="str">
        <f t="shared" si="25"/>
        <v>——</v>
      </c>
      <c r="I84" s="2433">
        <v>0.06</v>
      </c>
      <c r="J84" s="2436">
        <f t="shared" si="26"/>
        <v>0</v>
      </c>
      <c r="K84" s="2436">
        <f t="shared" si="27"/>
        <v>0</v>
      </c>
      <c r="L84" s="2436">
        <v>0</v>
      </c>
      <c r="M84" s="2436">
        <f t="shared" si="28"/>
        <v>0</v>
      </c>
      <c r="N84" s="2436">
        <f t="shared" si="28"/>
        <v>0</v>
      </c>
      <c r="AC84" s="1404"/>
      <c r="AD84" s="1403"/>
      <c r="AJ84" s="1402"/>
      <c r="AN84" s="1403"/>
    </row>
    <row r="85" spans="1:40" ht="24">
      <c r="A85" s="1066" t="s">
        <v>1028</v>
      </c>
      <c r="B85" s="2407">
        <f>估价对象房地状况!G20</f>
        <v>0</v>
      </c>
      <c r="C85" s="1049"/>
      <c r="D85" s="2415">
        <f t="shared" si="24"/>
        <v>0</v>
      </c>
      <c r="E85" s="2443"/>
      <c r="F85" s="2444"/>
      <c r="G85" s="2413"/>
      <c r="H85" s="2459" t="str">
        <f t="shared" si="25"/>
        <v>——</v>
      </c>
      <c r="I85" s="2433">
        <v>0.15</v>
      </c>
      <c r="J85" s="2436">
        <f t="shared" si="26"/>
        <v>0</v>
      </c>
      <c r="K85" s="2436">
        <f t="shared" si="27"/>
        <v>0</v>
      </c>
      <c r="L85" s="2436">
        <v>0</v>
      </c>
      <c r="M85" s="2436">
        <f t="shared" si="28"/>
        <v>0</v>
      </c>
      <c r="N85" s="2436">
        <f t="shared" si="28"/>
        <v>0</v>
      </c>
      <c r="AC85" s="1404"/>
      <c r="AD85" s="1403"/>
      <c r="AJ85" s="1402"/>
      <c r="AN85" s="1403"/>
    </row>
    <row r="86" spans="1:40" ht="24">
      <c r="A86" s="1066" t="s">
        <v>1026</v>
      </c>
      <c r="B86" s="3091" t="s">
        <v>2924</v>
      </c>
      <c r="C86" s="1049"/>
      <c r="D86" s="2415">
        <f t="shared" si="24"/>
        <v>0</v>
      </c>
      <c r="E86" s="2443"/>
      <c r="F86" s="2444"/>
      <c r="G86" s="2413"/>
      <c r="H86" s="2459" t="str">
        <f t="shared" si="25"/>
        <v>——</v>
      </c>
      <c r="I86" s="2433">
        <v>0.05</v>
      </c>
      <c r="J86" s="2436">
        <f t="shared" si="26"/>
        <v>0</v>
      </c>
      <c r="K86" s="2436">
        <f t="shared" si="27"/>
        <v>0</v>
      </c>
      <c r="L86" s="2436">
        <v>0</v>
      </c>
      <c r="M86" s="2436">
        <f t="shared" si="28"/>
        <v>0</v>
      </c>
      <c r="N86" s="2436">
        <f t="shared" si="28"/>
        <v>0</v>
      </c>
      <c r="AC86" s="1404"/>
      <c r="AD86" s="1403"/>
      <c r="AJ86" s="1402"/>
      <c r="AN86" s="1403"/>
    </row>
    <row r="87" spans="1:40" ht="15" thickBot="1">
      <c r="A87" s="2439" t="s">
        <v>1039</v>
      </c>
      <c r="B87" s="2408">
        <f>估价对象房地状况!G18</f>
        <v>0</v>
      </c>
      <c r="C87" s="1049"/>
      <c r="D87" s="2415">
        <f t="shared" si="24"/>
        <v>0</v>
      </c>
      <c r="E87" s="2445"/>
      <c r="F87" s="2444"/>
      <c r="G87" s="2413"/>
      <c r="H87" s="2459" t="str">
        <f t="shared" si="25"/>
        <v>——</v>
      </c>
      <c r="I87" s="2440">
        <v>0.06</v>
      </c>
      <c r="J87" s="2436">
        <f t="shared" si="26"/>
        <v>0</v>
      </c>
      <c r="K87" s="2436">
        <f t="shared" si="27"/>
        <v>0</v>
      </c>
      <c r="L87" s="2436">
        <v>0</v>
      </c>
      <c r="M87" s="2436">
        <f t="shared" si="28"/>
        <v>0</v>
      </c>
      <c r="N87" s="2436">
        <f t="shared" si="28"/>
        <v>0</v>
      </c>
      <c r="AC87" s="1404"/>
      <c r="AD87" s="1403"/>
      <c r="AJ87" s="1402"/>
      <c r="AN87" s="1403"/>
    </row>
    <row r="90" spans="1:40">
      <c r="A90" s="3560" t="s">
        <v>1634</v>
      </c>
      <c r="B90" s="3560"/>
      <c r="C90" s="3560"/>
      <c r="D90" s="3560"/>
      <c r="E90" s="3560"/>
      <c r="F90" s="3560"/>
      <c r="G90" s="3560"/>
      <c r="H90" s="3560"/>
      <c r="I90" s="3560"/>
      <c r="J90" s="3560"/>
      <c r="K90" s="2448"/>
      <c r="L90" s="2448"/>
      <c r="M90" s="2448"/>
      <c r="N90" s="2448"/>
    </row>
    <row r="91" spans="1:40">
      <c r="A91" s="3561" t="s">
        <v>1444</v>
      </c>
      <c r="B91" s="3561" t="s">
        <v>1635</v>
      </c>
      <c r="C91" s="1139" t="s">
        <v>1636</v>
      </c>
      <c r="D91" s="1140"/>
      <c r="E91" s="1140"/>
      <c r="F91" s="1140"/>
      <c r="G91" s="1140"/>
      <c r="H91" s="1140"/>
      <c r="I91" s="1140"/>
      <c r="J91" s="1141"/>
      <c r="K91" s="1133"/>
      <c r="L91" s="1133"/>
      <c r="M91" s="1133"/>
      <c r="N91" s="1133"/>
    </row>
    <row r="92" spans="1:40">
      <c r="A92" s="3561"/>
      <c r="B92" s="3561"/>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550" t="s">
        <v>2761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5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5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5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5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5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51"/>
      <c r="B99" s="1142" t="s">
        <v>1637</v>
      </c>
      <c r="C99" s="1144">
        <f>$I$3</f>
        <v>8</v>
      </c>
      <c r="D99" s="1144">
        <f t="shared" ref="D99:N99" si="29">$I$3</f>
        <v>8</v>
      </c>
      <c r="E99" s="1144">
        <f t="shared" si="29"/>
        <v>8</v>
      </c>
      <c r="F99" s="1144">
        <f t="shared" si="29"/>
        <v>8</v>
      </c>
      <c r="G99" s="1144">
        <f t="shared" si="29"/>
        <v>8</v>
      </c>
      <c r="H99" s="1144">
        <f t="shared" si="29"/>
        <v>8</v>
      </c>
      <c r="I99" s="1144">
        <f t="shared" si="29"/>
        <v>8</v>
      </c>
      <c r="J99" s="1144">
        <f t="shared" si="29"/>
        <v>8</v>
      </c>
      <c r="K99" s="1144">
        <f t="shared" si="29"/>
        <v>8</v>
      </c>
      <c r="L99" s="1144">
        <f t="shared" si="29"/>
        <v>8</v>
      </c>
      <c r="M99" s="1144">
        <f t="shared" si="29"/>
        <v>8</v>
      </c>
      <c r="N99" s="1144">
        <f t="shared" si="29"/>
        <v>8</v>
      </c>
    </row>
    <row r="100" spans="1:14">
      <c r="A100" s="355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50" t="s">
        <v>1638</v>
      </c>
      <c r="B101" s="1146" t="s">
        <v>906</v>
      </c>
      <c r="C101" s="1147">
        <f>$G$3</f>
        <v>1.01</v>
      </c>
      <c r="D101" s="1147">
        <f t="shared" ref="D101:N101" si="30">$G$3</f>
        <v>1.01</v>
      </c>
      <c r="E101" s="1147">
        <f t="shared" si="30"/>
        <v>1.01</v>
      </c>
      <c r="F101" s="1147">
        <f t="shared" si="30"/>
        <v>1.01</v>
      </c>
      <c r="G101" s="1147">
        <f t="shared" si="30"/>
        <v>1.01</v>
      </c>
      <c r="H101" s="1147">
        <f t="shared" si="30"/>
        <v>1.01</v>
      </c>
      <c r="I101" s="1147">
        <f t="shared" si="30"/>
        <v>1.01</v>
      </c>
      <c r="J101" s="1147">
        <f t="shared" si="30"/>
        <v>1.01</v>
      </c>
      <c r="K101" s="1147">
        <f t="shared" si="30"/>
        <v>1.01</v>
      </c>
      <c r="L101" s="1147">
        <f t="shared" si="30"/>
        <v>1.01</v>
      </c>
      <c r="M101" s="1147">
        <f t="shared" si="30"/>
        <v>1.01</v>
      </c>
      <c r="N101" s="1147">
        <f t="shared" si="30"/>
        <v>1.01</v>
      </c>
    </row>
    <row r="102" spans="1:14">
      <c r="A102" s="3551"/>
      <c r="B102" s="1142">
        <v>1</v>
      </c>
      <c r="C102" s="1143">
        <f>1.9362/C101</f>
        <v>1.917029702970297</v>
      </c>
      <c r="D102" s="1143">
        <f>1.9362/D101</f>
        <v>1.917029702970297</v>
      </c>
      <c r="E102" s="1143">
        <f>1.8629/E101</f>
        <v>1.8444554455445545</v>
      </c>
      <c r="F102" s="1143">
        <f>1.8629/F101</f>
        <v>1.8444554455445545</v>
      </c>
      <c r="G102" s="1143">
        <f>1.8629/G101</f>
        <v>1.8444554455445545</v>
      </c>
      <c r="H102" s="1143">
        <f>1.8629/H101</f>
        <v>1.8444554455445545</v>
      </c>
      <c r="I102" s="1143">
        <f>1.8629/I101</f>
        <v>1.8444554455445545</v>
      </c>
      <c r="J102" s="1143">
        <f>1.942/J101</f>
        <v>1.9227722772277227</v>
      </c>
      <c r="K102" s="1143">
        <f>1.942/K101</f>
        <v>1.9227722772277227</v>
      </c>
      <c r="L102" s="1143">
        <f>1.942/L101</f>
        <v>1.9227722772277227</v>
      </c>
      <c r="M102" s="1143">
        <f>1.942/M101</f>
        <v>1.9227722772277227</v>
      </c>
      <c r="N102" s="1143">
        <f>1.942/N101</f>
        <v>1.9227722772277227</v>
      </c>
    </row>
    <row r="103" spans="1:14">
      <c r="A103" s="3551"/>
      <c r="B103" s="1142">
        <v>2</v>
      </c>
      <c r="C103" s="1143">
        <f>1.4198/C101</f>
        <v>1.4057425742574257</v>
      </c>
      <c r="D103" s="1143">
        <f>1.4198/D101</f>
        <v>1.4057425742574257</v>
      </c>
      <c r="E103" s="1143">
        <f>1.3372/E101</f>
        <v>1.3239603960396038</v>
      </c>
      <c r="F103" s="1143">
        <f>1.3372/F101</f>
        <v>1.3239603960396038</v>
      </c>
      <c r="G103" s="1143">
        <f>1.3372/G101</f>
        <v>1.3239603960396038</v>
      </c>
      <c r="H103" s="1143">
        <f>1.3372/H101</f>
        <v>1.3239603960396038</v>
      </c>
      <c r="I103" s="1143">
        <f>1.3372/I101</f>
        <v>1.3239603960396038</v>
      </c>
      <c r="J103" s="1143">
        <f>1.2799/J101</f>
        <v>1.2672277227722772</v>
      </c>
      <c r="K103" s="1143">
        <f>1.2799/K101</f>
        <v>1.2672277227722772</v>
      </c>
      <c r="L103" s="1143">
        <f>1.2799/L101</f>
        <v>1.2672277227722772</v>
      </c>
      <c r="M103" s="1143">
        <f>1.2799/M101</f>
        <v>1.2672277227722772</v>
      </c>
      <c r="N103" s="1143">
        <f>1.2799/N101</f>
        <v>1.2672277227722772</v>
      </c>
    </row>
    <row r="104" spans="1:14">
      <c r="A104" s="3551"/>
      <c r="B104" s="1142">
        <v>3</v>
      </c>
      <c r="C104" s="1143">
        <f>1.1594/C101</f>
        <v>1.1479207920792078</v>
      </c>
      <c r="D104" s="1143">
        <f>1.1594/D101</f>
        <v>1.1479207920792078</v>
      </c>
      <c r="E104" s="1143">
        <f>1.0788/E101</f>
        <v>1.0681188118811882</v>
      </c>
      <c r="F104" s="1143">
        <f>1.0788/F101</f>
        <v>1.0681188118811882</v>
      </c>
      <c r="G104" s="1143">
        <f>1.0788/G101</f>
        <v>1.0681188118811882</v>
      </c>
      <c r="H104" s="1143">
        <f>1.0788/H101</f>
        <v>1.0681188118811882</v>
      </c>
      <c r="I104" s="1143">
        <f>1.0788/I101</f>
        <v>1.0681188118811882</v>
      </c>
      <c r="J104" s="1143">
        <f>1.0072/J101</f>
        <v>0.99722772277227734</v>
      </c>
      <c r="K104" s="1143">
        <f>1.0072/K101</f>
        <v>0.99722772277227734</v>
      </c>
      <c r="L104" s="1143">
        <f>1.0072/L101</f>
        <v>0.99722772277227734</v>
      </c>
      <c r="M104" s="1143">
        <f>1.0072/M101</f>
        <v>0.99722772277227734</v>
      </c>
      <c r="N104" s="1143">
        <f>1.0072/N101</f>
        <v>0.99722772277227734</v>
      </c>
    </row>
    <row r="105" spans="1:14">
      <c r="A105" s="3551"/>
      <c r="B105" s="1142">
        <v>4</v>
      </c>
      <c r="C105" s="1143">
        <f>0.9622/C101</f>
        <v>0.95267326732673274</v>
      </c>
      <c r="D105" s="1143">
        <f>0.9622/D101</f>
        <v>0.95267326732673274</v>
      </c>
      <c r="E105" s="1143">
        <f>0.8656/E101</f>
        <v>0.85702970297029701</v>
      </c>
      <c r="F105" s="1143">
        <f>0.8656/F101</f>
        <v>0.85702970297029701</v>
      </c>
      <c r="G105" s="1143">
        <f>0.8656/G101</f>
        <v>0.85702970297029701</v>
      </c>
      <c r="H105" s="1143">
        <f>0.8656/H101</f>
        <v>0.85702970297029701</v>
      </c>
      <c r="I105" s="1143">
        <f>0.8656/I101</f>
        <v>0.85702970297029701</v>
      </c>
      <c r="J105" s="1143">
        <f>0.7525/J101</f>
        <v>0.74504950495049505</v>
      </c>
      <c r="K105" s="1143">
        <f>0.7525/K101</f>
        <v>0.74504950495049505</v>
      </c>
      <c r="L105" s="1143">
        <f>0.7525/L101</f>
        <v>0.74504950495049505</v>
      </c>
      <c r="M105" s="1143">
        <f>0.7525/M101</f>
        <v>0.74504950495049505</v>
      </c>
      <c r="N105" s="1143">
        <f>0.7525/N101</f>
        <v>0.74504950495049505</v>
      </c>
    </row>
    <row r="106" spans="1:14">
      <c r="A106" s="3551"/>
      <c r="B106" s="1142">
        <v>5</v>
      </c>
      <c r="C106" s="1143">
        <f>0.8417/C101</f>
        <v>0.83336633663366333</v>
      </c>
      <c r="D106" s="1143">
        <f>0.8417/D101</f>
        <v>0.83336633663366333</v>
      </c>
      <c r="E106" s="1143">
        <f>0.7371/E101</f>
        <v>0.72980198019801978</v>
      </c>
      <c r="F106" s="1143">
        <f>0.7371/F101</f>
        <v>0.72980198019801978</v>
      </c>
      <c r="G106" s="1143">
        <f>0.7371/G101</f>
        <v>0.72980198019801978</v>
      </c>
      <c r="H106" s="1143">
        <f>0.7371/H101</f>
        <v>0.72980198019801978</v>
      </c>
      <c r="I106" s="1143">
        <f>0.7371/I101</f>
        <v>0.72980198019801978</v>
      </c>
      <c r="J106" s="1143">
        <f>0.5659/J101</f>
        <v>0.56029702970297024</v>
      </c>
      <c r="K106" s="1143">
        <f>0.5659/K101</f>
        <v>0.56029702970297024</v>
      </c>
      <c r="L106" s="1143">
        <f>0.5659/L101</f>
        <v>0.56029702970297024</v>
      </c>
      <c r="M106" s="1143">
        <f>0.5659/M101</f>
        <v>0.56029702970297024</v>
      </c>
      <c r="N106" s="1143">
        <f>0.5659/N101</f>
        <v>0.56029702970297024</v>
      </c>
    </row>
    <row r="107" spans="1:14">
      <c r="A107" s="3551"/>
      <c r="B107" s="1142">
        <v>6</v>
      </c>
      <c r="C107" s="1143">
        <f>0.7608/C101</f>
        <v>0.75326732673267327</v>
      </c>
      <c r="D107" s="1143">
        <f>0.7608/D101</f>
        <v>0.75326732673267327</v>
      </c>
      <c r="E107" s="1143">
        <f>0.6482/E101</f>
        <v>0.6417821782178218</v>
      </c>
      <c r="F107" s="1143">
        <f>0.6482/F101</f>
        <v>0.6417821782178218</v>
      </c>
      <c r="G107" s="1143">
        <f>0.6482/G101</f>
        <v>0.6417821782178218</v>
      </c>
      <c r="H107" s="1143">
        <f>0.6482/H101</f>
        <v>0.6417821782178218</v>
      </c>
      <c r="I107" s="1143">
        <f>0.6482/I101</f>
        <v>0.6417821782178218</v>
      </c>
      <c r="J107" s="1143">
        <f>0.4525/J101</f>
        <v>0.44801980198019803</v>
      </c>
      <c r="K107" s="1143">
        <f>0.4525/K101</f>
        <v>0.44801980198019803</v>
      </c>
      <c r="L107" s="1143">
        <f>0.4525/L101</f>
        <v>0.44801980198019803</v>
      </c>
      <c r="M107" s="1143">
        <f>0.4525/M101</f>
        <v>0.44801980198019803</v>
      </c>
      <c r="N107" s="1143">
        <f>0.4525/N101</f>
        <v>0.44801980198019803</v>
      </c>
    </row>
    <row r="108" spans="1:14">
      <c r="A108" s="3551"/>
      <c r="B108" s="3553" t="s">
        <v>1639</v>
      </c>
      <c r="C108" s="1144">
        <f>C99</f>
        <v>8</v>
      </c>
      <c r="D108" s="1144">
        <f t="shared" ref="D108:N108" si="31">D99</f>
        <v>8</v>
      </c>
      <c r="E108" s="1144">
        <f t="shared" si="31"/>
        <v>8</v>
      </c>
      <c r="F108" s="1144">
        <f t="shared" si="31"/>
        <v>8</v>
      </c>
      <c r="G108" s="1144">
        <f t="shared" si="31"/>
        <v>8</v>
      </c>
      <c r="H108" s="1144">
        <f t="shared" si="31"/>
        <v>8</v>
      </c>
      <c r="I108" s="1144">
        <f t="shared" si="31"/>
        <v>8</v>
      </c>
      <c r="J108" s="1144">
        <f t="shared" si="31"/>
        <v>8</v>
      </c>
      <c r="K108" s="1144">
        <f t="shared" si="31"/>
        <v>8</v>
      </c>
      <c r="L108" s="1144">
        <f t="shared" si="31"/>
        <v>8</v>
      </c>
      <c r="M108" s="1144">
        <f t="shared" si="31"/>
        <v>8</v>
      </c>
      <c r="N108" s="1144">
        <f t="shared" si="31"/>
        <v>8</v>
      </c>
    </row>
    <row r="109" spans="1:14">
      <c r="A109" s="3552"/>
      <c r="B109" s="3554"/>
      <c r="C109" s="1145">
        <f>(-0.163*(C108^2)-0.59*C108+7617)*(10^(-4))/C101</f>
        <v>0.75265821782178222</v>
      </c>
      <c r="D109" s="1145">
        <f>(-0.163*(D108^2)-0.59*D108+7617)*(10^(-4))/D101</f>
        <v>0.75265821782178222</v>
      </c>
      <c r="E109" s="1145">
        <f>(-0.161*(E108^2)-7.509*E108+6533)*(10^(-4))/E101</f>
        <v>0.63986376237623765</v>
      </c>
      <c r="F109" s="1145">
        <f>(-0.161*(F108^2)-7.509*F108+6533)*(10^(-4))/F101</f>
        <v>0.63986376237623765</v>
      </c>
      <c r="G109" s="1145">
        <f>(-0.161*(G108^2)-7.509*G108+6533)*(10^(-4))/G101</f>
        <v>0.63986376237623765</v>
      </c>
      <c r="H109" s="1145">
        <f>(-0.161*(H108^2)-7.509*H108+6533)*(10^(-4))/H101</f>
        <v>0.63986376237623765</v>
      </c>
      <c r="I109" s="1145">
        <f>(-0.161*(I108^2)-7.509*I108+6533)*(10^(-4))/I101</f>
        <v>0.63986376237623765</v>
      </c>
      <c r="J109" s="1145">
        <f>(-0.214*(J108^2)-21.991*J108+4665)*(10^(-4))/J101</f>
        <v>0.44310653465346539</v>
      </c>
      <c r="K109" s="1145">
        <f>(-0.214*(K108^2)-21.991*K108+4665)*(10^(-4))/K101</f>
        <v>0.44310653465346539</v>
      </c>
      <c r="L109" s="1145">
        <f>(-0.214*(L108^2)-21.991*L108+4665)*(10^(-4))/L101</f>
        <v>0.44310653465346539</v>
      </c>
      <c r="M109" s="1145">
        <f>(-0.214*(M108^2)-21.991*M108+4665)*(10^(-4))/M101</f>
        <v>0.44310653465346539</v>
      </c>
      <c r="N109" s="1145">
        <f>(-0.214*(N108^2)-21.991*N108+4665)*(10^(-4))/N101</f>
        <v>0.44310653465346539</v>
      </c>
    </row>
    <row r="110" spans="1:14">
      <c r="A110" s="3555" t="s">
        <v>1640</v>
      </c>
      <c r="B110" s="3555"/>
      <c r="C110" s="3555"/>
      <c r="D110" s="3555"/>
      <c r="E110" s="3555"/>
      <c r="F110" s="3555"/>
      <c r="G110" s="3555"/>
      <c r="H110" s="3555"/>
      <c r="I110" s="3555"/>
      <c r="J110" s="3555"/>
      <c r="K110" s="2446"/>
      <c r="L110" s="2446"/>
      <c r="M110" s="2446"/>
      <c r="N110" s="2446"/>
    </row>
    <row r="112" spans="1:14" ht="12.75" thickBot="1"/>
    <row r="113" spans="1:13" ht="25.5" thickBot="1">
      <c r="A113" s="1015" t="s">
        <v>896</v>
      </c>
      <c r="B113" s="2449">
        <f>G3</f>
        <v>1.01</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0.92400000000000004</v>
      </c>
      <c r="C115" s="1029">
        <f>B115</f>
        <v>0.92400000000000004</v>
      </c>
      <c r="D115" s="1029">
        <f>ROUND(0.8331-0.0109*B113,4)</f>
        <v>0.82210000000000005</v>
      </c>
      <c r="E115" s="1029">
        <f>D115</f>
        <v>0.82210000000000005</v>
      </c>
      <c r="F115" s="1029">
        <f>E115</f>
        <v>0.82210000000000005</v>
      </c>
      <c r="G115" s="1029">
        <f>F115</f>
        <v>0.82210000000000005</v>
      </c>
      <c r="H115" s="1029">
        <f>G115</f>
        <v>0.82210000000000005</v>
      </c>
      <c r="I115" s="1029">
        <f>ROUND(0.689-0.0155*B113,4)</f>
        <v>0.67330000000000001</v>
      </c>
      <c r="J115" s="1029">
        <f t="shared" ref="J115:M118" si="32">I115</f>
        <v>0.67330000000000001</v>
      </c>
      <c r="K115" s="1029">
        <f t="shared" si="32"/>
        <v>0.67330000000000001</v>
      </c>
      <c r="L115" s="1029">
        <f t="shared" si="32"/>
        <v>0.67330000000000001</v>
      </c>
      <c r="M115" s="1030">
        <f t="shared" si="32"/>
        <v>0.67330000000000001</v>
      </c>
    </row>
    <row r="116" spans="1:13" ht="12.75">
      <c r="A116" s="1028" t="s">
        <v>901</v>
      </c>
      <c r="B116" s="1029">
        <f>ROUND(0.949-0.012*B113,4)</f>
        <v>0.93689999999999996</v>
      </c>
      <c r="C116" s="1029">
        <f>B116</f>
        <v>0.93689999999999996</v>
      </c>
      <c r="D116" s="1029">
        <f>ROUND(0.8567-0.013*B113,4)</f>
        <v>0.84360000000000002</v>
      </c>
      <c r="E116" s="1029">
        <f t="shared" ref="E116:H117" si="33">D116</f>
        <v>0.84360000000000002</v>
      </c>
      <c r="F116" s="1029">
        <f t="shared" si="33"/>
        <v>0.84360000000000002</v>
      </c>
      <c r="G116" s="1029">
        <f t="shared" si="33"/>
        <v>0.84360000000000002</v>
      </c>
      <c r="H116" s="1029">
        <f t="shared" si="33"/>
        <v>0.84360000000000002</v>
      </c>
      <c r="I116" s="1029">
        <f>ROUND(0.7694-0.014*B113,4)</f>
        <v>0.75529999999999997</v>
      </c>
      <c r="J116" s="1029">
        <f t="shared" si="32"/>
        <v>0.75529999999999997</v>
      </c>
      <c r="K116" s="1029">
        <f t="shared" si="32"/>
        <v>0.75529999999999997</v>
      </c>
      <c r="L116" s="1029">
        <f t="shared" si="32"/>
        <v>0.75529999999999997</v>
      </c>
      <c r="M116" s="1030">
        <f t="shared" si="32"/>
        <v>0.75529999999999997</v>
      </c>
    </row>
    <row r="117" spans="1:13" ht="12.75">
      <c r="A117" s="1031" t="s">
        <v>902</v>
      </c>
      <c r="B117" s="1029">
        <f>ROUND(0.8808-0.006*B113,4)</f>
        <v>0.87470000000000003</v>
      </c>
      <c r="C117" s="1029">
        <f>B117</f>
        <v>0.87470000000000003</v>
      </c>
      <c r="D117" s="1029">
        <f>ROUND(0.8748-0.008*B113,4)</f>
        <v>0.86670000000000003</v>
      </c>
      <c r="E117" s="1029">
        <f t="shared" si="33"/>
        <v>0.86670000000000003</v>
      </c>
      <c r="F117" s="1029">
        <f t="shared" si="33"/>
        <v>0.86670000000000003</v>
      </c>
      <c r="G117" s="1029">
        <f t="shared" si="33"/>
        <v>0.86670000000000003</v>
      </c>
      <c r="H117" s="1029">
        <f t="shared" si="33"/>
        <v>0.86670000000000003</v>
      </c>
      <c r="I117" s="1029">
        <f>ROUND(0.7412-0.0095*B113,4)</f>
        <v>0.73160000000000003</v>
      </c>
      <c r="J117" s="1029">
        <f t="shared" si="32"/>
        <v>0.73160000000000003</v>
      </c>
      <c r="K117" s="1029">
        <f t="shared" si="32"/>
        <v>0.73160000000000003</v>
      </c>
      <c r="L117" s="1029">
        <f t="shared" si="32"/>
        <v>0.73160000000000003</v>
      </c>
      <c r="M117" s="1030">
        <f t="shared" si="32"/>
        <v>0.73160000000000003</v>
      </c>
    </row>
    <row r="118" spans="1:13" ht="13.5" thickBot="1">
      <c r="A118" s="1032" t="s">
        <v>903</v>
      </c>
      <c r="B118" s="1033">
        <f>ROUND(0.7275-0.01*B113,4)</f>
        <v>0.71740000000000004</v>
      </c>
      <c r="C118" s="1033">
        <f>B118</f>
        <v>0.71740000000000004</v>
      </c>
      <c r="D118" s="1033">
        <f>ROUND(0.7043-0.012*B113,4)</f>
        <v>0.69220000000000004</v>
      </c>
      <c r="E118" s="1033">
        <f>D118</f>
        <v>0.69220000000000004</v>
      </c>
      <c r="F118" s="1033">
        <f>E118</f>
        <v>0.69220000000000004</v>
      </c>
      <c r="G118" s="1033">
        <f>ROUND(0.6299-0.0122*B113,4)</f>
        <v>0.61760000000000004</v>
      </c>
      <c r="H118" s="1033">
        <f>G118</f>
        <v>0.61760000000000004</v>
      </c>
      <c r="I118" s="1033">
        <f>ROUND(0.5667-0.0136*B113,4)</f>
        <v>0.55300000000000005</v>
      </c>
      <c r="J118" s="1033">
        <f t="shared" si="32"/>
        <v>0.55300000000000005</v>
      </c>
      <c r="K118" s="1033">
        <f t="shared" si="32"/>
        <v>0.55300000000000005</v>
      </c>
      <c r="L118" s="1033">
        <f t="shared" si="32"/>
        <v>0.55300000000000005</v>
      </c>
      <c r="M118" s="1034">
        <f t="shared" si="32"/>
        <v>0.55300000000000005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20" priority="5" stopIfTrue="1" operator="notEqual">
      <formula>"——"</formula>
    </cfRule>
  </conditionalFormatting>
  <conditionalFormatting sqref="F58">
    <cfRule type="cellIs" dxfId="119" priority="4" stopIfTrue="1" operator="notEqual">
      <formula>"——"</formula>
    </cfRule>
  </conditionalFormatting>
  <conditionalFormatting sqref="F69">
    <cfRule type="cellIs" dxfId="118" priority="3" stopIfTrue="1" operator="notEqual">
      <formula>"——"</formula>
    </cfRule>
  </conditionalFormatting>
  <conditionalFormatting sqref="F80">
    <cfRule type="cellIs" dxfId="117" priority="2" stopIfTrue="1" operator="notEqual">
      <formula>"——"</formula>
    </cfRule>
  </conditionalFormatting>
  <conditionalFormatting sqref="H58:H66 H47:H55 H69:H77 H80:H87">
    <cfRule type="cellIs" dxfId="11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561" t="s">
        <v>1008</v>
      </c>
      <c r="B18" s="1153" t="s">
        <v>1447</v>
      </c>
      <c r="C18" s="1130" t="s">
        <v>1448</v>
      </c>
      <c r="D18" s="1131"/>
      <c r="E18" s="1153">
        <v>1</v>
      </c>
      <c r="F18" s="1132" t="s">
        <v>1449</v>
      </c>
      <c r="G18" s="1133"/>
      <c r="H18" s="1104"/>
      <c r="I18" s="1104"/>
    </row>
    <row r="19" spans="1:9" s="1598" customFormat="1" ht="19.5" customHeight="1">
      <c r="A19" s="3561"/>
      <c r="B19" s="3561" t="s">
        <v>1450</v>
      </c>
      <c r="C19" s="1130" t="s">
        <v>1451</v>
      </c>
      <c r="D19" s="1131"/>
      <c r="E19" s="1153">
        <v>0.9</v>
      </c>
      <c r="F19" s="1132" t="s">
        <v>1452</v>
      </c>
      <c r="G19" s="1133"/>
      <c r="H19" s="1104"/>
      <c r="I19" s="1104"/>
    </row>
    <row r="20" spans="1:9" s="1598" customFormat="1" ht="19.5" customHeight="1">
      <c r="A20" s="3561"/>
      <c r="B20" s="3561"/>
      <c r="C20" s="1130" t="s">
        <v>1453</v>
      </c>
      <c r="D20" s="1131"/>
      <c r="E20" s="1153">
        <v>1.1000000000000001</v>
      </c>
      <c r="F20" s="1132" t="s">
        <v>1454</v>
      </c>
      <c r="G20" s="1133"/>
      <c r="H20" s="1104"/>
      <c r="I20" s="1104"/>
    </row>
    <row r="21" spans="1:9" s="1598" customFormat="1" ht="19.5" customHeight="1">
      <c r="A21" s="3561"/>
      <c r="B21" s="3561"/>
      <c r="C21" s="1130" t="s">
        <v>1455</v>
      </c>
      <c r="D21" s="1131"/>
      <c r="E21" s="1153">
        <v>0.8</v>
      </c>
      <c r="F21" s="1132" t="s">
        <v>1456</v>
      </c>
      <c r="G21" s="1133"/>
      <c r="H21" s="1104"/>
      <c r="I21" s="1104"/>
    </row>
    <row r="22" spans="1:9" s="1598" customFormat="1" ht="19.5" customHeight="1">
      <c r="A22" s="3561"/>
      <c r="B22" s="3561"/>
      <c r="C22" s="1130" t="s">
        <v>1457</v>
      </c>
      <c r="D22" s="1131"/>
      <c r="E22" s="1153">
        <v>0.5</v>
      </c>
      <c r="F22" s="1132"/>
      <c r="G22" s="1133"/>
      <c r="H22" s="1104"/>
      <c r="I22" s="1104"/>
    </row>
    <row r="23" spans="1:9" s="1598" customFormat="1" ht="19.5" customHeight="1">
      <c r="A23" s="3561" t="s">
        <v>1030</v>
      </c>
      <c r="B23" s="1153" t="s">
        <v>1447</v>
      </c>
      <c r="C23" s="1130" t="s">
        <v>1458</v>
      </c>
      <c r="D23" s="1131"/>
      <c r="E23" s="1153">
        <v>1</v>
      </c>
      <c r="F23" s="1132" t="s">
        <v>1459</v>
      </c>
      <c r="G23" s="1133"/>
      <c r="H23" s="1104"/>
      <c r="I23" s="1104"/>
    </row>
    <row r="24" spans="1:9" s="1598" customFormat="1" ht="19.5" customHeight="1">
      <c r="A24" s="3561"/>
      <c r="B24" s="3561" t="s">
        <v>1450</v>
      </c>
      <c r="C24" s="1130" t="s">
        <v>1460</v>
      </c>
      <c r="D24" s="1131"/>
      <c r="E24" s="1153">
        <v>0.5</v>
      </c>
      <c r="F24" s="1132"/>
      <c r="G24" s="1133"/>
      <c r="H24" s="1104"/>
      <c r="I24" s="1104"/>
    </row>
    <row r="25" spans="1:9" s="1598" customFormat="1" ht="19.5" customHeight="1">
      <c r="A25" s="3561"/>
      <c r="B25" s="3561"/>
      <c r="C25" s="1130" t="s">
        <v>1461</v>
      </c>
      <c r="D25" s="1131"/>
      <c r="E25" s="1153">
        <v>1.1000000000000001</v>
      </c>
      <c r="F25" s="1132"/>
      <c r="G25" s="1133"/>
      <c r="H25" s="1104"/>
      <c r="I25" s="1104"/>
    </row>
    <row r="26" spans="1:9" s="1598" customFormat="1" ht="19.5" customHeight="1">
      <c r="A26" s="3561"/>
      <c r="B26" s="3561"/>
      <c r="C26" s="1130" t="s">
        <v>1462</v>
      </c>
      <c r="D26" s="1131"/>
      <c r="E26" s="1153">
        <v>1.1000000000000001</v>
      </c>
      <c r="F26" s="1132"/>
      <c r="G26" s="1133"/>
      <c r="H26" s="1104"/>
      <c r="I26" s="1104"/>
    </row>
    <row r="27" spans="1:9" s="1598" customFormat="1" ht="19.5" customHeight="1">
      <c r="A27" s="3561"/>
      <c r="B27" s="3561"/>
      <c r="C27" s="1130" t="s">
        <v>1463</v>
      </c>
      <c r="D27" s="1131"/>
      <c r="E27" s="1153">
        <v>0.9</v>
      </c>
      <c r="F27" s="1132" t="s">
        <v>1464</v>
      </c>
      <c r="G27" s="1133"/>
      <c r="H27" s="1104"/>
      <c r="I27" s="1104"/>
    </row>
    <row r="28" spans="1:9" s="1598" customFormat="1" ht="19.5" customHeight="1">
      <c r="A28" s="3561"/>
      <c r="B28" s="3561"/>
      <c r="C28" s="1130" t="s">
        <v>1465</v>
      </c>
      <c r="D28" s="1131"/>
      <c r="E28" s="1153">
        <v>0.9</v>
      </c>
      <c r="F28" s="1132" t="s">
        <v>1466</v>
      </c>
      <c r="G28" s="1133"/>
      <c r="H28" s="1104"/>
      <c r="I28" s="1104"/>
    </row>
    <row r="29" spans="1:9" s="1598" customFormat="1" ht="19.5" customHeight="1">
      <c r="A29" s="3561"/>
      <c r="B29" s="3561"/>
      <c r="C29" s="1130" t="s">
        <v>1467</v>
      </c>
      <c r="D29" s="1131"/>
      <c r="E29" s="1153">
        <v>0.9</v>
      </c>
      <c r="F29" s="1132" t="s">
        <v>1468</v>
      </c>
      <c r="G29" s="1133"/>
      <c r="H29" s="1104"/>
      <c r="I29" s="1104"/>
    </row>
    <row r="30" spans="1:9" s="1598" customFormat="1" ht="19.5" customHeight="1">
      <c r="A30" s="3561"/>
      <c r="B30" s="3561"/>
      <c r="C30" s="1130" t="s">
        <v>1469</v>
      </c>
      <c r="D30" s="1131"/>
      <c r="E30" s="1153">
        <v>0.9</v>
      </c>
      <c r="F30" s="1132" t="s">
        <v>1470</v>
      </c>
      <c r="G30" s="1133"/>
      <c r="H30" s="1104"/>
      <c r="I30" s="1104"/>
    </row>
    <row r="31" spans="1:9" s="1598" customFormat="1" ht="19.5" customHeight="1">
      <c r="A31" s="3561"/>
      <c r="B31" s="3561"/>
      <c r="C31" s="1130" t="s">
        <v>1471</v>
      </c>
      <c r="D31" s="1131"/>
      <c r="E31" s="1153">
        <v>0.8</v>
      </c>
      <c r="F31" s="1132" t="s">
        <v>1472</v>
      </c>
      <c r="G31" s="1133"/>
      <c r="H31" s="1104"/>
      <c r="I31" s="1104"/>
    </row>
    <row r="32" spans="1:9" s="1598" customFormat="1" ht="19.5" customHeight="1">
      <c r="A32" s="3561"/>
      <c r="B32" s="3561"/>
      <c r="C32" s="1130" t="s">
        <v>1473</v>
      </c>
      <c r="D32" s="1131"/>
      <c r="E32" s="1153">
        <v>0.8</v>
      </c>
      <c r="F32" s="1132" t="s">
        <v>1474</v>
      </c>
      <c r="G32" s="1133"/>
      <c r="H32" s="1104"/>
      <c r="I32" s="1104"/>
    </row>
    <row r="33" spans="1:9" s="1598" customFormat="1" ht="19.5" customHeight="1">
      <c r="A33" s="3561" t="s">
        <v>1475</v>
      </c>
      <c r="B33" s="1153" t="s">
        <v>1447</v>
      </c>
      <c r="C33" s="1130" t="s">
        <v>1476</v>
      </c>
      <c r="D33" s="1131"/>
      <c r="E33" s="1153">
        <v>1</v>
      </c>
      <c r="F33" s="1132" t="s">
        <v>1477</v>
      </c>
      <c r="G33" s="1133"/>
      <c r="H33" s="1104"/>
      <c r="I33" s="1104"/>
    </row>
    <row r="34" spans="1:9" s="1598" customFormat="1" ht="19.5" customHeight="1">
      <c r="A34" s="3561"/>
      <c r="B34" s="1153" t="s">
        <v>1450</v>
      </c>
      <c r="C34" s="1130" t="s">
        <v>1478</v>
      </c>
      <c r="D34" s="1131"/>
      <c r="E34" s="1153">
        <v>1.5</v>
      </c>
      <c r="F34" s="1132" t="s">
        <v>1479</v>
      </c>
      <c r="G34" s="1133"/>
      <c r="H34" s="1104"/>
      <c r="I34" s="1104"/>
    </row>
    <row r="35" spans="1:9" s="1598" customFormat="1" ht="19.5" customHeight="1">
      <c r="A35" s="3561" t="s">
        <v>1433</v>
      </c>
      <c r="B35" s="1153" t="s">
        <v>1447</v>
      </c>
      <c r="C35" s="1130" t="s">
        <v>1480</v>
      </c>
      <c r="D35" s="1131"/>
      <c r="E35" s="1153">
        <v>1</v>
      </c>
      <c r="F35" s="1132" t="s">
        <v>1481</v>
      </c>
      <c r="G35" s="1133"/>
      <c r="H35" s="1104"/>
      <c r="I35" s="1104"/>
    </row>
    <row r="36" spans="1:9" s="1598" customFormat="1" ht="19.5" customHeight="1">
      <c r="A36" s="3561"/>
      <c r="B36" s="3561" t="s">
        <v>1450</v>
      </c>
      <c r="C36" s="1130" t="s">
        <v>1482</v>
      </c>
      <c r="D36" s="1131"/>
      <c r="E36" s="1153">
        <v>1</v>
      </c>
      <c r="F36" s="1132" t="s">
        <v>1483</v>
      </c>
      <c r="G36" s="1133"/>
      <c r="H36" s="1104"/>
      <c r="I36" s="1104"/>
    </row>
    <row r="37" spans="1:9" s="1598" customFormat="1" ht="19.5" customHeight="1">
      <c r="A37" s="3561"/>
      <c r="B37" s="3561"/>
      <c r="C37" s="1130" t="s">
        <v>1484</v>
      </c>
      <c r="D37" s="1131"/>
      <c r="E37" s="1153">
        <v>1.5</v>
      </c>
      <c r="F37" s="1132" t="s">
        <v>1485</v>
      </c>
      <c r="G37" s="1133"/>
      <c r="H37" s="1104"/>
      <c r="I37" s="1104"/>
    </row>
    <row r="38" spans="1:9" s="1598" customFormat="1" ht="19.5" customHeight="1">
      <c r="A38" s="3561"/>
      <c r="B38" s="3561"/>
      <c r="C38" s="1130" t="s">
        <v>1486</v>
      </c>
      <c r="D38" s="1131"/>
      <c r="E38" s="1153">
        <v>1</v>
      </c>
      <c r="F38" s="1132" t="s">
        <v>1487</v>
      </c>
      <c r="G38" s="1133"/>
      <c r="H38" s="1104"/>
      <c r="I38" s="1104"/>
    </row>
    <row r="39" spans="1:9" s="1598" customFormat="1" ht="19.5" customHeight="1">
      <c r="A39" s="3561"/>
      <c r="B39" s="3561"/>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561" t="s">
        <v>1502</v>
      </c>
      <c r="C61" s="1067" t="s">
        <v>1503</v>
      </c>
      <c r="D61" s="1067" t="s">
        <v>1504</v>
      </c>
      <c r="E61" s="1138">
        <v>0.5</v>
      </c>
      <c r="F61" s="1153">
        <v>80</v>
      </c>
      <c r="H61" s="1104">
        <f>SUMIF(C59:C119,基准地价!C8,E59:E119)</f>
        <v>0</v>
      </c>
    </row>
    <row r="62" spans="1:8" s="1104" customFormat="1" ht="24">
      <c r="A62" s="1153">
        <v>2</v>
      </c>
      <c r="B62" s="3561"/>
      <c r="C62" s="1067" t="s">
        <v>1505</v>
      </c>
      <c r="D62" s="1067" t="s">
        <v>1506</v>
      </c>
      <c r="E62" s="1138">
        <v>0.5</v>
      </c>
      <c r="F62" s="1153">
        <v>80</v>
      </c>
    </row>
    <row r="63" spans="1:8" s="1104" customFormat="1" ht="36">
      <c r="A63" s="1153">
        <v>3</v>
      </c>
      <c r="B63" s="3561"/>
      <c r="C63" s="1067" t="s">
        <v>1507</v>
      </c>
      <c r="D63" s="1067" t="s">
        <v>1508</v>
      </c>
      <c r="E63" s="1138">
        <v>0.5</v>
      </c>
      <c r="F63" s="1153">
        <v>80</v>
      </c>
    </row>
    <row r="64" spans="1:8" s="1104" customFormat="1" ht="36">
      <c r="A64" s="1153">
        <v>4</v>
      </c>
      <c r="B64" s="3561"/>
      <c r="C64" s="1067" t="s">
        <v>1509</v>
      </c>
      <c r="D64" s="1067" t="s">
        <v>1510</v>
      </c>
      <c r="E64" s="1138">
        <v>0.4</v>
      </c>
      <c r="F64" s="1153">
        <v>60</v>
      </c>
    </row>
    <row r="65" spans="1:6" s="1104" customFormat="1" ht="36">
      <c r="A65" s="1153">
        <v>5</v>
      </c>
      <c r="B65" s="3561"/>
      <c r="C65" s="1067" t="s">
        <v>1511</v>
      </c>
      <c r="D65" s="1067" t="s">
        <v>1512</v>
      </c>
      <c r="E65" s="1138">
        <v>0.2</v>
      </c>
      <c r="F65" s="1153">
        <v>30</v>
      </c>
    </row>
    <row r="66" spans="1:6" s="1104" customFormat="1" ht="36">
      <c r="A66" s="1153">
        <v>6</v>
      </c>
      <c r="B66" s="3561"/>
      <c r="C66" s="1067" t="s">
        <v>1513</v>
      </c>
      <c r="D66" s="1067" t="s">
        <v>1514</v>
      </c>
      <c r="E66" s="1138">
        <v>0.3</v>
      </c>
      <c r="F66" s="1153">
        <v>50</v>
      </c>
    </row>
    <row r="67" spans="1:6" s="1104" customFormat="1" ht="36">
      <c r="A67" s="1153">
        <v>7</v>
      </c>
      <c r="B67" s="3561"/>
      <c r="C67" s="1067" t="s">
        <v>1515</v>
      </c>
      <c r="D67" s="1067" t="s">
        <v>1516</v>
      </c>
      <c r="E67" s="1138">
        <v>0.2</v>
      </c>
      <c r="F67" s="1153">
        <v>30</v>
      </c>
    </row>
    <row r="68" spans="1:6" s="1104" customFormat="1" ht="36">
      <c r="A68" s="1153">
        <v>8</v>
      </c>
      <c r="B68" s="3561"/>
      <c r="C68" s="1067" t="s">
        <v>1517</v>
      </c>
      <c r="D68" s="1067" t="s">
        <v>1518</v>
      </c>
      <c r="E68" s="1138">
        <v>0.2</v>
      </c>
      <c r="F68" s="1153">
        <v>30</v>
      </c>
    </row>
    <row r="69" spans="1:6" s="1104" customFormat="1" ht="36">
      <c r="A69" s="1153">
        <v>9</v>
      </c>
      <c r="B69" s="3561"/>
      <c r="C69" s="1067" t="s">
        <v>1519</v>
      </c>
      <c r="D69" s="1067" t="s">
        <v>1520</v>
      </c>
      <c r="E69" s="1138">
        <v>0.2</v>
      </c>
      <c r="F69" s="1153">
        <v>30</v>
      </c>
    </row>
    <row r="70" spans="1:6" s="1104" customFormat="1" ht="48">
      <c r="A70" s="1153">
        <v>10</v>
      </c>
      <c r="B70" s="3561"/>
      <c r="C70" s="1067" t="s">
        <v>1521</v>
      </c>
      <c r="D70" s="1067" t="s">
        <v>1522</v>
      </c>
      <c r="E70" s="1138">
        <v>0.2</v>
      </c>
      <c r="F70" s="1153">
        <v>30</v>
      </c>
    </row>
    <row r="71" spans="1:6" s="1104" customFormat="1" ht="48">
      <c r="A71" s="1153">
        <v>11</v>
      </c>
      <c r="B71" s="3561"/>
      <c r="C71" s="1067" t="s">
        <v>1523</v>
      </c>
      <c r="D71" s="1067" t="s">
        <v>1524</v>
      </c>
      <c r="E71" s="1138">
        <v>0.2</v>
      </c>
      <c r="F71" s="1153">
        <v>30</v>
      </c>
    </row>
    <row r="72" spans="1:6" s="1104" customFormat="1" ht="36">
      <c r="A72" s="1153">
        <v>12</v>
      </c>
      <c r="B72" s="3561"/>
      <c r="C72" s="1067" t="s">
        <v>1525</v>
      </c>
      <c r="D72" s="1067" t="s">
        <v>1526</v>
      </c>
      <c r="E72" s="1138">
        <v>0.5</v>
      </c>
      <c r="F72" s="1153">
        <v>80</v>
      </c>
    </row>
    <row r="73" spans="1:6" s="1104" customFormat="1" ht="24">
      <c r="A73" s="1153">
        <v>13</v>
      </c>
      <c r="B73" s="3561"/>
      <c r="C73" s="1067" t="s">
        <v>1527</v>
      </c>
      <c r="D73" s="1067" t="s">
        <v>1528</v>
      </c>
      <c r="E73" s="1138">
        <v>0.4</v>
      </c>
      <c r="F73" s="1153">
        <v>60</v>
      </c>
    </row>
    <row r="74" spans="1:6" s="1104" customFormat="1" ht="24">
      <c r="A74" s="1153">
        <v>14</v>
      </c>
      <c r="B74" s="3561"/>
      <c r="C74" s="1067" t="s">
        <v>1529</v>
      </c>
      <c r="D74" s="1067" t="s">
        <v>1530</v>
      </c>
      <c r="E74" s="1138">
        <v>0.2</v>
      </c>
      <c r="F74" s="1153">
        <v>30</v>
      </c>
    </row>
    <row r="75" spans="1:6" s="1104" customFormat="1" ht="24">
      <c r="A75" s="1153">
        <v>15</v>
      </c>
      <c r="B75" s="3561"/>
      <c r="C75" s="1067" t="s">
        <v>1531</v>
      </c>
      <c r="D75" s="1067" t="s">
        <v>1532</v>
      </c>
      <c r="E75" s="1138">
        <v>0.2</v>
      </c>
      <c r="F75" s="1153">
        <v>30</v>
      </c>
    </row>
    <row r="76" spans="1:6" s="1104" customFormat="1" ht="24">
      <c r="A76" s="1153">
        <v>16</v>
      </c>
      <c r="B76" s="3561" t="s">
        <v>1533</v>
      </c>
      <c r="C76" s="1067" t="s">
        <v>1534</v>
      </c>
      <c r="D76" s="1067" t="s">
        <v>1535</v>
      </c>
      <c r="E76" s="1138">
        <v>0.5</v>
      </c>
      <c r="F76" s="1153">
        <v>80</v>
      </c>
    </row>
    <row r="77" spans="1:6" s="1104" customFormat="1" ht="24">
      <c r="A77" s="1153">
        <v>17</v>
      </c>
      <c r="B77" s="3561"/>
      <c r="C77" s="1067" t="s">
        <v>1536</v>
      </c>
      <c r="D77" s="1067" t="s">
        <v>1537</v>
      </c>
      <c r="E77" s="1138">
        <v>0.5</v>
      </c>
      <c r="F77" s="1153">
        <v>80</v>
      </c>
    </row>
    <row r="78" spans="1:6" s="1104" customFormat="1" ht="24">
      <c r="A78" s="1153">
        <v>18</v>
      </c>
      <c r="B78" s="3561"/>
      <c r="C78" s="1067" t="s">
        <v>1538</v>
      </c>
      <c r="D78" s="1067" t="s">
        <v>1539</v>
      </c>
      <c r="E78" s="1138">
        <v>0.2</v>
      </c>
      <c r="F78" s="1153">
        <v>30</v>
      </c>
    </row>
    <row r="79" spans="1:6" s="1104" customFormat="1" ht="24">
      <c r="A79" s="1153">
        <v>19</v>
      </c>
      <c r="B79" s="3561"/>
      <c r="C79" s="1067" t="s">
        <v>1540</v>
      </c>
      <c r="D79" s="1067" t="s">
        <v>1541</v>
      </c>
      <c r="E79" s="1138">
        <v>0.5</v>
      </c>
      <c r="F79" s="1153">
        <v>80</v>
      </c>
    </row>
    <row r="80" spans="1:6" s="1104" customFormat="1" ht="36">
      <c r="A80" s="1153">
        <v>20</v>
      </c>
      <c r="B80" s="3561"/>
      <c r="C80" s="1067" t="s">
        <v>1542</v>
      </c>
      <c r="D80" s="1067" t="s">
        <v>1543</v>
      </c>
      <c r="E80" s="1138">
        <v>0.2</v>
      </c>
      <c r="F80" s="1153">
        <v>30</v>
      </c>
    </row>
    <row r="81" spans="1:6" s="1104" customFormat="1" ht="36">
      <c r="A81" s="1153">
        <v>21</v>
      </c>
      <c r="B81" s="3561"/>
      <c r="C81" s="1067" t="s">
        <v>1544</v>
      </c>
      <c r="D81" s="1067" t="s">
        <v>1545</v>
      </c>
      <c r="E81" s="1138">
        <v>0.2</v>
      </c>
      <c r="F81" s="1153">
        <v>30</v>
      </c>
    </row>
    <row r="82" spans="1:6" s="1104" customFormat="1" ht="48">
      <c r="A82" s="1153">
        <v>22</v>
      </c>
      <c r="B82" s="3561"/>
      <c r="C82" s="1067" t="s">
        <v>1546</v>
      </c>
      <c r="D82" s="1067" t="s">
        <v>1547</v>
      </c>
      <c r="E82" s="1138">
        <v>0.2</v>
      </c>
      <c r="F82" s="1153">
        <v>30</v>
      </c>
    </row>
    <row r="83" spans="1:6" s="1104" customFormat="1" ht="48">
      <c r="A83" s="1153">
        <v>23</v>
      </c>
      <c r="B83" s="3561"/>
      <c r="C83" s="1067" t="s">
        <v>1548</v>
      </c>
      <c r="D83" s="1067" t="s">
        <v>1549</v>
      </c>
      <c r="E83" s="1138">
        <v>0.2</v>
      </c>
      <c r="F83" s="1153">
        <v>30</v>
      </c>
    </row>
    <row r="84" spans="1:6" s="1104" customFormat="1" ht="36">
      <c r="A84" s="1153">
        <v>24</v>
      </c>
      <c r="B84" s="3561"/>
      <c r="C84" s="1067" t="s">
        <v>1550</v>
      </c>
      <c r="D84" s="1067" t="s">
        <v>1551</v>
      </c>
      <c r="E84" s="1138">
        <v>0.2</v>
      </c>
      <c r="F84" s="1153">
        <v>30</v>
      </c>
    </row>
    <row r="85" spans="1:6" s="1104" customFormat="1" ht="36">
      <c r="A85" s="1153">
        <v>25</v>
      </c>
      <c r="B85" s="3561"/>
      <c r="C85" s="1067" t="s">
        <v>1552</v>
      </c>
      <c r="D85" s="1067" t="s">
        <v>1553</v>
      </c>
      <c r="E85" s="1138">
        <v>0.5</v>
      </c>
      <c r="F85" s="1153">
        <v>80</v>
      </c>
    </row>
    <row r="86" spans="1:6" s="1104" customFormat="1" ht="36">
      <c r="A86" s="1153">
        <v>26</v>
      </c>
      <c r="B86" s="3561"/>
      <c r="C86" s="1067" t="s">
        <v>1554</v>
      </c>
      <c r="D86" s="1067" t="s">
        <v>1555</v>
      </c>
      <c r="E86" s="1138">
        <v>0.2</v>
      </c>
      <c r="F86" s="1153">
        <v>30</v>
      </c>
    </row>
    <row r="87" spans="1:6" s="1104" customFormat="1" ht="36">
      <c r="A87" s="1153">
        <v>27</v>
      </c>
      <c r="B87" s="3561"/>
      <c r="C87" s="1067" t="s">
        <v>1556</v>
      </c>
      <c r="D87" s="1067" t="s">
        <v>1557</v>
      </c>
      <c r="E87" s="1138">
        <v>0.2</v>
      </c>
      <c r="F87" s="1153">
        <v>30</v>
      </c>
    </row>
    <row r="88" spans="1:6" s="1104" customFormat="1" ht="36">
      <c r="A88" s="1153">
        <v>28</v>
      </c>
      <c r="B88" s="3561"/>
      <c r="C88" s="1067" t="s">
        <v>1558</v>
      </c>
      <c r="D88" s="1067" t="s">
        <v>1559</v>
      </c>
      <c r="E88" s="1138">
        <v>0.2</v>
      </c>
      <c r="F88" s="1153">
        <v>30</v>
      </c>
    </row>
    <row r="89" spans="1:6" s="1104" customFormat="1" ht="24">
      <c r="A89" s="1153">
        <v>29</v>
      </c>
      <c r="B89" s="3561"/>
      <c r="C89" s="1067" t="s">
        <v>1560</v>
      </c>
      <c r="D89" s="1067" t="s">
        <v>1561</v>
      </c>
      <c r="E89" s="1138">
        <v>0.2</v>
      </c>
      <c r="F89" s="1153">
        <v>30</v>
      </c>
    </row>
    <row r="90" spans="1:6" s="1104" customFormat="1" ht="24">
      <c r="A90" s="1153">
        <v>30</v>
      </c>
      <c r="B90" s="3561"/>
      <c r="C90" s="1067" t="s">
        <v>1562</v>
      </c>
      <c r="D90" s="1067" t="s">
        <v>1563</v>
      </c>
      <c r="E90" s="1138">
        <v>0.2</v>
      </c>
      <c r="F90" s="1153">
        <v>30</v>
      </c>
    </row>
    <row r="91" spans="1:6" s="1104" customFormat="1" ht="36">
      <c r="A91" s="1153">
        <v>31</v>
      </c>
      <c r="B91" s="3561"/>
      <c r="C91" s="1067" t="s">
        <v>1564</v>
      </c>
      <c r="D91" s="1067" t="s">
        <v>1565</v>
      </c>
      <c r="E91" s="1138">
        <v>0.2</v>
      </c>
      <c r="F91" s="1153">
        <v>30</v>
      </c>
    </row>
    <row r="92" spans="1:6" s="1104" customFormat="1" ht="24">
      <c r="A92" s="1153">
        <v>32</v>
      </c>
      <c r="B92" s="3561" t="s">
        <v>1566</v>
      </c>
      <c r="C92" s="1153" t="s">
        <v>1567</v>
      </c>
      <c r="D92" s="1067" t="s">
        <v>1568</v>
      </c>
      <c r="E92" s="1138">
        <v>0.2</v>
      </c>
      <c r="F92" s="1153">
        <v>30</v>
      </c>
    </row>
    <row r="93" spans="1:6" s="1104" customFormat="1" ht="36">
      <c r="A93" s="1153">
        <v>33</v>
      </c>
      <c r="B93" s="3561"/>
      <c r="C93" s="1153" t="s">
        <v>1569</v>
      </c>
      <c r="D93" s="1067" t="s">
        <v>1570</v>
      </c>
      <c r="E93" s="1138">
        <v>0.2</v>
      </c>
      <c r="F93" s="1153">
        <v>30</v>
      </c>
    </row>
    <row r="94" spans="1:6" s="1104" customFormat="1" ht="48">
      <c r="A94" s="1153">
        <v>34</v>
      </c>
      <c r="B94" s="3561"/>
      <c r="C94" s="1153" t="s">
        <v>1571</v>
      </c>
      <c r="D94" s="1067" t="s">
        <v>1572</v>
      </c>
      <c r="E94" s="1138">
        <v>0.2</v>
      </c>
      <c r="F94" s="1153">
        <v>30</v>
      </c>
    </row>
    <row r="95" spans="1:6" s="1104" customFormat="1" ht="36">
      <c r="A95" s="1153">
        <v>35</v>
      </c>
      <c r="B95" s="3561"/>
      <c r="C95" s="1153" t="s">
        <v>1573</v>
      </c>
      <c r="D95" s="1067" t="s">
        <v>1574</v>
      </c>
      <c r="E95" s="1138">
        <v>0.2</v>
      </c>
      <c r="F95" s="1153">
        <v>30</v>
      </c>
    </row>
    <row r="96" spans="1:6" s="1104" customFormat="1" ht="48">
      <c r="A96" s="1153">
        <v>36</v>
      </c>
      <c r="B96" s="3561"/>
      <c r="C96" s="1067" t="s">
        <v>1575</v>
      </c>
      <c r="D96" s="1067" t="s">
        <v>1576</v>
      </c>
      <c r="E96" s="1138">
        <v>0.2</v>
      </c>
      <c r="F96" s="1153">
        <v>30</v>
      </c>
    </row>
    <row r="97" spans="1:6" s="1104" customFormat="1" ht="36">
      <c r="A97" s="1153">
        <v>37</v>
      </c>
      <c r="B97" s="3561"/>
      <c r="C97" s="1153" t="s">
        <v>1577</v>
      </c>
      <c r="D97" s="1067" t="s">
        <v>1578</v>
      </c>
      <c r="E97" s="1138">
        <v>0.2</v>
      </c>
      <c r="F97" s="1153">
        <v>30</v>
      </c>
    </row>
    <row r="98" spans="1:6" s="1104" customFormat="1" ht="36">
      <c r="A98" s="1153">
        <v>38</v>
      </c>
      <c r="B98" s="3561"/>
      <c r="C98" s="1153" t="s">
        <v>1579</v>
      </c>
      <c r="D98" s="1067" t="s">
        <v>1580</v>
      </c>
      <c r="E98" s="1138">
        <v>0.2</v>
      </c>
      <c r="F98" s="1153">
        <v>30</v>
      </c>
    </row>
    <row r="99" spans="1:6" s="1104" customFormat="1" ht="36">
      <c r="A99" s="1153">
        <v>39</v>
      </c>
      <c r="B99" s="3561" t="s">
        <v>1581</v>
      </c>
      <c r="C99" s="1153" t="s">
        <v>1582</v>
      </c>
      <c r="D99" s="1067" t="s">
        <v>1583</v>
      </c>
      <c r="E99" s="1138">
        <v>0.3</v>
      </c>
      <c r="F99" s="1153">
        <v>50</v>
      </c>
    </row>
    <row r="100" spans="1:6" s="1104" customFormat="1" ht="24">
      <c r="A100" s="1153">
        <v>40</v>
      </c>
      <c r="B100" s="3561"/>
      <c r="C100" s="1153" t="s">
        <v>1584</v>
      </c>
      <c r="D100" s="1067" t="s">
        <v>1585</v>
      </c>
      <c r="E100" s="1138">
        <v>0.2</v>
      </c>
      <c r="F100" s="1153">
        <v>30</v>
      </c>
    </row>
    <row r="101" spans="1:6" s="1104" customFormat="1" ht="36">
      <c r="A101" s="1153">
        <v>41</v>
      </c>
      <c r="B101" s="3561"/>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561" t="s">
        <v>1596</v>
      </c>
      <c r="C105" s="1153" t="s">
        <v>1597</v>
      </c>
      <c r="D105" s="1067" t="s">
        <v>1598</v>
      </c>
      <c r="E105" s="1138">
        <v>0.2</v>
      </c>
      <c r="F105" s="1153">
        <v>30</v>
      </c>
    </row>
    <row r="106" spans="1:6" s="1104" customFormat="1" ht="36">
      <c r="A106" s="1153">
        <v>46</v>
      </c>
      <c r="B106" s="3561"/>
      <c r="C106" s="1153" t="s">
        <v>1599</v>
      </c>
      <c r="D106" s="1067" t="s">
        <v>1600</v>
      </c>
      <c r="E106" s="1138">
        <v>0.2</v>
      </c>
      <c r="F106" s="1153">
        <v>30</v>
      </c>
    </row>
    <row r="107" spans="1:6" s="1104" customFormat="1" ht="36">
      <c r="A107" s="1153">
        <v>47</v>
      </c>
      <c r="B107" s="3561" t="s">
        <v>1601</v>
      </c>
      <c r="C107" s="1153" t="s">
        <v>1602</v>
      </c>
      <c r="D107" s="1067" t="s">
        <v>1603</v>
      </c>
      <c r="E107" s="1138">
        <v>0.3</v>
      </c>
      <c r="F107" s="1153">
        <v>50</v>
      </c>
    </row>
    <row r="108" spans="1:6" s="1104" customFormat="1" ht="36">
      <c r="A108" s="1153">
        <v>48</v>
      </c>
      <c r="B108" s="3561"/>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561" t="s">
        <v>1612</v>
      </c>
      <c r="C111" s="1153" t="s">
        <v>1613</v>
      </c>
      <c r="D111" s="1067" t="s">
        <v>1614</v>
      </c>
      <c r="E111" s="1138">
        <v>0.2</v>
      </c>
      <c r="F111" s="1153">
        <v>30</v>
      </c>
    </row>
    <row r="112" spans="1:6" s="1104" customFormat="1" ht="24">
      <c r="A112" s="1153">
        <v>52</v>
      </c>
      <c r="B112" s="3561"/>
      <c r="C112" s="1153" t="s">
        <v>1615</v>
      </c>
      <c r="D112" s="1067" t="s">
        <v>1616</v>
      </c>
      <c r="E112" s="1138">
        <v>0.2</v>
      </c>
      <c r="F112" s="1153">
        <v>30</v>
      </c>
    </row>
    <row r="113" spans="1:14" s="1104" customFormat="1" ht="24">
      <c r="A113" s="1153">
        <v>53</v>
      </c>
      <c r="B113" s="3561"/>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561" t="s">
        <v>1625</v>
      </c>
      <c r="C116" s="1153" t="s">
        <v>1626</v>
      </c>
      <c r="D116" s="1067" t="s">
        <v>1627</v>
      </c>
      <c r="E116" s="1138">
        <v>0.2</v>
      </c>
      <c r="F116" s="1153">
        <v>30</v>
      </c>
    </row>
    <row r="117" spans="1:14" ht="36">
      <c r="A117" s="1153">
        <v>57</v>
      </c>
      <c r="B117" s="3561"/>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560" t="s">
        <v>1634</v>
      </c>
      <c r="B121" s="3560"/>
      <c r="C121" s="3560"/>
      <c r="D121" s="3560"/>
      <c r="E121" s="3560"/>
      <c r="F121" s="3560"/>
      <c r="G121" s="3560"/>
      <c r="H121" s="3560"/>
      <c r="I121" s="3560"/>
      <c r="J121" s="356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65" t="s">
        <v>1040</v>
      </c>
      <c r="B1" s="3565"/>
      <c r="C1" s="3565"/>
      <c r="D1" s="3565"/>
      <c r="E1" s="3565"/>
      <c r="F1" s="356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566" t="s">
        <v>1053</v>
      </c>
      <c r="B2" s="3566"/>
      <c r="C2" s="3566"/>
      <c r="D2" s="3566"/>
      <c r="E2" s="3566"/>
      <c r="F2" s="356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56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56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569" t="s">
        <v>2079</v>
      </c>
      <c r="B1" s="3569"/>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1097</v>
      </c>
      <c r="B6" s="1857" t="s">
        <v>2088</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2089</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2090</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2091</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2092</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2093</v>
      </c>
      <c r="C72" s="1867"/>
      <c r="D72" s="1867"/>
      <c r="E72" s="1867"/>
      <c r="F72" s="1859">
        <v>0.05</v>
      </c>
    </row>
    <row r="73" spans="1:6" ht="14.25" thickBot="1">
      <c r="A73" s="1853" t="s">
        <v>925</v>
      </c>
      <c r="B73" s="1857" t="s">
        <v>2094</v>
      </c>
      <c r="C73" s="1867"/>
      <c r="D73" s="1867"/>
      <c r="E73" s="1867"/>
      <c r="F73" s="1859">
        <v>0.05</v>
      </c>
    </row>
    <row r="74" spans="1:6" ht="14.25" thickBot="1">
      <c r="A74" s="1853" t="s">
        <v>925</v>
      </c>
      <c r="B74" s="1857" t="s">
        <v>2095</v>
      </c>
      <c r="C74" s="1867"/>
      <c r="D74" s="1867"/>
      <c r="E74" s="1867"/>
      <c r="F74" s="1859">
        <v>0.05</v>
      </c>
    </row>
    <row r="75" spans="1:6" ht="14.25" thickBot="1">
      <c r="A75" s="1861" t="s">
        <v>925</v>
      </c>
      <c r="B75" s="1868" t="s">
        <v>2096</v>
      </c>
      <c r="C75" s="1864"/>
      <c r="D75" s="1864"/>
      <c r="E75" s="1864"/>
      <c r="F75" s="1869">
        <v>0.05</v>
      </c>
    </row>
    <row r="76" spans="1:6" ht="14.25" thickBot="1">
      <c r="A76" s="1853" t="s">
        <v>1408</v>
      </c>
      <c r="B76" s="1854" t="s">
        <v>2097</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2098</v>
      </c>
      <c r="C102" s="1867"/>
      <c r="D102" s="1867"/>
      <c r="E102" s="1867"/>
      <c r="F102" s="1859">
        <v>0.05</v>
      </c>
    </row>
    <row r="103" spans="1:6" ht="24.75" thickBot="1">
      <c r="A103" s="1853" t="s">
        <v>1408</v>
      </c>
      <c r="B103" s="1857" t="s">
        <v>2099</v>
      </c>
      <c r="C103" s="1867"/>
      <c r="D103" s="1867"/>
      <c r="E103" s="1867"/>
      <c r="F103" s="1859">
        <v>0.05</v>
      </c>
    </row>
    <row r="104" spans="1:6" ht="14.25" thickBot="1">
      <c r="A104" s="1853" t="s">
        <v>1408</v>
      </c>
      <c r="B104" s="1857" t="s">
        <v>2100</v>
      </c>
      <c r="C104" s="1867"/>
      <c r="D104" s="1867"/>
      <c r="E104" s="1867"/>
      <c r="F104" s="1859">
        <v>0.05</v>
      </c>
    </row>
    <row r="105" spans="1:6" ht="14.25" thickBot="1">
      <c r="A105" s="1853" t="s">
        <v>1408</v>
      </c>
      <c r="B105" s="1857" t="s">
        <v>2101</v>
      </c>
      <c r="C105" s="1867"/>
      <c r="D105" s="1867"/>
      <c r="E105" s="1867"/>
      <c r="F105" s="1859">
        <v>0.05</v>
      </c>
    </row>
    <row r="106" spans="1:6" ht="14.25" thickBot="1">
      <c r="A106" s="1853" t="s">
        <v>1408</v>
      </c>
      <c r="B106" s="1857" t="s">
        <v>2102</v>
      </c>
      <c r="C106" s="1867"/>
      <c r="D106" s="1867"/>
      <c r="E106" s="1867"/>
      <c r="F106" s="1859">
        <v>0.05</v>
      </c>
    </row>
    <row r="107" spans="1:6" ht="24.75" thickBot="1">
      <c r="A107" s="1853" t="s">
        <v>1408</v>
      </c>
      <c r="B107" s="1857" t="s">
        <v>2103</v>
      </c>
      <c r="C107" s="1867"/>
      <c r="D107" s="1867"/>
      <c r="E107" s="1867"/>
      <c r="F107" s="1859">
        <v>0.05</v>
      </c>
    </row>
    <row r="108" spans="1:6" ht="24.75" thickBot="1">
      <c r="A108" s="1853" t="s">
        <v>1408</v>
      </c>
      <c r="B108" s="1857" t="s">
        <v>2104</v>
      </c>
      <c r="C108" s="1867"/>
      <c r="D108" s="1867"/>
      <c r="E108" s="1867"/>
      <c r="F108" s="1859">
        <v>0.05</v>
      </c>
    </row>
    <row r="109" spans="1:6" ht="24.75" thickBot="1">
      <c r="A109" s="1861" t="s">
        <v>1408</v>
      </c>
      <c r="B109" s="1868" t="s">
        <v>2105</v>
      </c>
      <c r="C109" s="1864"/>
      <c r="D109" s="1864"/>
      <c r="E109" s="1864"/>
      <c r="F109" s="1869">
        <v>0.05</v>
      </c>
    </row>
    <row r="110" spans="1:6" ht="14.25" thickBot="1">
      <c r="A110" s="1853" t="s">
        <v>1410</v>
      </c>
      <c r="B110" s="1854" t="s">
        <v>2106</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2107</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2108</v>
      </c>
      <c r="C138" s="1858">
        <v>0.105</v>
      </c>
      <c r="D138" s="1858">
        <v>0.125</v>
      </c>
      <c r="E138" s="1858">
        <v>0.112</v>
      </c>
      <c r="F138" s="1866"/>
    </row>
    <row r="139" spans="1:6" ht="14.25" thickBot="1">
      <c r="A139" s="1853" t="s">
        <v>1410</v>
      </c>
      <c r="B139" s="1857" t="s">
        <v>2109</v>
      </c>
      <c r="C139" s="1858">
        <v>0.127</v>
      </c>
      <c r="D139" s="1858">
        <v>0.127</v>
      </c>
      <c r="E139" s="1858">
        <v>0.122</v>
      </c>
      <c r="F139" s="1859">
        <v>0.13</v>
      </c>
    </row>
    <row r="140" spans="1:6" ht="14.25" thickBot="1">
      <c r="A140" s="1853" t="s">
        <v>1410</v>
      </c>
      <c r="B140" s="1857" t="s">
        <v>2110</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2111</v>
      </c>
      <c r="C144" s="1871">
        <v>0.126</v>
      </c>
      <c r="D144" s="1871">
        <v>0.126</v>
      </c>
      <c r="E144" s="1871">
        <v>0.121</v>
      </c>
      <c r="F144" s="1866"/>
    </row>
    <row r="145" spans="1:6" ht="14.25" thickBot="1">
      <c r="A145" s="1861" t="s">
        <v>1410</v>
      </c>
      <c r="B145" s="1872" t="s">
        <v>2112</v>
      </c>
      <c r="C145" s="1873"/>
      <c r="D145" s="1873"/>
      <c r="E145" s="1873"/>
      <c r="F145" s="1874">
        <v>0.05</v>
      </c>
    </row>
    <row r="146" spans="1:6" ht="24.75" thickBot="1">
      <c r="A146" s="1875" t="s">
        <v>1410</v>
      </c>
      <c r="B146" s="1860" t="s">
        <v>2113</v>
      </c>
      <c r="C146" s="1867"/>
      <c r="D146" s="1867"/>
      <c r="E146" s="1867"/>
      <c r="F146" s="1876">
        <v>0.05</v>
      </c>
    </row>
    <row r="147" spans="1:6" ht="24.75" thickBot="1">
      <c r="A147" s="1853" t="s">
        <v>1410</v>
      </c>
      <c r="B147" s="1857" t="s">
        <v>2114</v>
      </c>
      <c r="C147" s="1867"/>
      <c r="D147" s="1867"/>
      <c r="E147" s="1867"/>
      <c r="F147" s="1859">
        <v>0.05</v>
      </c>
    </row>
    <row r="148" spans="1:6" ht="24.75" thickBot="1">
      <c r="A148" s="1853" t="s">
        <v>1410</v>
      </c>
      <c r="B148" s="1857" t="s">
        <v>2115</v>
      </c>
      <c r="C148" s="1867"/>
      <c r="D148" s="1867"/>
      <c r="E148" s="1867"/>
      <c r="F148" s="1859">
        <v>0.05</v>
      </c>
    </row>
    <row r="149" spans="1:6" ht="24.75" thickBot="1">
      <c r="A149" s="1853" t="s">
        <v>1410</v>
      </c>
      <c r="B149" s="1857" t="s">
        <v>2116</v>
      </c>
      <c r="C149" s="1867"/>
      <c r="D149" s="1867"/>
      <c r="E149" s="1867"/>
      <c r="F149" s="1859">
        <v>0.05</v>
      </c>
    </row>
    <row r="150" spans="1:6" ht="24.75" thickBot="1">
      <c r="A150" s="1853" t="s">
        <v>1410</v>
      </c>
      <c r="B150" s="1857" t="s">
        <v>2117</v>
      </c>
      <c r="C150" s="1867"/>
      <c r="D150" s="1867"/>
      <c r="E150" s="1867"/>
      <c r="F150" s="1859">
        <v>0.05</v>
      </c>
    </row>
    <row r="151" spans="1:6" ht="24.75" thickBot="1">
      <c r="A151" s="1853" t="s">
        <v>1410</v>
      </c>
      <c r="B151" s="1857" t="s">
        <v>2118</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2119</v>
      </c>
      <c r="C153" s="1867"/>
      <c r="D153" s="1867"/>
      <c r="E153" s="1867"/>
      <c r="F153" s="1859">
        <v>0.05</v>
      </c>
    </row>
    <row r="154" spans="1:6" ht="14.25" thickBot="1">
      <c r="A154" s="1853" t="s">
        <v>1410</v>
      </c>
      <c r="B154" s="1857" t="s">
        <v>2120</v>
      </c>
      <c r="C154" s="1867"/>
      <c r="D154" s="1867"/>
      <c r="E154" s="1867"/>
      <c r="F154" s="1859">
        <v>0.05</v>
      </c>
    </row>
    <row r="155" spans="1:6" ht="24.75" thickBot="1">
      <c r="A155" s="1853" t="s">
        <v>1410</v>
      </c>
      <c r="B155" s="1857" t="s">
        <v>2121</v>
      </c>
      <c r="C155" s="1867"/>
      <c r="D155" s="1867"/>
      <c r="E155" s="1867"/>
      <c r="F155" s="1859">
        <v>0.05</v>
      </c>
    </row>
    <row r="156" spans="1:6" ht="24.75" thickBot="1">
      <c r="A156" s="1853" t="s">
        <v>1410</v>
      </c>
      <c r="B156" s="1857" t="s">
        <v>2122</v>
      </c>
      <c r="C156" s="1867"/>
      <c r="D156" s="1867"/>
      <c r="E156" s="1867"/>
      <c r="F156" s="1859">
        <v>0.05</v>
      </c>
    </row>
    <row r="157" spans="1:6" ht="14.25" thickBot="1">
      <c r="A157" s="1861" t="s">
        <v>1410</v>
      </c>
      <c r="B157" s="1868" t="s">
        <v>2123</v>
      </c>
      <c r="C157" s="1864"/>
      <c r="D157" s="1864"/>
      <c r="E157" s="1864"/>
      <c r="F157" s="1869">
        <v>0.05</v>
      </c>
    </row>
    <row r="158" spans="1:6" ht="14.25" thickBot="1">
      <c r="A158" s="1853" t="s">
        <v>1412</v>
      </c>
      <c r="B158" s="1854" t="s">
        <v>2124</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2125</v>
      </c>
      <c r="C171" s="1858">
        <v>0.127</v>
      </c>
      <c r="D171" s="1858">
        <v>0.126</v>
      </c>
      <c r="E171" s="1858">
        <v>0.126</v>
      </c>
      <c r="F171" s="1859">
        <v>0.11799999999999999</v>
      </c>
    </row>
    <row r="172" spans="1:6" ht="14.25" thickBot="1">
      <c r="A172" s="1853" t="s">
        <v>1412</v>
      </c>
      <c r="B172" s="1857" t="s">
        <v>2126</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2127</v>
      </c>
      <c r="C174" s="1858">
        <v>0.13</v>
      </c>
      <c r="D174" s="1858">
        <v>0.13</v>
      </c>
      <c r="E174" s="1858">
        <v>0.13</v>
      </c>
      <c r="F174" s="1859">
        <v>0.13</v>
      </c>
    </row>
    <row r="175" spans="1:6" ht="14.25" thickBot="1">
      <c r="A175" s="1853" t="s">
        <v>1412</v>
      </c>
      <c r="B175" s="1857" t="s">
        <v>2128</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2129</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2130</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2131</v>
      </c>
      <c r="C185" s="1858">
        <v>0.127</v>
      </c>
      <c r="D185" s="1858">
        <v>0.127</v>
      </c>
      <c r="E185" s="1858">
        <v>0.128</v>
      </c>
      <c r="F185" s="1859">
        <v>0.13</v>
      </c>
    </row>
    <row r="186" spans="1:6" ht="24.75" thickBot="1">
      <c r="A186" s="1853" t="s">
        <v>1412</v>
      </c>
      <c r="B186" s="1857" t="s">
        <v>2132</v>
      </c>
      <c r="C186" s="1867"/>
      <c r="D186" s="1867"/>
      <c r="E186" s="1867"/>
      <c r="F186" s="1859">
        <v>0.05</v>
      </c>
    </row>
    <row r="187" spans="1:6" ht="14.25" thickBot="1">
      <c r="A187" s="1853" t="s">
        <v>1412</v>
      </c>
      <c r="B187" s="1857" t="s">
        <v>2133</v>
      </c>
      <c r="C187" s="1867"/>
      <c r="D187" s="1867"/>
      <c r="E187" s="1867"/>
      <c r="F187" s="1859">
        <v>0.05</v>
      </c>
    </row>
    <row r="188" spans="1:6" ht="14.25" thickBot="1">
      <c r="A188" s="1853" t="s">
        <v>1412</v>
      </c>
      <c r="B188" s="1857" t="s">
        <v>2134</v>
      </c>
      <c r="C188" s="1867"/>
      <c r="D188" s="1867"/>
      <c r="E188" s="1867"/>
      <c r="F188" s="1859">
        <v>0.05</v>
      </c>
    </row>
    <row r="189" spans="1:6" ht="24.75" thickBot="1">
      <c r="A189" s="1853" t="s">
        <v>1412</v>
      </c>
      <c r="B189" s="1857" t="s">
        <v>2135</v>
      </c>
      <c r="C189" s="1867"/>
      <c r="D189" s="1867"/>
      <c r="E189" s="1867"/>
      <c r="F189" s="1859">
        <v>0.05</v>
      </c>
    </row>
    <row r="190" spans="1:6" ht="24.75" thickBot="1">
      <c r="A190" s="1853" t="s">
        <v>1412</v>
      </c>
      <c r="B190" s="1857" t="s">
        <v>2136</v>
      </c>
      <c r="C190" s="1867"/>
      <c r="D190" s="1867"/>
      <c r="E190" s="1867"/>
      <c r="F190" s="1859">
        <v>0.05</v>
      </c>
    </row>
    <row r="191" spans="1:6" ht="24.75" thickBot="1">
      <c r="A191" s="1853" t="s">
        <v>1412</v>
      </c>
      <c r="B191" s="1857" t="s">
        <v>2137</v>
      </c>
      <c r="C191" s="1867"/>
      <c r="D191" s="1867"/>
      <c r="E191" s="1867"/>
      <c r="F191" s="1859">
        <v>0.05</v>
      </c>
    </row>
    <row r="192" spans="1:6" ht="24.75" thickBot="1">
      <c r="A192" s="1853" t="s">
        <v>1412</v>
      </c>
      <c r="B192" s="1857" t="s">
        <v>2138</v>
      </c>
      <c r="C192" s="1867"/>
      <c r="D192" s="1867"/>
      <c r="E192" s="1867"/>
      <c r="F192" s="1859">
        <v>0.05</v>
      </c>
    </row>
    <row r="193" spans="1:6" ht="24.75" thickBot="1">
      <c r="A193" s="1853" t="s">
        <v>1412</v>
      </c>
      <c r="B193" s="1857" t="s">
        <v>2139</v>
      </c>
      <c r="C193" s="1867"/>
      <c r="D193" s="1867"/>
      <c r="E193" s="1867"/>
      <c r="F193" s="1859">
        <v>0.05</v>
      </c>
    </row>
    <row r="194" spans="1:6" ht="24.75" thickBot="1">
      <c r="A194" s="1853" t="s">
        <v>1412</v>
      </c>
      <c r="B194" s="1857" t="s">
        <v>2140</v>
      </c>
      <c r="C194" s="1867"/>
      <c r="D194" s="1867"/>
      <c r="E194" s="1867"/>
      <c r="F194" s="1859">
        <v>0.05</v>
      </c>
    </row>
    <row r="195" spans="1:6" ht="14.25" thickBot="1">
      <c r="A195" s="1853" t="s">
        <v>1412</v>
      </c>
      <c r="B195" s="1857" t="s">
        <v>2141</v>
      </c>
      <c r="C195" s="1867"/>
      <c r="D195" s="1867"/>
      <c r="E195" s="1867"/>
      <c r="F195" s="1859">
        <v>0.05</v>
      </c>
    </row>
    <row r="196" spans="1:6" ht="24.75" thickBot="1">
      <c r="A196" s="1853" t="s">
        <v>1412</v>
      </c>
      <c r="B196" s="1857" t="s">
        <v>2142</v>
      </c>
      <c r="C196" s="1867"/>
      <c r="D196" s="1867"/>
      <c r="E196" s="1867"/>
      <c r="F196" s="1859">
        <v>0.05</v>
      </c>
    </row>
    <row r="197" spans="1:6" ht="24.75" thickBot="1">
      <c r="A197" s="1853" t="s">
        <v>1412</v>
      </c>
      <c r="B197" s="1857" t="s">
        <v>2143</v>
      </c>
      <c r="C197" s="1867"/>
      <c r="D197" s="1867"/>
      <c r="E197" s="1867"/>
      <c r="F197" s="1859">
        <v>0.05</v>
      </c>
    </row>
    <row r="198" spans="1:6" ht="24.75" thickBot="1">
      <c r="A198" s="1853" t="s">
        <v>1412</v>
      </c>
      <c r="B198" s="1857" t="s">
        <v>2144</v>
      </c>
      <c r="C198" s="1867"/>
      <c r="D198" s="1867"/>
      <c r="E198" s="1867"/>
      <c r="F198" s="1859">
        <v>0.05</v>
      </c>
    </row>
    <row r="199" spans="1:6" ht="24.75" thickBot="1">
      <c r="A199" s="1853" t="s">
        <v>1412</v>
      </c>
      <c r="B199" s="1857" t="s">
        <v>2145</v>
      </c>
      <c r="C199" s="1867"/>
      <c r="D199" s="1867"/>
      <c r="E199" s="1867"/>
      <c r="F199" s="1859">
        <v>0.05</v>
      </c>
    </row>
    <row r="200" spans="1:6" ht="24.75" thickBot="1">
      <c r="A200" s="1853" t="s">
        <v>1412</v>
      </c>
      <c r="B200" s="1857" t="s">
        <v>2146</v>
      </c>
      <c r="C200" s="1867"/>
      <c r="D200" s="1867"/>
      <c r="E200" s="1867"/>
      <c r="F200" s="1859">
        <v>0.05</v>
      </c>
    </row>
    <row r="201" spans="1:6" ht="24.75" thickBot="1">
      <c r="A201" s="1853" t="s">
        <v>1412</v>
      </c>
      <c r="B201" s="1857" t="s">
        <v>2147</v>
      </c>
      <c r="C201" s="1867"/>
      <c r="D201" s="1867"/>
      <c r="E201" s="1867"/>
      <c r="F201" s="1859">
        <v>0.05</v>
      </c>
    </row>
    <row r="202" spans="1:6" ht="24.75" thickBot="1">
      <c r="A202" s="1853" t="s">
        <v>1412</v>
      </c>
      <c r="B202" s="1857" t="s">
        <v>2148</v>
      </c>
      <c r="C202" s="1867"/>
      <c r="D202" s="1867"/>
      <c r="E202" s="1867"/>
      <c r="F202" s="1859">
        <v>0.05</v>
      </c>
    </row>
    <row r="203" spans="1:6" ht="24.75" thickBot="1">
      <c r="A203" s="1853" t="s">
        <v>1412</v>
      </c>
      <c r="B203" s="1857" t="s">
        <v>2149</v>
      </c>
      <c r="C203" s="1867"/>
      <c r="D203" s="1867"/>
      <c r="E203" s="1867"/>
      <c r="F203" s="1859">
        <v>0.05</v>
      </c>
    </row>
    <row r="204" spans="1:6" ht="14.25" thickBot="1">
      <c r="A204" s="1853" t="s">
        <v>1412</v>
      </c>
      <c r="B204" s="1857" t="s">
        <v>2150</v>
      </c>
      <c r="C204" s="1867"/>
      <c r="D204" s="1867"/>
      <c r="E204" s="1867"/>
      <c r="F204" s="1859">
        <v>0.05</v>
      </c>
    </row>
    <row r="205" spans="1:6" ht="14.25" thickBot="1">
      <c r="A205" s="1861" t="s">
        <v>1412</v>
      </c>
      <c r="B205" s="1868" t="s">
        <v>2151</v>
      </c>
      <c r="C205" s="1864"/>
      <c r="D205" s="1864"/>
      <c r="E205" s="1864"/>
      <c r="F205" s="1869">
        <v>0.05</v>
      </c>
    </row>
    <row r="206" spans="1:6" ht="14.25" thickBot="1">
      <c r="A206" s="1853" t="s">
        <v>1414</v>
      </c>
      <c r="B206" s="1854" t="s">
        <v>2152</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2153</v>
      </c>
      <c r="C210" s="1858">
        <v>0.15</v>
      </c>
      <c r="D210" s="1858">
        <v>0.15</v>
      </c>
      <c r="E210" s="1858">
        <v>0.15</v>
      </c>
      <c r="F210" s="1859">
        <v>0.13800000000000001</v>
      </c>
    </row>
    <row r="211" spans="1:6" ht="14.25" thickBot="1">
      <c r="A211" s="1853" t="s">
        <v>1414</v>
      </c>
      <c r="B211" s="1857" t="s">
        <v>2154</v>
      </c>
      <c r="C211" s="1858">
        <v>0.13700000000000001</v>
      </c>
      <c r="D211" s="1858">
        <v>0.13500000000000001</v>
      </c>
      <c r="E211" s="1858">
        <v>0.13600000000000001</v>
      </c>
      <c r="F211" s="1859">
        <v>0.1</v>
      </c>
    </row>
    <row r="212" spans="1:6" ht="14.25" thickBot="1">
      <c r="A212" s="1853" t="s">
        <v>1414</v>
      </c>
      <c r="B212" s="1857" t="s">
        <v>2155</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2156</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2157</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2158</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2159</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2160</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2161</v>
      </c>
      <c r="C231" s="1858">
        <v>0.128</v>
      </c>
      <c r="D231" s="1858">
        <v>0.125</v>
      </c>
      <c r="E231" s="1858">
        <v>0.13200000000000001</v>
      </c>
      <c r="F231" s="1866"/>
    </row>
    <row r="232" spans="1:6" ht="14.25" thickBot="1">
      <c r="A232" s="1853" t="s">
        <v>1414</v>
      </c>
      <c r="B232" s="1857" t="s">
        <v>2162</v>
      </c>
      <c r="C232" s="1858">
        <v>0.14499999999999999</v>
      </c>
      <c r="D232" s="1858">
        <v>0.14399999999999999</v>
      </c>
      <c r="E232" s="1858">
        <v>0.14599999999999999</v>
      </c>
      <c r="F232" s="1859">
        <v>0.13800000000000001</v>
      </c>
    </row>
    <row r="233" spans="1:6" ht="14.25" thickBot="1">
      <c r="A233" s="1853" t="s">
        <v>1414</v>
      </c>
      <c r="B233" s="1857" t="s">
        <v>2163</v>
      </c>
      <c r="C233" s="1858">
        <v>0.14499999999999999</v>
      </c>
      <c r="D233" s="1858">
        <v>0.14299999999999999</v>
      </c>
      <c r="E233" s="1858">
        <v>0.14199999999999999</v>
      </c>
      <c r="F233" s="1866"/>
    </row>
    <row r="234" spans="1:6" ht="14.25" thickBot="1">
      <c r="A234" s="1853" t="s">
        <v>1414</v>
      </c>
      <c r="B234" s="1857" t="s">
        <v>2164</v>
      </c>
      <c r="C234" s="1858">
        <v>0.14000000000000001</v>
      </c>
      <c r="D234" s="1858">
        <v>0.14000000000000001</v>
      </c>
      <c r="E234" s="1858">
        <v>0.14399999999999999</v>
      </c>
      <c r="F234" s="1866"/>
    </row>
    <row r="235" spans="1:6" ht="14.25" thickBot="1">
      <c r="A235" s="1853" t="s">
        <v>1414</v>
      </c>
      <c r="B235" s="1857" t="s">
        <v>2165</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2166</v>
      </c>
      <c r="C237" s="1867"/>
      <c r="D237" s="1867"/>
      <c r="E237" s="1867"/>
      <c r="F237" s="1859">
        <v>0.05</v>
      </c>
    </row>
    <row r="238" spans="1:6" ht="24.75" thickBot="1">
      <c r="A238" s="1853" t="s">
        <v>1414</v>
      </c>
      <c r="B238" s="1857" t="s">
        <v>2167</v>
      </c>
      <c r="C238" s="1867"/>
      <c r="D238" s="1867"/>
      <c r="E238" s="1867"/>
      <c r="F238" s="1859">
        <v>0.05</v>
      </c>
    </row>
    <row r="239" spans="1:6" ht="24.75" thickBot="1">
      <c r="A239" s="1853" t="s">
        <v>1414</v>
      </c>
      <c r="B239" s="1857" t="s">
        <v>2168</v>
      </c>
      <c r="C239" s="1867"/>
      <c r="D239" s="1867"/>
      <c r="E239" s="1867"/>
      <c r="F239" s="1859">
        <v>0.05</v>
      </c>
    </row>
    <row r="240" spans="1:6" ht="24.75" thickBot="1">
      <c r="A240" s="1853" t="s">
        <v>1414</v>
      </c>
      <c r="B240" s="1857" t="s">
        <v>2169</v>
      </c>
      <c r="C240" s="1867"/>
      <c r="D240" s="1867"/>
      <c r="E240" s="1867"/>
      <c r="F240" s="1859">
        <v>0.05</v>
      </c>
    </row>
    <row r="241" spans="1:6" ht="24.75" thickBot="1">
      <c r="A241" s="1853" t="s">
        <v>1414</v>
      </c>
      <c r="B241" s="1857" t="s">
        <v>2170</v>
      </c>
      <c r="C241" s="1867"/>
      <c r="D241" s="1867"/>
      <c r="E241" s="1867"/>
      <c r="F241" s="1859">
        <v>0.05</v>
      </c>
    </row>
    <row r="242" spans="1:6" ht="24.75" thickBot="1">
      <c r="A242" s="1853" t="s">
        <v>1414</v>
      </c>
      <c r="B242" s="1857" t="s">
        <v>2171</v>
      </c>
      <c r="C242" s="1867"/>
      <c r="D242" s="1867"/>
      <c r="E242" s="1867"/>
      <c r="F242" s="1859">
        <v>0.05</v>
      </c>
    </row>
    <row r="243" spans="1:6" ht="24.75" thickBot="1">
      <c r="A243" s="1853" t="s">
        <v>1414</v>
      </c>
      <c r="B243" s="1857" t="s">
        <v>2172</v>
      </c>
      <c r="C243" s="1867"/>
      <c r="D243" s="1867"/>
      <c r="E243" s="1867"/>
      <c r="F243" s="1859">
        <v>0.05</v>
      </c>
    </row>
    <row r="244" spans="1:6" ht="24.75" thickBot="1">
      <c r="A244" s="1861" t="s">
        <v>1414</v>
      </c>
      <c r="B244" s="1868" t="s">
        <v>2173</v>
      </c>
      <c r="C244" s="1864"/>
      <c r="D244" s="1864"/>
      <c r="E244" s="1864"/>
      <c r="F244" s="1869">
        <v>0.05</v>
      </c>
    </row>
    <row r="245" spans="1:6" ht="14.25" thickBot="1">
      <c r="A245" s="1853" t="s">
        <v>1416</v>
      </c>
      <c r="B245" s="1854" t="s">
        <v>2174</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2175</v>
      </c>
      <c r="C247" s="1858">
        <v>0.15</v>
      </c>
      <c r="D247" s="1858">
        <v>0.15</v>
      </c>
      <c r="E247" s="1858">
        <v>0.15</v>
      </c>
      <c r="F247" s="1859">
        <v>0.15</v>
      </c>
    </row>
    <row r="248" spans="1:6" ht="14.25" thickBot="1">
      <c r="A248" s="1853" t="s">
        <v>1416</v>
      </c>
      <c r="B248" s="1857" t="s">
        <v>2176</v>
      </c>
      <c r="C248" s="1858">
        <v>0.15</v>
      </c>
      <c r="D248" s="1858">
        <v>0.15</v>
      </c>
      <c r="E248" s="1858">
        <v>0.15</v>
      </c>
      <c r="F248" s="1859">
        <v>0.14000000000000001</v>
      </c>
    </row>
    <row r="249" spans="1:6" ht="14.25" thickBot="1">
      <c r="A249" s="1853" t="s">
        <v>1416</v>
      </c>
      <c r="B249" s="1857" t="s">
        <v>2177</v>
      </c>
      <c r="C249" s="1858">
        <v>0.15</v>
      </c>
      <c r="D249" s="1858">
        <v>0.14899999999999999</v>
      </c>
      <c r="E249" s="1858">
        <v>0.15</v>
      </c>
      <c r="F249" s="1859">
        <v>0.1</v>
      </c>
    </row>
    <row r="250" spans="1:6" ht="14.25" thickBot="1">
      <c r="A250" s="1853" t="s">
        <v>1416</v>
      </c>
      <c r="B250" s="1857" t="s">
        <v>2178</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2179</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2180</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2181</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2182</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2183</v>
      </c>
      <c r="C273" s="1858">
        <v>0.14199999999999999</v>
      </c>
      <c r="D273" s="1858">
        <v>0.14299999999999999</v>
      </c>
      <c r="E273" s="1858">
        <v>0.15</v>
      </c>
      <c r="F273" s="1859">
        <v>0.1</v>
      </c>
    </row>
    <row r="274" spans="1:6" ht="14.25" thickBot="1">
      <c r="A274" s="1853" t="s">
        <v>1416</v>
      </c>
      <c r="B274" s="1857" t="s">
        <v>2184</v>
      </c>
      <c r="C274" s="1858">
        <v>0.14799999999999999</v>
      </c>
      <c r="D274" s="1858">
        <v>0.14799999999999999</v>
      </c>
      <c r="E274" s="1858">
        <v>0.15</v>
      </c>
      <c r="F274" s="1859">
        <v>6.7000000000000004E-2</v>
      </c>
    </row>
    <row r="275" spans="1:6" ht="14.25" thickBot="1">
      <c r="A275" s="1853" t="s">
        <v>1416</v>
      </c>
      <c r="B275" s="1857" t="s">
        <v>2185</v>
      </c>
      <c r="C275" s="1858">
        <v>0.15</v>
      </c>
      <c r="D275" s="1858">
        <v>0.15</v>
      </c>
      <c r="E275" s="1858">
        <v>0.15</v>
      </c>
      <c r="F275" s="1859">
        <v>0.15</v>
      </c>
    </row>
    <row r="276" spans="1:6" ht="14.25" thickBot="1">
      <c r="A276" s="1853" t="s">
        <v>1416</v>
      </c>
      <c r="B276" s="1857" t="s">
        <v>2186</v>
      </c>
      <c r="C276" s="1858">
        <v>0.14499999999999999</v>
      </c>
      <c r="D276" s="1858">
        <v>0.14299999999999999</v>
      </c>
      <c r="E276" s="1858">
        <v>0.15</v>
      </c>
      <c r="F276" s="1859">
        <v>5.8999999999999997E-2</v>
      </c>
    </row>
    <row r="277" spans="1:6" ht="14.25" thickBot="1">
      <c r="A277" s="1853" t="s">
        <v>1416</v>
      </c>
      <c r="B277" s="1857" t="s">
        <v>2187</v>
      </c>
      <c r="C277" s="1858">
        <v>0.15</v>
      </c>
      <c r="D277" s="1858">
        <v>0.15</v>
      </c>
      <c r="E277" s="1858">
        <v>0.15</v>
      </c>
      <c r="F277" s="1859">
        <v>0.121</v>
      </c>
    </row>
    <row r="278" spans="1:6" ht="14.25" thickBot="1">
      <c r="A278" s="1853" t="s">
        <v>1416</v>
      </c>
      <c r="B278" s="1857" t="s">
        <v>2188</v>
      </c>
      <c r="C278" s="1858">
        <v>0.15</v>
      </c>
      <c r="D278" s="1858">
        <v>0.15</v>
      </c>
      <c r="E278" s="1858">
        <v>0.15</v>
      </c>
      <c r="F278" s="1859">
        <v>0.13800000000000001</v>
      </c>
    </row>
    <row r="279" spans="1:6" ht="24.75" thickBot="1">
      <c r="A279" s="1853" t="s">
        <v>1416</v>
      </c>
      <c r="B279" s="1857" t="s">
        <v>2189</v>
      </c>
      <c r="C279" s="1867"/>
      <c r="D279" s="1867"/>
      <c r="E279" s="1867"/>
      <c r="F279" s="1859">
        <v>0.05</v>
      </c>
    </row>
    <row r="280" spans="1:6" ht="24.75" thickBot="1">
      <c r="A280" s="1853" t="s">
        <v>1416</v>
      </c>
      <c r="B280" s="1857" t="s">
        <v>2190</v>
      </c>
      <c r="C280" s="1867"/>
      <c r="D280" s="1867"/>
      <c r="E280" s="1867"/>
      <c r="F280" s="1859">
        <v>0.05</v>
      </c>
    </row>
    <row r="281" spans="1:6" ht="24.75" thickBot="1">
      <c r="A281" s="1853" t="s">
        <v>1416</v>
      </c>
      <c r="B281" s="1857" t="s">
        <v>2191</v>
      </c>
      <c r="C281" s="1867"/>
      <c r="D281" s="1867"/>
      <c r="E281" s="1867"/>
      <c r="F281" s="1859">
        <v>0.05</v>
      </c>
    </row>
    <row r="282" spans="1:6" ht="24.75" thickBot="1">
      <c r="A282" s="1853" t="s">
        <v>1416</v>
      </c>
      <c r="B282" s="1857" t="s">
        <v>2192</v>
      </c>
      <c r="C282" s="1867"/>
      <c r="D282" s="1867"/>
      <c r="E282" s="1867"/>
      <c r="F282" s="1859">
        <v>0.05</v>
      </c>
    </row>
    <row r="283" spans="1:6" ht="24.75" thickBot="1">
      <c r="A283" s="1853" t="s">
        <v>1416</v>
      </c>
      <c r="B283" s="1857" t="s">
        <v>2193</v>
      </c>
      <c r="C283" s="1867"/>
      <c r="D283" s="1867"/>
      <c r="E283" s="1867"/>
      <c r="F283" s="1859">
        <v>0.05</v>
      </c>
    </row>
    <row r="284" spans="1:6" ht="24.75" thickBot="1">
      <c r="A284" s="1853" t="s">
        <v>1416</v>
      </c>
      <c r="B284" s="1857" t="s">
        <v>2194</v>
      </c>
      <c r="C284" s="1867"/>
      <c r="D284" s="1867"/>
      <c r="E284" s="1867"/>
      <c r="F284" s="1859">
        <v>0.05</v>
      </c>
    </row>
    <row r="285" spans="1:6" ht="24.75" thickBot="1">
      <c r="A285" s="1853" t="s">
        <v>1416</v>
      </c>
      <c r="B285" s="1857" t="s">
        <v>2195</v>
      </c>
      <c r="C285" s="1867"/>
      <c r="D285" s="1867"/>
      <c r="E285" s="1867"/>
      <c r="F285" s="1859">
        <v>0.05</v>
      </c>
    </row>
    <row r="286" spans="1:6" ht="24.75" thickBot="1">
      <c r="A286" s="1853" t="s">
        <v>1416</v>
      </c>
      <c r="B286" s="1857" t="s">
        <v>2196</v>
      </c>
      <c r="C286" s="1867"/>
      <c r="D286" s="1867"/>
      <c r="E286" s="1867"/>
      <c r="F286" s="1859">
        <v>0.05</v>
      </c>
    </row>
    <row r="287" spans="1:6" ht="24.75" thickBot="1">
      <c r="A287" s="1853" t="s">
        <v>1416</v>
      </c>
      <c r="B287" s="1857" t="s">
        <v>2197</v>
      </c>
      <c r="C287" s="1867"/>
      <c r="D287" s="1867"/>
      <c r="E287" s="1867"/>
      <c r="F287" s="1859">
        <v>0.05</v>
      </c>
    </row>
    <row r="288" spans="1:6" ht="24.75" thickBot="1">
      <c r="A288" s="1853" t="s">
        <v>1416</v>
      </c>
      <c r="B288" s="1857" t="s">
        <v>2198</v>
      </c>
      <c r="C288" s="1867"/>
      <c r="D288" s="1867"/>
      <c r="E288" s="1867"/>
      <c r="F288" s="1859">
        <v>0.05</v>
      </c>
    </row>
    <row r="289" spans="1:6" ht="24.75" thickBot="1">
      <c r="A289" s="1861" t="s">
        <v>1416</v>
      </c>
      <c r="B289" s="1868" t="s">
        <v>2199</v>
      </c>
      <c r="C289" s="1864"/>
      <c r="D289" s="1864"/>
      <c r="E289" s="1864"/>
      <c r="F289" s="1869">
        <v>0.05</v>
      </c>
    </row>
    <row r="290" spans="1:6" ht="14.25" thickBot="1">
      <c r="A290" s="1853" t="s">
        <v>1420</v>
      </c>
      <c r="B290" s="1854" t="s">
        <v>2200</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2201</v>
      </c>
      <c r="C292" s="1858">
        <v>0.15</v>
      </c>
      <c r="D292" s="1858">
        <v>0.15</v>
      </c>
      <c r="E292" s="1858">
        <v>0.15</v>
      </c>
      <c r="F292" s="1859">
        <v>0.14699999999999999</v>
      </c>
    </row>
    <row r="293" spans="1:6" ht="14.25" thickBot="1">
      <c r="A293" s="1853" t="s">
        <v>1420</v>
      </c>
      <c r="B293" s="1857" t="s">
        <v>2202</v>
      </c>
      <c r="C293" s="1867"/>
      <c r="D293" s="1867"/>
      <c r="E293" s="1867"/>
      <c r="F293" s="1859">
        <v>0.1</v>
      </c>
    </row>
    <row r="294" spans="1:6" ht="14.25" thickBot="1">
      <c r="A294" s="1853" t="s">
        <v>1420</v>
      </c>
      <c r="B294" s="1857" t="s">
        <v>2203</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2204</v>
      </c>
      <c r="C296" s="1858">
        <v>0.15</v>
      </c>
      <c r="D296" s="1858">
        <v>0.15</v>
      </c>
      <c r="E296" s="1858">
        <v>0.15</v>
      </c>
      <c r="F296" s="1859">
        <v>0.15</v>
      </c>
    </row>
    <row r="297" spans="1:6" ht="14.25" thickBot="1">
      <c r="A297" s="1853" t="s">
        <v>1420</v>
      </c>
      <c r="B297" s="1857" t="s">
        <v>2205</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2206</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2207</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2208</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2209</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2210</v>
      </c>
      <c r="C310" s="1858">
        <v>0.15</v>
      </c>
      <c r="D310" s="1858">
        <v>0.15</v>
      </c>
      <c r="E310" s="1858">
        <v>0.15</v>
      </c>
      <c r="F310" s="1859">
        <v>0.13700000000000001</v>
      </c>
    </row>
    <row r="311" spans="1:6" ht="14.25" thickBot="1">
      <c r="A311" s="1853" t="s">
        <v>1420</v>
      </c>
      <c r="B311" s="1857" t="s">
        <v>2211</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2212</v>
      </c>
      <c r="C313" s="1858">
        <v>0.15</v>
      </c>
      <c r="D313" s="1858">
        <v>0.15</v>
      </c>
      <c r="E313" s="1858">
        <v>0.15</v>
      </c>
      <c r="F313" s="1859">
        <v>0.15</v>
      </c>
    </row>
    <row r="314" spans="1:6" ht="24.75" thickBot="1">
      <c r="A314" s="1853" t="s">
        <v>1420</v>
      </c>
      <c r="B314" s="1857" t="s">
        <v>2213</v>
      </c>
      <c r="C314" s="1867"/>
      <c r="D314" s="1867"/>
      <c r="E314" s="1867"/>
      <c r="F314" s="1859">
        <v>0.05</v>
      </c>
    </row>
    <row r="315" spans="1:6" ht="24.75" thickBot="1">
      <c r="A315" s="1853" t="s">
        <v>1420</v>
      </c>
      <c r="B315" s="1857" t="s">
        <v>2214</v>
      </c>
      <c r="C315" s="1867"/>
      <c r="D315" s="1867"/>
      <c r="E315" s="1867"/>
      <c r="F315" s="1859">
        <v>0.05</v>
      </c>
    </row>
    <row r="316" spans="1:6" ht="24.75" thickBot="1">
      <c r="A316" s="1861" t="s">
        <v>1420</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1108</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1177</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1197</v>
      </c>
      <c r="C328" s="1858">
        <v>0.15</v>
      </c>
      <c r="D328" s="1858">
        <v>0.15</v>
      </c>
      <c r="E328" s="1858">
        <v>0.15</v>
      </c>
      <c r="F328" s="1859">
        <v>0.14099999999999999</v>
      </c>
    </row>
    <row r="329" spans="1:6" ht="14.25" thickBot="1">
      <c r="A329" s="1853" t="s">
        <v>2216</v>
      </c>
      <c r="B329" s="1857" t="s">
        <v>1207</v>
      </c>
      <c r="C329" s="1858">
        <v>0.15</v>
      </c>
      <c r="D329" s="1858">
        <v>0.15</v>
      </c>
      <c r="E329" s="1858">
        <v>0.15</v>
      </c>
      <c r="F329" s="1859">
        <v>0.15</v>
      </c>
    </row>
    <row r="330" spans="1:6" ht="14.25" thickBot="1">
      <c r="A330" s="1853" t="s">
        <v>2216</v>
      </c>
      <c r="B330" s="1857" t="s">
        <v>1217</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1237</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1257</v>
      </c>
      <c r="C334" s="1858">
        <v>0.15</v>
      </c>
      <c r="D334" s="1858">
        <v>0.15</v>
      </c>
      <c r="E334" s="1858">
        <v>0.15</v>
      </c>
      <c r="F334" s="1859">
        <v>0.15</v>
      </c>
    </row>
    <row r="335" spans="1:6" ht="14.25" thickBot="1">
      <c r="A335" s="1853" t="s">
        <v>2216</v>
      </c>
      <c r="B335" s="1857" t="s">
        <v>1267</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1285</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8" t="s">
        <v>2937</v>
      </c>
      <c r="B1" s="3100"/>
      <c r="C1" s="3100"/>
      <c r="D1" s="3100"/>
      <c r="E1" s="3100"/>
      <c r="F1" s="3100"/>
    </row>
    <row r="2" spans="1:6" ht="14.25">
      <c r="A2" s="3101" t="s">
        <v>2932</v>
      </c>
      <c r="B2" s="3102" t="e">
        <f ca="1">SUMIF(B7:B14,"&lt;&gt;#ref!",B7:B14)</f>
        <v>#DIV/0!</v>
      </c>
      <c r="C2" s="3101" t="s">
        <v>2933</v>
      </c>
      <c r="D2" s="3100"/>
      <c r="E2" s="3100"/>
      <c r="F2" s="3100"/>
    </row>
    <row r="3" spans="1:6" ht="14.25">
      <c r="A3" s="3101" t="s">
        <v>2966</v>
      </c>
      <c r="B3" s="3102" t="e">
        <f ca="1">ROUND(B2*10000/E3,0)</f>
        <v>#DIV/0!</v>
      </c>
      <c r="C3" s="3101" t="s">
        <v>2078</v>
      </c>
      <c r="D3" s="3101" t="s">
        <v>2934</v>
      </c>
      <c r="E3" s="3102">
        <f ca="1">SUMIF(E7:E14,"&lt;&gt;#ref!",E7:E14)</f>
        <v>0</v>
      </c>
      <c r="F3" s="3100"/>
    </row>
    <row r="4" spans="1:6" ht="14.25">
      <c r="A4" s="3101" t="s">
        <v>2941</v>
      </c>
      <c r="B4" s="3102" t="e">
        <f ca="1">ROUND(B2*10000/E4,0)</f>
        <v>#DIV/0!</v>
      </c>
      <c r="C4" s="3101" t="s">
        <v>2078</v>
      </c>
      <c r="D4" s="3101" t="s">
        <v>2942</v>
      </c>
      <c r="E4" s="3102">
        <f ca="1">SUMIF(F7:F14,"&lt;&gt;#ref!",F7:F14)</f>
        <v>0</v>
      </c>
      <c r="F4" s="3100"/>
    </row>
    <row r="5" spans="1:6" ht="14.25">
      <c r="A5" s="3103"/>
      <c r="B5" s="1879"/>
      <c r="C5" s="1879"/>
      <c r="D5" s="1879"/>
      <c r="E5" s="1879"/>
      <c r="F5" s="3100"/>
    </row>
    <row r="6" spans="1:6" ht="28.5">
      <c r="A6" s="3104" t="s">
        <v>2938</v>
      </c>
      <c r="B6" s="3101" t="s">
        <v>2935</v>
      </c>
      <c r="C6" s="3102"/>
      <c r="D6" s="1879"/>
      <c r="E6" s="3101" t="s">
        <v>2936</v>
      </c>
      <c r="F6" s="3101" t="s">
        <v>2940</v>
      </c>
    </row>
    <row r="7" spans="1:6" ht="14.25">
      <c r="A7" s="259" t="s">
        <v>2939</v>
      </c>
      <c r="B7" s="3105" t="e">
        <f ca="1">SUMIF(INDIRECT("'"&amp;A7&amp;"'"&amp;"!A:A"),"总价",INDIRECT("'"&amp;A7&amp;"'"&amp;"!B:B"))</f>
        <v>#DIV/0!</v>
      </c>
      <c r="C7" s="3101" t="s">
        <v>2933</v>
      </c>
      <c r="D7" s="1879"/>
      <c r="E7" s="3106">
        <f ca="1">SUMIF(INDIRECT("'"&amp;A7&amp;"'"&amp;"!C:C"),"建筑面积",INDIRECT("'"&amp;A7&amp;"'"&amp;"!D:D"))</f>
        <v>0</v>
      </c>
      <c r="F7" s="3106">
        <f ca="1">SUMIF(INDIRECT("'"&amp;A7&amp;"'"&amp;"!E:E"),"土地面积",INDIRECT("'"&amp;A7&amp;"'"&amp;"!F:F"))</f>
        <v>0</v>
      </c>
    </row>
    <row r="8" spans="1:6" ht="14.25">
      <c r="A8" s="259"/>
      <c r="B8" s="3105" t="e">
        <f t="shared" ref="B8:B14" ca="1" si="0">SUMIF(INDIRECT("'"&amp;A8&amp;"'"&amp;"!A:A"),"总价",INDIRECT("'"&amp;A8&amp;"'"&amp;"!B:B"))</f>
        <v>#REF!</v>
      </c>
      <c r="C8" s="3101" t="s">
        <v>2933</v>
      </c>
      <c r="D8" s="1879"/>
      <c r="E8" s="3106" t="e">
        <f t="shared" ref="E8:E14" ca="1" si="1">SUMIF(INDIRECT("'"&amp;A8&amp;"'"&amp;"!C:C"),"建筑面积",INDIRECT("'"&amp;A8&amp;"'"&amp;"!D:D"))</f>
        <v>#REF!</v>
      </c>
      <c r="F8" s="3106" t="e">
        <f t="shared" ref="F8:F14" ca="1" si="2">SUMIF(INDIRECT("'"&amp;A8&amp;"'"&amp;"!E:E"),"土地面积",INDIRECT("'"&amp;A8&amp;"'"&amp;"!F:F"))</f>
        <v>#REF!</v>
      </c>
    </row>
    <row r="9" spans="1:6" ht="14.25">
      <c r="A9" s="259"/>
      <c r="B9" s="3105" t="e">
        <f t="shared" ca="1" si="0"/>
        <v>#REF!</v>
      </c>
      <c r="C9" s="3101" t="s">
        <v>2933</v>
      </c>
      <c r="D9" s="1879"/>
      <c r="E9" s="3106" t="e">
        <f t="shared" ca="1" si="1"/>
        <v>#REF!</v>
      </c>
      <c r="F9" s="3106" t="e">
        <f t="shared" ca="1" si="2"/>
        <v>#REF!</v>
      </c>
    </row>
    <row r="10" spans="1:6" ht="14.25">
      <c r="A10" s="259"/>
      <c r="B10" s="3105" t="e">
        <f t="shared" ca="1" si="0"/>
        <v>#REF!</v>
      </c>
      <c r="C10" s="3101" t="s">
        <v>2933</v>
      </c>
      <c r="D10" s="1879"/>
      <c r="E10" s="3106" t="e">
        <f t="shared" ca="1" si="1"/>
        <v>#REF!</v>
      </c>
      <c r="F10" s="3106" t="e">
        <f t="shared" ca="1" si="2"/>
        <v>#REF!</v>
      </c>
    </row>
    <row r="11" spans="1:6" ht="14.25">
      <c r="A11" s="259"/>
      <c r="B11" s="3105" t="e">
        <f t="shared" ca="1" si="0"/>
        <v>#REF!</v>
      </c>
      <c r="C11" s="3101" t="s">
        <v>2933</v>
      </c>
      <c r="D11" s="1879"/>
      <c r="E11" s="3106" t="e">
        <f t="shared" ca="1" si="1"/>
        <v>#REF!</v>
      </c>
      <c r="F11" s="3106" t="e">
        <f t="shared" ca="1" si="2"/>
        <v>#REF!</v>
      </c>
    </row>
    <row r="12" spans="1:6" ht="14.25">
      <c r="A12" s="259"/>
      <c r="B12" s="3105" t="e">
        <f t="shared" ca="1" si="0"/>
        <v>#REF!</v>
      </c>
      <c r="C12" s="3101" t="s">
        <v>2933</v>
      </c>
      <c r="D12" s="1879"/>
      <c r="E12" s="3106" t="e">
        <f t="shared" ca="1" si="1"/>
        <v>#REF!</v>
      </c>
      <c r="F12" s="3106" t="e">
        <f t="shared" ca="1" si="2"/>
        <v>#REF!</v>
      </c>
    </row>
    <row r="13" spans="1:6" ht="14.25">
      <c r="A13" s="259"/>
      <c r="B13" s="3105" t="e">
        <f t="shared" ca="1" si="0"/>
        <v>#REF!</v>
      </c>
      <c r="C13" s="3101" t="s">
        <v>2933</v>
      </c>
      <c r="D13" s="1879"/>
      <c r="E13" s="3106" t="e">
        <f t="shared" ca="1" si="1"/>
        <v>#REF!</v>
      </c>
      <c r="F13" s="3106" t="e">
        <f t="shared" ca="1" si="2"/>
        <v>#REF!</v>
      </c>
    </row>
    <row r="14" spans="1:6" ht="14.25">
      <c r="A14" s="3099"/>
      <c r="B14" s="3105" t="e">
        <f t="shared" ca="1" si="0"/>
        <v>#REF!</v>
      </c>
      <c r="C14" s="3101" t="s">
        <v>2933</v>
      </c>
      <c r="D14" s="1879"/>
      <c r="E14" s="3106" t="e">
        <f t="shared" ca="1" si="1"/>
        <v>#REF!</v>
      </c>
      <c r="F14" s="3106"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85" t="s">
        <v>2372</v>
      </c>
      <c r="F1" s="2386">
        <f ca="1">J54</f>
        <v>-2</v>
      </c>
      <c r="G1" s="773">
        <f>MATCH(C1,'数据-取费表'!A6:A16,0)+5</f>
        <v>13</v>
      </c>
      <c r="H1" s="1349"/>
      <c r="I1" s="2049"/>
      <c r="J1" s="2049"/>
      <c r="K1" s="2050"/>
      <c r="L1" s="2049"/>
      <c r="M1" s="2049"/>
      <c r="N1" s="2051"/>
      <c r="O1" s="2051"/>
      <c r="P1" s="2051"/>
      <c r="Q1" s="2051"/>
      <c r="R1" s="2051"/>
      <c r="S1" s="2051"/>
      <c r="T1" s="2051"/>
      <c r="U1" s="2051"/>
      <c r="V1" s="2051"/>
      <c r="W1" s="2051"/>
      <c r="X1" s="2051"/>
      <c r="Y1" s="2051"/>
    </row>
    <row r="2" spans="1:25" ht="18" customHeight="1">
      <c r="A2" s="1643" t="s">
        <v>629</v>
      </c>
      <c r="B2" s="774">
        <f ca="1">IF(ISERROR(C45+J31),0,C45+J31)</f>
        <v>0</v>
      </c>
      <c r="C2" s="1350"/>
      <c r="D2" s="2053"/>
      <c r="E2" s="2054"/>
      <c r="F2" s="2054"/>
      <c r="G2" s="1589"/>
      <c r="H2" s="1362"/>
      <c r="I2" s="2055"/>
      <c r="J2" s="2055"/>
      <c r="K2" s="2056"/>
      <c r="L2" s="2055"/>
      <c r="M2" s="2055"/>
    </row>
    <row r="3" spans="1:25" ht="18" customHeight="1">
      <c r="A3" s="1644" t="s">
        <v>1687</v>
      </c>
      <c r="B3" s="1390">
        <f ca="1">ROUND(B2*10000/'数据-汇总表'!E3,0)</f>
        <v>0</v>
      </c>
      <c r="C3" s="1350"/>
      <c r="D3" s="2053"/>
      <c r="E3" s="2054"/>
      <c r="F3" s="2054"/>
      <c r="G3" s="1589"/>
      <c r="H3" s="775" t="s">
        <v>695</v>
      </c>
      <c r="I3" s="2055"/>
      <c r="J3" s="2055"/>
      <c r="K3" s="2056"/>
      <c r="L3" s="2055"/>
      <c r="M3" s="2055"/>
    </row>
    <row r="4" spans="1:25" ht="18" customHeight="1">
      <c r="A4" s="1645" t="s">
        <v>696</v>
      </c>
      <c r="B4" s="1351">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697</v>
      </c>
      <c r="D5" s="2053"/>
      <c r="E5" s="2054"/>
      <c r="F5" s="2054"/>
      <c r="G5" s="1589"/>
      <c r="H5" s="775"/>
      <c r="I5" s="2055"/>
      <c r="J5" s="2055"/>
      <c r="K5" s="2056"/>
      <c r="L5" s="2055"/>
      <c r="M5" s="2055"/>
    </row>
    <row r="6" spans="1:25" ht="18" customHeight="1">
      <c r="A6" s="1826" t="s">
        <v>698</v>
      </c>
      <c r="B6" s="1818" t="s">
        <v>699</v>
      </c>
      <c r="C6" s="1818" t="s">
        <v>632</v>
      </c>
      <c r="D6" s="1818" t="s">
        <v>633</v>
      </c>
      <c r="E6" s="778" t="s">
        <v>634</v>
      </c>
      <c r="F6" s="779"/>
      <c r="G6" s="1591"/>
      <c r="H6" s="1826" t="s">
        <v>630</v>
      </c>
      <c r="I6" s="1818" t="s">
        <v>631</v>
      </c>
      <c r="J6" s="1818" t="s">
        <v>632</v>
      </c>
      <c r="K6" s="1818" t="s">
        <v>633</v>
      </c>
      <c r="L6" s="778" t="s">
        <v>634</v>
      </c>
      <c r="M6" s="779"/>
    </row>
    <row r="7" spans="1:25" ht="18" customHeight="1">
      <c r="A7" s="780">
        <v>1</v>
      </c>
      <c r="B7" s="781" t="s">
        <v>2456</v>
      </c>
      <c r="C7" s="53">
        <f ca="1">C8+C12+C14</f>
        <v>0</v>
      </c>
      <c r="D7" s="2494" t="s">
        <v>2459</v>
      </c>
      <c r="E7" s="2488"/>
      <c r="F7" s="2489"/>
      <c r="G7" s="1591"/>
      <c r="H7" s="780">
        <v>1</v>
      </c>
      <c r="I7" s="781" t="s">
        <v>2456</v>
      </c>
      <c r="J7" s="53">
        <f ca="1">J8+J12+J14</f>
        <v>0</v>
      </c>
      <c r="K7" s="2494" t="s">
        <v>2459</v>
      </c>
      <c r="L7" s="2488"/>
      <c r="M7" s="2489"/>
    </row>
    <row r="8" spans="1:25" ht="18" customHeight="1">
      <c r="A8" s="1828" t="s">
        <v>1825</v>
      </c>
      <c r="B8" s="3571" t="s">
        <v>2461</v>
      </c>
      <c r="C8" s="1823">
        <f ca="1">ROUND(F8*F10*F9*(1-F11)/10000,0)</f>
        <v>0</v>
      </c>
      <c r="D8" s="1820" t="s">
        <v>2532</v>
      </c>
      <c r="E8" s="61" t="s">
        <v>637</v>
      </c>
      <c r="F8" s="784">
        <f ca="1">INDIRECT("'数据-取费表'!u"&amp;$G$1)</f>
        <v>0</v>
      </c>
      <c r="G8" s="1591"/>
      <c r="H8" s="2502" t="s">
        <v>1825</v>
      </c>
      <c r="I8" s="3571" t="s">
        <v>2461</v>
      </c>
      <c r="J8" s="782">
        <f ca="1">ROUND(M8*M10*M9*(1-M11)/10000,0)</f>
        <v>0</v>
      </c>
      <c r="K8" s="340" t="s">
        <v>2532</v>
      </c>
      <c r="L8" s="783" t="s">
        <v>1739</v>
      </c>
      <c r="M8" s="784">
        <f ca="1">INDIRECT("'数据-取费表'!z"&amp;$G$1)</f>
        <v>0</v>
      </c>
    </row>
    <row r="9" spans="1:25" ht="18" customHeight="1">
      <c r="A9" s="2498"/>
      <c r="B9" s="3572"/>
      <c r="C9" s="1824"/>
      <c r="D9" s="1821"/>
      <c r="E9" s="61" t="s">
        <v>638</v>
      </c>
      <c r="F9" s="784">
        <f ca="1">IF(INDIRECT("'数据-取费表'!ah"&amp;$G$1)="",INDIRECT("'数据-取费表'!k"&amp;$G$1),INDIRECT("'数据-取费表'!ah"&amp;$G$1))</f>
        <v>0</v>
      </c>
      <c r="G9" s="1591"/>
      <c r="H9" s="2487"/>
      <c r="I9" s="3572"/>
      <c r="J9" s="787"/>
      <c r="K9" s="788"/>
      <c r="L9" s="783" t="s">
        <v>1740</v>
      </c>
      <c r="M9" s="784">
        <f ca="1">F9</f>
        <v>0</v>
      </c>
    </row>
    <row r="10" spans="1:25" ht="18" customHeight="1">
      <c r="A10" s="2491"/>
      <c r="B10" s="3573"/>
      <c r="C10" s="1824"/>
      <c r="D10" s="1821"/>
      <c r="E10" s="61" t="s">
        <v>639</v>
      </c>
      <c r="F10" s="784">
        <f ca="1">INDIRECT("'数据-取费表'!ai"&amp;$G$1)</f>
        <v>0</v>
      </c>
      <c r="G10" s="1591"/>
      <c r="H10" s="2487"/>
      <c r="I10" s="3573"/>
      <c r="J10" s="787"/>
      <c r="K10" s="788"/>
      <c r="L10" s="783" t="s">
        <v>1741</v>
      </c>
      <c r="M10" s="784">
        <f ca="1">INDIRECT("'数据-取费表'!ai"&amp;$G$1)</f>
        <v>0</v>
      </c>
    </row>
    <row r="11" spans="1:25" ht="18" customHeight="1">
      <c r="A11" s="785"/>
      <c r="B11" s="3574"/>
      <c r="C11" s="1824"/>
      <c r="D11" s="1821"/>
      <c r="E11" s="61" t="s">
        <v>640</v>
      </c>
      <c r="F11" s="793">
        <f ca="1">INDIRECT("'数据-取费表'!w"&amp;$G$1)</f>
        <v>0</v>
      </c>
      <c r="G11" s="1591"/>
      <c r="H11" s="2503"/>
      <c r="I11" s="3573"/>
      <c r="J11" s="787"/>
      <c r="K11" s="788"/>
      <c r="L11" s="794" t="s">
        <v>1742</v>
      </c>
      <c r="M11" s="795">
        <f ca="1">INDIRECT("'数据-取费表'!ab"&amp;$G$1)</f>
        <v>0</v>
      </c>
    </row>
    <row r="12" spans="1:25" ht="18" customHeight="1">
      <c r="A12" s="1828" t="s">
        <v>1826</v>
      </c>
      <c r="B12" s="2492" t="s">
        <v>2457</v>
      </c>
      <c r="C12" s="798">
        <f ca="1">ROUND(IF(F12="押一",C8/12*F13,IF(F12="押二",C8/12*2*F13,IF(F12="押三",C8/12*3*F13,C13*F13))),0)</f>
        <v>0</v>
      </c>
      <c r="D12" s="2499" t="s">
        <v>2962</v>
      </c>
      <c r="E12" s="2496" t="s">
        <v>2462</v>
      </c>
      <c r="F12" s="2619"/>
      <c r="G12" s="1591"/>
      <c r="H12" s="2559" t="s">
        <v>1826</v>
      </c>
      <c r="I12" s="2564" t="s">
        <v>2457</v>
      </c>
      <c r="J12" s="782">
        <f ca="1">ROUND(IF(M12="押一",J8/12*M13,IF(M12="押二",J8/12*2*M13,IF(M12="押三",J8/12*3*M13,J13*M13))),0)</f>
        <v>0</v>
      </c>
      <c r="K12" s="2499" t="s">
        <v>2962</v>
      </c>
      <c r="L12" s="2496" t="s">
        <v>2462</v>
      </c>
      <c r="M12" s="2619"/>
    </row>
    <row r="13" spans="1:25" ht="18" customHeight="1">
      <c r="A13" s="789"/>
      <c r="B13" s="2493" t="s">
        <v>2571</v>
      </c>
      <c r="C13" s="2497"/>
      <c r="D13" s="788"/>
      <c r="E13" s="2496" t="s">
        <v>2454</v>
      </c>
      <c r="F13" s="795">
        <f ca="1">'数据-取费表'!B39</f>
        <v>1.4999999999999999E-2</v>
      </c>
      <c r="G13" s="1591"/>
      <c r="H13" s="2560"/>
      <c r="I13" s="2493" t="s">
        <v>2571</v>
      </c>
      <c r="J13" s="2497"/>
      <c r="K13" s="2561"/>
      <c r="L13" s="2496" t="s">
        <v>2454</v>
      </c>
      <c r="M13" s="2490">
        <f ca="1">'数据-取费表'!B39</f>
        <v>1.4999999999999999E-2</v>
      </c>
    </row>
    <row r="14" spans="1:25" ht="18" customHeight="1" thickBot="1">
      <c r="A14" s="2535" t="s">
        <v>2465</v>
      </c>
      <c r="B14" s="2536" t="s">
        <v>2458</v>
      </c>
      <c r="C14" s="2537"/>
      <c r="D14" s="2538"/>
      <c r="E14" s="2539"/>
      <c r="F14" s="2540"/>
      <c r="G14" s="1591"/>
      <c r="H14" s="2549" t="s">
        <v>2465</v>
      </c>
      <c r="I14" s="2562" t="s">
        <v>2458</v>
      </c>
      <c r="J14" s="2563"/>
      <c r="K14" s="2538"/>
      <c r="L14" s="2539"/>
      <c r="M14" s="2552"/>
    </row>
    <row r="15" spans="1:25" ht="18" customHeight="1" thickTop="1">
      <c r="A15" s="1827" t="s">
        <v>1875</v>
      </c>
      <c r="B15" s="1825" t="s">
        <v>641</v>
      </c>
      <c r="C15" s="791">
        <f ca="1">ROUND(C31*F15,0)</f>
        <v>0</v>
      </c>
      <c r="D15" s="1832" t="s">
        <v>642</v>
      </c>
      <c r="E15" s="794" t="s">
        <v>643</v>
      </c>
      <c r="F15" s="799">
        <f ca="1">INDIRECT("'数据-取费表'!y"&amp;$G$1)</f>
        <v>0</v>
      </c>
      <c r="G15" s="1591"/>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1"/>
      <c r="H16" s="802" t="s">
        <v>2069</v>
      </c>
      <c r="I16" s="2229" t="s">
        <v>2822</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2"/>
      <c r="H17" s="802" t="s">
        <v>2070</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2069</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1"/>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2"/>
      <c r="H22" s="1830" t="s">
        <v>1851</v>
      </c>
      <c r="I22" s="1820" t="s">
        <v>668</v>
      </c>
      <c r="J22" s="54">
        <f ca="1">ROUND(M22*M23/10000,0)</f>
        <v>0</v>
      </c>
      <c r="K22" s="813" t="s">
        <v>669</v>
      </c>
      <c r="L22" s="783" t="s">
        <v>670</v>
      </c>
      <c r="M22" s="639">
        <f>'数据-取费表'!B52</f>
        <v>1.5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2"/>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70" t="str">
        <f>IF(F25&lt;=1,"单利计息。","复利计息。")&amp;"建造成本、管理费用、销售费用产生的利息。"</f>
        <v>复利计息。建造成本、管理费用、销售费用产生的利息。</v>
      </c>
      <c r="E24" s="1980"/>
      <c r="F24" s="56"/>
      <c r="G24" s="1591"/>
      <c r="H24" s="1829" t="s">
        <v>2070</v>
      </c>
      <c r="I24" s="783" t="s">
        <v>676</v>
      </c>
      <c r="J24" s="53">
        <f ca="1">ROUND(J16*M24,0)</f>
        <v>0</v>
      </c>
      <c r="K24" s="1975" t="s">
        <v>677</v>
      </c>
      <c r="L24" s="783" t="s">
        <v>649</v>
      </c>
      <c r="M24" s="816">
        <f ca="1">INDIRECT("'数据-取费表'!Ak"&amp;$G$1)</f>
        <v>0</v>
      </c>
    </row>
    <row r="25" spans="1:25" s="2062" customFormat="1" ht="18" customHeight="1">
      <c r="A25" s="802" t="s">
        <v>1876</v>
      </c>
      <c r="B25" s="783" t="s">
        <v>2435</v>
      </c>
      <c r="C25" s="53">
        <f ca="1">ROUND(IF('数据-取费表'!B22&lt;=1,(C21+C22)*F26*F25/2,(C21+C22)*(POWER((1+F26),F25/2)-1)),0)</f>
        <v>0</v>
      </c>
      <c r="D25" s="2569"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1E-3</v>
      </c>
      <c r="D26" s="2569"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1"/>
      <c r="H27" s="796" t="s">
        <v>1829</v>
      </c>
      <c r="I27" s="3008" t="s">
        <v>2819</v>
      </c>
      <c r="J27" s="798">
        <f ca="1">J7-J18</f>
        <v>0</v>
      </c>
      <c r="K27" s="1977" t="s">
        <v>700</v>
      </c>
      <c r="L27" s="1979"/>
      <c r="M27" s="819"/>
    </row>
    <row r="28" spans="1:25" ht="18" customHeight="1">
      <c r="A28" s="802" t="s">
        <v>1876</v>
      </c>
      <c r="B28" s="783" t="s">
        <v>2436</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2820</v>
      </c>
      <c r="C31" s="2542">
        <f ca="1">ROUND((C21+C22+C25+C28)/(1-F23-C26-C29-C30),0)</f>
        <v>0</v>
      </c>
      <c r="D31" s="2543"/>
      <c r="E31" s="2544"/>
      <c r="F31" s="2545"/>
      <c r="G31" s="1592"/>
      <c r="H31" s="822" t="s">
        <v>1873</v>
      </c>
      <c r="I31" s="3009" t="s">
        <v>2821</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85"/>
      <c r="F32" s="2489"/>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1.5</v>
      </c>
      <c r="G36" s="2060"/>
      <c r="H36" s="2063"/>
      <c r="I36" s="3570"/>
      <c r="J36" s="2077"/>
      <c r="K36" s="2078"/>
      <c r="L36" s="2077"/>
      <c r="M36" s="2077"/>
    </row>
    <row r="37" spans="1:18" ht="18" customHeight="1">
      <c r="A37" s="814"/>
      <c r="B37" s="792"/>
      <c r="C37" s="69"/>
      <c r="D37" s="815"/>
      <c r="E37" s="783" t="s">
        <v>674</v>
      </c>
      <c r="F37" s="784">
        <f ca="1">INDIRECT("'数据-取费表'!r"&amp;$G$1)</f>
        <v>0</v>
      </c>
      <c r="G37" s="2060"/>
      <c r="H37" s="2063"/>
      <c r="I37" s="3570"/>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117" t="s">
        <v>2950</v>
      </c>
      <c r="F43" s="3118">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35">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119" t="s">
        <v>2953</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3155" t="str">
        <f ca="1">IF(M48="住宅",0,IF(L49&gt;J52,L61,J61))</f>
        <v>0</v>
      </c>
      <c r="O47" s="2392" t="s">
        <v>2408</v>
      </c>
      <c r="P47" s="1591"/>
      <c r="Q47" s="1603"/>
      <c r="R47" s="1591"/>
    </row>
    <row r="48" spans="1:18" s="2057" customFormat="1" ht="18" customHeight="1" thickBot="1">
      <c r="A48" s="2082"/>
      <c r="C48" s="2085"/>
      <c r="D48" s="2086"/>
      <c r="E48" s="2086"/>
      <c r="F48" s="2087"/>
      <c r="G48" s="2088"/>
      <c r="I48" s="3145" t="s">
        <v>2342</v>
      </c>
      <c r="J48" s="2379"/>
      <c r="K48" s="3152" t="s">
        <v>2347</v>
      </c>
      <c r="L48" s="3156">
        <f ca="1">INDIRECT("'数据-取费表'!d"&amp;$G$1)</f>
        <v>0</v>
      </c>
      <c r="M48" s="3116" t="str">
        <f>IF(ISNUMBER(FIND("住宅",C1)),"住宅","非住宅")</f>
        <v>非住宅</v>
      </c>
      <c r="O48" s="2393" t="s">
        <v>2373</v>
      </c>
      <c r="P48" s="2394" t="s">
        <v>2374</v>
      </c>
      <c r="Q48" s="2395" t="s">
        <v>2375</v>
      </c>
      <c r="R48" s="2394" t="s">
        <v>2376</v>
      </c>
    </row>
    <row r="49" spans="1:18" s="2057" customFormat="1" ht="18" customHeight="1" thickBot="1">
      <c r="A49" s="2082"/>
      <c r="D49" s="2089"/>
      <c r="E49" s="2090"/>
      <c r="F49" s="2087"/>
      <c r="G49" s="2088"/>
      <c r="H49" s="2091"/>
      <c r="I49" s="3121" t="s">
        <v>2343</v>
      </c>
      <c r="J49" s="2380"/>
      <c r="K49" s="3153" t="s">
        <v>2349</v>
      </c>
      <c r="L49" s="1906">
        <f ca="1">INDIRECT("'数据-取费表'!f"&amp;$G$1)</f>
        <v>0</v>
      </c>
      <c r="O49" s="2396" t="s">
        <v>2377</v>
      </c>
      <c r="P49" s="2397" t="s">
        <v>2403</v>
      </c>
      <c r="Q49" s="2398">
        <f ca="1">C41+J31</f>
        <v>0</v>
      </c>
      <c r="R49" s="2397" t="s">
        <v>2378</v>
      </c>
    </row>
    <row r="50" spans="1:18" s="2057" customFormat="1" ht="18" customHeight="1" thickBot="1">
      <c r="A50" s="2082"/>
      <c r="D50" s="2092"/>
      <c r="E50" s="2092"/>
      <c r="F50" s="2086"/>
      <c r="G50" s="2093"/>
      <c r="H50" s="2091"/>
      <c r="I50" s="3121" t="s">
        <v>2344</v>
      </c>
      <c r="J50" s="2381"/>
      <c r="K50" s="3154" t="s">
        <v>2350</v>
      </c>
      <c r="L50" s="2382"/>
      <c r="O50" s="2396" t="s">
        <v>2379</v>
      </c>
      <c r="P50" s="2397" t="s">
        <v>2404</v>
      </c>
      <c r="Q50" s="2398" t="str">
        <f ca="1">J61</f>
        <v>0</v>
      </c>
      <c r="R50" s="2397" t="s">
        <v>2380</v>
      </c>
    </row>
    <row r="51" spans="1:18" s="2057" customFormat="1" ht="18" customHeight="1" thickBot="1">
      <c r="A51" s="2094"/>
      <c r="D51" s="2092"/>
      <c r="E51" s="2092"/>
      <c r="F51" s="2083"/>
      <c r="H51" s="2091"/>
      <c r="I51" s="3121" t="s">
        <v>2345</v>
      </c>
      <c r="J51" s="3149">
        <f>SUMPRODUCT((I64:I66=J48)*(J63:L63=J49)*(J64:L66))</f>
        <v>0</v>
      </c>
      <c r="K51" s="3154" t="s">
        <v>2351</v>
      </c>
      <c r="L51" s="2382"/>
      <c r="O51" s="2399" t="s">
        <v>2381</v>
      </c>
      <c r="P51" s="2397" t="s">
        <v>2405</v>
      </c>
      <c r="Q51" s="2398">
        <f ca="1">C31</f>
        <v>0</v>
      </c>
      <c r="R51" s="2397" t="s">
        <v>2378</v>
      </c>
    </row>
    <row r="52" spans="1:18" s="2057" customFormat="1" ht="18" customHeight="1" thickBot="1">
      <c r="A52" s="2094"/>
      <c r="F52" s="2083"/>
      <c r="I52" s="3146" t="s">
        <v>2346</v>
      </c>
      <c r="J52" s="3150">
        <f>IF(J50="",J51,J50+J51-YEAR('数据-取费表'!B3))</f>
        <v>0</v>
      </c>
      <c r="K52" s="3121" t="s">
        <v>2352</v>
      </c>
      <c r="L52" s="3157">
        <f ca="1">ROUND(-PV(INDIRECT("'数据-取费表'!h"&amp;$G$1),L49,(C40-C14*J36),0),0)</f>
        <v>0</v>
      </c>
      <c r="O52" s="2399" t="s">
        <v>2382</v>
      </c>
      <c r="P52" s="2397" t="s">
        <v>2383</v>
      </c>
      <c r="Q52" s="2400" t="e">
        <f ca="1">J59</f>
        <v>#VALUE!</v>
      </c>
      <c r="R52" s="2401"/>
    </row>
    <row r="53" spans="1:18" s="2057" customFormat="1" ht="18" customHeight="1" thickBot="1">
      <c r="A53" s="2094"/>
      <c r="F53" s="2083"/>
      <c r="I53" s="3147" t="s">
        <v>2419</v>
      </c>
      <c r="J53" s="2383"/>
      <c r="K53" s="3147" t="s">
        <v>2418</v>
      </c>
      <c r="L53" s="2383"/>
      <c r="O53" s="2399" t="s">
        <v>2384</v>
      </c>
      <c r="P53" s="2397" t="s">
        <v>2385</v>
      </c>
      <c r="Q53" s="2400">
        <f>J53</f>
        <v>0</v>
      </c>
      <c r="R53" s="2401"/>
    </row>
    <row r="54" spans="1:18" s="2057" customFormat="1" ht="29.25" thickBot="1">
      <c r="A54" s="2094"/>
      <c r="I54" s="3148" t="s">
        <v>2967</v>
      </c>
      <c r="J54" s="3151">
        <f ca="1">IF(M48="住宅",MAX(J52,L49-'数据-取费表'!B20),MIN(J52,L49-'数据-取费表'!B20))</f>
        <v>-2</v>
      </c>
      <c r="K54" s="3575"/>
      <c r="L54" s="3576"/>
      <c r="O54" s="2399" t="s">
        <v>2386</v>
      </c>
      <c r="P54" s="2397" t="s">
        <v>2387</v>
      </c>
      <c r="Q54" s="2398">
        <f ca="1">J54</f>
        <v>-2</v>
      </c>
      <c r="R54" s="2397" t="s">
        <v>2388</v>
      </c>
    </row>
    <row r="55" spans="1:18" s="2057" customFormat="1" ht="18" customHeight="1" thickBot="1">
      <c r="A55" s="2094"/>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6" t="s">
        <v>2389</v>
      </c>
      <c r="P55" s="2397" t="s">
        <v>2406</v>
      </c>
      <c r="Q55" s="2398">
        <f ca="1">Q49+Q50</f>
        <v>0</v>
      </c>
      <c r="R55" s="2401" t="s">
        <v>2390</v>
      </c>
    </row>
    <row r="56" spans="1:18" s="2057" customFormat="1" ht="16.5" thickBot="1">
      <c r="A56" s="2094"/>
      <c r="B56" s="2095"/>
      <c r="C56" s="2095"/>
      <c r="I56" s="3160" t="s">
        <v>2353</v>
      </c>
      <c r="J56" s="3096" t="e">
        <f ca="1">ROUND(IF(J48="钢混",J58/J51,1-(1-2%)*(J51-J58)/J51),3)</f>
        <v>#VALUE!</v>
      </c>
      <c r="K56" s="3161" t="s">
        <v>2354</v>
      </c>
      <c r="L56" s="2384"/>
      <c r="O56" s="2402" t="s">
        <v>2409</v>
      </c>
      <c r="P56" s="1591"/>
      <c r="Q56" s="1603"/>
      <c r="R56" s="1591"/>
    </row>
    <row r="57" spans="1:18" s="2057" customFormat="1" ht="43.5" thickBot="1">
      <c r="A57" s="2094"/>
      <c r="B57" s="2095"/>
      <c r="C57" s="2095"/>
      <c r="I57" s="3162" t="s">
        <v>2355</v>
      </c>
      <c r="J57" s="3172" t="s">
        <v>1679</v>
      </c>
      <c r="K57" s="3121" t="s">
        <v>2360</v>
      </c>
      <c r="L57" s="1906">
        <f ca="1">IF(L49&lt;J52,"——",L49-J52)</f>
        <v>0</v>
      </c>
      <c r="O57" s="2393" t="s">
        <v>2373</v>
      </c>
      <c r="P57" s="2394" t="s">
        <v>2374</v>
      </c>
      <c r="Q57" s="2395" t="s">
        <v>2375</v>
      </c>
      <c r="R57" s="2394" t="s">
        <v>2376</v>
      </c>
    </row>
    <row r="58" spans="1:18" s="2057" customFormat="1" ht="29.25" thickBot="1">
      <c r="A58" s="2094"/>
      <c r="B58" s="2095"/>
      <c r="C58" s="2095"/>
      <c r="I58" s="3163" t="s">
        <v>2356</v>
      </c>
      <c r="J58" s="3164" t="str">
        <f ca="1">IF(OR(M48="住宅",J52&lt;L49,J57="是"),"——",J52-L49)</f>
        <v>——</v>
      </c>
      <c r="K58" s="3121" t="s">
        <v>2361</v>
      </c>
      <c r="L58" s="1906">
        <f ca="1">IF(L49&lt;J52,"——",IF(L56="比较法",L50,IF(L56="基准地价",L51,L52)))</f>
        <v>0</v>
      </c>
      <c r="O58" s="2396" t="s">
        <v>2377</v>
      </c>
      <c r="P58" s="2397" t="s">
        <v>2403</v>
      </c>
      <c r="Q58" s="2398">
        <f ca="1">C41+J31</f>
        <v>0</v>
      </c>
      <c r="R58" s="2397" t="s">
        <v>2378</v>
      </c>
    </row>
    <row r="59" spans="1:18" s="2057" customFormat="1" ht="29.25" thickBot="1">
      <c r="A59" s="2094"/>
      <c r="B59" s="2095"/>
      <c r="C59" s="2095"/>
      <c r="I59" s="3163" t="s">
        <v>2357</v>
      </c>
      <c r="J59" s="3097" t="e">
        <f ca="1">IF(J56&lt;0.4,0.4,J56)</f>
        <v>#VALUE!</v>
      </c>
      <c r="K59" s="3121" t="s">
        <v>2362</v>
      </c>
      <c r="L59" s="1906">
        <f ca="1">IF(ISERROR(POWER(1+L53,L48-L49)*(POWER(1+L53,L49)-1)/(POWER(1+L53,L48)-1)),0,POWER(1+L53,L48-L49)*(POWER(1+L53,L49)-1)/(POWER(1+L53,L48)-1))</f>
        <v>0</v>
      </c>
      <c r="O59" s="2396" t="s">
        <v>2379</v>
      </c>
      <c r="P59" s="2397" t="s">
        <v>2410</v>
      </c>
      <c r="Q59" s="2398" t="e">
        <f ca="1">L61</f>
        <v>#DIV/0!</v>
      </c>
      <c r="R59" s="2401" t="s">
        <v>2412</v>
      </c>
    </row>
    <row r="60" spans="1:18" s="2057" customFormat="1" ht="29.25" thickBot="1">
      <c r="A60" s="2094"/>
      <c r="B60" s="2095"/>
      <c r="C60" s="2095"/>
      <c r="I60" s="3163" t="s">
        <v>2358</v>
      </c>
      <c r="J60" s="3164" t="str">
        <f ca="1">IF(OR(M48="住宅",J52&lt;L49,J57="是"),"——",ROUND(C30*J59,0))</f>
        <v>——</v>
      </c>
      <c r="K60" s="3121" t="s">
        <v>2363</v>
      </c>
      <c r="L60" s="1906">
        <f ca="1">IF(ISERROR(POWER(1+L53,L48-J52)*(POWER(1+L53,J52)-1)/(POWER(1+L53,L48)-1)),0,POWER(1+L53,L48-J52)*(POWER(1+L53,J52)-1)/(POWER(1+L53,L48)-1))</f>
        <v>0</v>
      </c>
      <c r="O60" s="2399" t="s">
        <v>2381</v>
      </c>
      <c r="P60" s="2397" t="s">
        <v>2411</v>
      </c>
      <c r="Q60" s="2398">
        <f>IF(L56="比较法",L50,IF(L56="基准地价",L51,0))</f>
        <v>0</v>
      </c>
      <c r="R60" s="2397" t="s">
        <v>2378</v>
      </c>
    </row>
    <row r="61" spans="1:18" s="2057" customFormat="1" ht="15.75" thickBot="1">
      <c r="A61" s="2094"/>
      <c r="B61" s="2095"/>
      <c r="C61" s="2095"/>
      <c r="I61" s="3165" t="s">
        <v>2359</v>
      </c>
      <c r="J61" s="3166" t="str">
        <f ca="1">IF(OR(M48="住宅",J52&lt;L49,J57="是"),"0",ROUND(J60/(1+J53)^J54,0))</f>
        <v>0</v>
      </c>
      <c r="K61" s="3167" t="s">
        <v>2364</v>
      </c>
      <c r="L61" s="3166" t="e">
        <f ca="1">IF(OR(M48="住宅",L49&lt;J52),0,ROUND(L58*(L59/L60-1),0))</f>
        <v>#DIV/0!</v>
      </c>
      <c r="O61" s="2399" t="s">
        <v>2382</v>
      </c>
      <c r="P61" s="2397" t="s">
        <v>2391</v>
      </c>
      <c r="Q61" s="2400">
        <f>L53</f>
        <v>0</v>
      </c>
      <c r="R61" s="2401"/>
    </row>
    <row r="62" spans="1:18" s="2057" customFormat="1" ht="20.25" thickBot="1">
      <c r="A62" s="2094"/>
      <c r="B62" s="2095"/>
      <c r="C62" s="2095"/>
      <c r="K62" s="2084"/>
      <c r="O62" s="2399" t="s">
        <v>2384</v>
      </c>
      <c r="P62" s="2397" t="s">
        <v>2392</v>
      </c>
      <c r="Q62" s="2398">
        <f ca="1">L59</f>
        <v>0</v>
      </c>
      <c r="R62" s="2401" t="s">
        <v>2393</v>
      </c>
    </row>
    <row r="63" spans="1:18" s="2057" customFormat="1" ht="20.25" thickBot="1">
      <c r="A63" s="2094"/>
      <c r="B63" s="2095"/>
      <c r="C63" s="2095"/>
      <c r="I63" s="3168" t="s">
        <v>2365</v>
      </c>
      <c r="J63" s="3169" t="s">
        <v>2366</v>
      </c>
      <c r="K63" s="3169" t="s">
        <v>2367</v>
      </c>
      <c r="L63" s="3169" t="s">
        <v>2348</v>
      </c>
      <c r="M63" s="3170" t="s">
        <v>2930</v>
      </c>
      <c r="O63" s="2399" t="s">
        <v>2386</v>
      </c>
      <c r="P63" s="2397" t="s">
        <v>2394</v>
      </c>
      <c r="Q63" s="2398">
        <f ca="1">L60</f>
        <v>0</v>
      </c>
      <c r="R63" s="2401" t="s">
        <v>2395</v>
      </c>
    </row>
    <row r="64" spans="1:18" s="2057" customFormat="1" ht="15.75" thickBot="1">
      <c r="A64" s="2094"/>
      <c r="B64" s="2095"/>
      <c r="C64" s="2095"/>
      <c r="I64" s="3168" t="s">
        <v>2368</v>
      </c>
      <c r="J64" s="3169">
        <v>70</v>
      </c>
      <c r="K64" s="3169">
        <v>50</v>
      </c>
      <c r="L64" s="3169">
        <v>80</v>
      </c>
      <c r="M64" s="3171">
        <v>0.02</v>
      </c>
      <c r="O64" s="2396" t="s">
        <v>2389</v>
      </c>
      <c r="P64" s="2397" t="s">
        <v>2406</v>
      </c>
      <c r="Q64" s="2398" t="e">
        <f ca="1">Q58+Q59</f>
        <v>#DIV/0!</v>
      </c>
      <c r="R64" s="2401" t="s">
        <v>2390</v>
      </c>
    </row>
    <row r="65" spans="1:18" s="2057" customFormat="1" ht="16.5" thickBot="1">
      <c r="A65" s="2094"/>
      <c r="B65" s="2095"/>
      <c r="C65" s="2095"/>
      <c r="I65" s="3168" t="s">
        <v>2369</v>
      </c>
      <c r="J65" s="3169">
        <v>50</v>
      </c>
      <c r="K65" s="3169">
        <v>35</v>
      </c>
      <c r="L65" s="3169">
        <v>60</v>
      </c>
      <c r="M65" s="845">
        <v>0</v>
      </c>
      <c r="O65" s="2402" t="s">
        <v>2413</v>
      </c>
      <c r="P65" s="1591"/>
      <c r="Q65" s="1603"/>
      <c r="R65" s="1591"/>
    </row>
    <row r="66" spans="1:18" s="2057" customFormat="1" ht="15.75" thickBot="1">
      <c r="A66" s="2094"/>
      <c r="B66" s="2095"/>
      <c r="C66" s="2095"/>
      <c r="I66" s="3168" t="s">
        <v>2370</v>
      </c>
      <c r="J66" s="3169">
        <v>40</v>
      </c>
      <c r="K66" s="3169">
        <v>30</v>
      </c>
      <c r="L66" s="3169">
        <v>50</v>
      </c>
      <c r="M66" s="3171">
        <v>0.02</v>
      </c>
      <c r="O66" s="2393" t="s">
        <v>2373</v>
      </c>
      <c r="P66" s="2394" t="s">
        <v>2374</v>
      </c>
      <c r="Q66" s="2395" t="s">
        <v>2375</v>
      </c>
      <c r="R66" s="2394" t="s">
        <v>2376</v>
      </c>
    </row>
    <row r="67" spans="1:18" s="2057" customFormat="1" ht="15.75" thickBot="1">
      <c r="A67" s="2094"/>
      <c r="B67" s="2095"/>
      <c r="C67" s="2095"/>
      <c r="K67" s="2084"/>
      <c r="O67" s="2396" t="s">
        <v>2377</v>
      </c>
      <c r="P67" s="2397" t="s">
        <v>2403</v>
      </c>
      <c r="Q67" s="2398">
        <f ca="1">C41+J31</f>
        <v>0</v>
      </c>
      <c r="R67" s="2397" t="s">
        <v>2378</v>
      </c>
    </row>
    <row r="68" spans="1:18" s="2057" customFormat="1" ht="20.25" thickBot="1">
      <c r="A68" s="2094"/>
      <c r="B68" s="2095"/>
      <c r="C68" s="2095"/>
      <c r="K68" s="2084"/>
      <c r="O68" s="2396" t="s">
        <v>2379</v>
      </c>
      <c r="P68" s="2397" t="s">
        <v>2410</v>
      </c>
      <c r="Q68" s="2398" t="e">
        <f ca="1">L61</f>
        <v>#DIV/0!</v>
      </c>
      <c r="R68" s="2401" t="s">
        <v>2412</v>
      </c>
    </row>
    <row r="69" spans="1:18" s="2057" customFormat="1" ht="21.75" thickBot="1">
      <c r="A69" s="2094"/>
      <c r="B69" s="2095"/>
      <c r="C69" s="2095"/>
      <c r="K69" s="2084"/>
      <c r="O69" s="2399" t="s">
        <v>2381</v>
      </c>
      <c r="P69" s="2397" t="s">
        <v>2411</v>
      </c>
      <c r="Q69" s="2403">
        <f ca="1">L52</f>
        <v>0</v>
      </c>
      <c r="R69" s="2404" t="s">
        <v>2414</v>
      </c>
    </row>
    <row r="70" spans="1:18" s="2057" customFormat="1" ht="20.25" thickBot="1">
      <c r="A70" s="2094"/>
      <c r="B70" s="2095"/>
      <c r="C70" s="2095"/>
      <c r="K70" s="2084"/>
      <c r="O70" s="2399" t="s">
        <v>2382</v>
      </c>
      <c r="P70" s="2405" t="s">
        <v>2396</v>
      </c>
      <c r="Q70" s="2398">
        <f ca="1">ROUND(Q71-Q72*Q73,0)</f>
        <v>0</v>
      </c>
      <c r="R70" s="2401"/>
    </row>
    <row r="71" spans="1:18" s="2057" customFormat="1" ht="15.75" thickBot="1">
      <c r="A71" s="2094"/>
      <c r="B71" s="2095"/>
      <c r="C71" s="2095"/>
      <c r="K71" s="2084"/>
      <c r="O71" s="2399" t="s">
        <v>2397</v>
      </c>
      <c r="P71" s="2405" t="s">
        <v>2398</v>
      </c>
      <c r="Q71" s="2398">
        <f ca="1">C42</f>
        <v>0</v>
      </c>
      <c r="R71" s="2397" t="s">
        <v>2378</v>
      </c>
    </row>
    <row r="72" spans="1:18" s="2057" customFormat="1" ht="15.75" thickBot="1">
      <c r="A72" s="2094"/>
      <c r="B72" s="2095"/>
      <c r="C72" s="2095"/>
      <c r="K72" s="2084"/>
      <c r="O72" s="2399" t="s">
        <v>2399</v>
      </c>
      <c r="P72" s="2405" t="s">
        <v>2400</v>
      </c>
      <c r="Q72" s="2398">
        <f ca="1">C15</f>
        <v>0</v>
      </c>
      <c r="R72" s="2397" t="s">
        <v>2378</v>
      </c>
    </row>
    <row r="73" spans="1:18" s="2057" customFormat="1" ht="15.75" thickBot="1">
      <c r="A73" s="2094"/>
      <c r="B73" s="2095"/>
      <c r="C73" s="2095"/>
      <c r="K73" s="2084"/>
      <c r="O73" s="2399" t="s">
        <v>2401</v>
      </c>
      <c r="P73" s="2405" t="s">
        <v>2402</v>
      </c>
      <c r="Q73" s="2400">
        <f ca="1">F43</f>
        <v>0</v>
      </c>
      <c r="R73" s="2401"/>
    </row>
    <row r="74" spans="1:18" s="2057" customFormat="1" ht="15.75" thickBot="1">
      <c r="A74" s="2094"/>
      <c r="B74" s="2095"/>
      <c r="C74" s="2095"/>
      <c r="K74" s="2084"/>
      <c r="O74" s="2399" t="s">
        <v>2384</v>
      </c>
      <c r="P74" s="2397" t="s">
        <v>2391</v>
      </c>
      <c r="Q74" s="2400">
        <f>L53</f>
        <v>0</v>
      </c>
      <c r="R74" s="2401"/>
    </row>
    <row r="75" spans="1:18" s="2057" customFormat="1" ht="20.25" thickBot="1">
      <c r="A75" s="2094"/>
      <c r="B75" s="2095"/>
      <c r="C75" s="2095"/>
      <c r="K75" s="2084"/>
      <c r="O75" s="2399" t="s">
        <v>2386</v>
      </c>
      <c r="P75" s="2397" t="s">
        <v>2392</v>
      </c>
      <c r="Q75" s="2398">
        <f ca="1">L59</f>
        <v>0</v>
      </c>
      <c r="R75" s="2401" t="s">
        <v>2393</v>
      </c>
    </row>
    <row r="76" spans="1:18" s="2057" customFormat="1" ht="20.25" thickBot="1">
      <c r="A76" s="2094"/>
      <c r="B76" s="2095"/>
      <c r="C76" s="2095"/>
      <c r="K76" s="2084"/>
      <c r="O76" s="2399" t="s">
        <v>2415</v>
      </c>
      <c r="P76" s="2397" t="s">
        <v>2394</v>
      </c>
      <c r="Q76" s="2398">
        <f ca="1">L60</f>
        <v>0</v>
      </c>
      <c r="R76" s="2401" t="s">
        <v>2395</v>
      </c>
    </row>
    <row r="77" spans="1:18" s="2057" customFormat="1" ht="15.75" thickBot="1">
      <c r="A77" s="2094"/>
      <c r="B77" s="2095"/>
      <c r="C77" s="2095"/>
      <c r="K77" s="2084"/>
      <c r="O77" s="2396" t="s">
        <v>2389</v>
      </c>
      <c r="P77" s="2397" t="s">
        <v>2406</v>
      </c>
      <c r="Q77" s="2398" t="e">
        <f ca="1">Q67+Q68</f>
        <v>#DIV/0!</v>
      </c>
      <c r="R77" s="2401" t="s">
        <v>2390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5" priority="6">
      <formula>$F$12="自定义"</formula>
    </cfRule>
  </conditionalFormatting>
  <conditionalFormatting sqref="J13">
    <cfRule type="expression" dxfId="114" priority="5">
      <formula>$M$10="自定义"</formula>
    </cfRule>
  </conditionalFormatting>
  <conditionalFormatting sqref="K56">
    <cfRule type="expression" dxfId="113" priority="3">
      <formula>$L$48&gt;$J$51</formula>
    </cfRule>
  </conditionalFormatting>
  <conditionalFormatting sqref="I56">
    <cfRule type="expression" dxfId="112" priority="4">
      <formula>$J$51&gt;$L$48</formula>
    </cfRule>
  </conditionalFormatting>
  <conditionalFormatting sqref="I61">
    <cfRule type="expression" dxfId="111" priority="2">
      <formula>$J$51&gt;$L$48</formula>
    </cfRule>
  </conditionalFormatting>
  <conditionalFormatting sqref="K61">
    <cfRule type="expression" dxfId="11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583" t="s">
        <v>2574</v>
      </c>
      <c r="C1" s="3583"/>
      <c r="D1" s="3583"/>
      <c r="E1" s="3583"/>
      <c r="F1" s="3583"/>
      <c r="G1" s="3582" t="s">
        <v>2575</v>
      </c>
      <c r="H1" s="3582"/>
      <c r="I1" s="3582"/>
      <c r="J1" s="3582"/>
      <c r="K1" s="3582"/>
      <c r="L1" s="3582"/>
      <c r="N1" s="3582" t="s">
        <v>2576</v>
      </c>
      <c r="O1" s="3582"/>
      <c r="P1" s="3582"/>
      <c r="Q1" s="3582"/>
      <c r="R1" s="2652"/>
      <c r="S1" s="3582" t="s">
        <v>2577</v>
      </c>
      <c r="T1" s="3582"/>
      <c r="U1" s="3582"/>
      <c r="V1" s="3582"/>
      <c r="X1" s="3581" t="s">
        <v>2637</v>
      </c>
      <c r="Y1" s="3582"/>
      <c r="Z1" s="3582"/>
      <c r="AA1" s="3582"/>
      <c r="AB1" s="3582"/>
      <c r="AD1" s="3581" t="s">
        <v>2641</v>
      </c>
      <c r="AE1" s="3582"/>
      <c r="AF1" s="3582"/>
      <c r="AG1" s="3582"/>
      <c r="AH1" s="3582"/>
    </row>
    <row r="2" spans="1:34" s="2754" customFormat="1" ht="14.25" thickBot="1">
      <c r="B2" s="2762" t="s">
        <v>2578</v>
      </c>
      <c r="C2" s="2762" t="s">
        <v>2639</v>
      </c>
      <c r="D2" s="2755" t="s">
        <v>1645</v>
      </c>
      <c r="E2" s="2755" t="s">
        <v>1952</v>
      </c>
      <c r="F2" s="2762" t="s">
        <v>2640</v>
      </c>
      <c r="G2" s="2758"/>
      <c r="H2" s="2757"/>
      <c r="I2" s="2762" t="s">
        <v>2944</v>
      </c>
      <c r="J2" s="2755" t="s">
        <v>2946</v>
      </c>
      <c r="K2" s="2755" t="s">
        <v>2947</v>
      </c>
      <c r="L2" s="2762" t="s">
        <v>2948</v>
      </c>
      <c r="N2" s="2762" t="s">
        <v>2578</v>
      </c>
      <c r="O2" s="2755" t="s">
        <v>2945</v>
      </c>
      <c r="P2" s="2755" t="s">
        <v>1952</v>
      </c>
      <c r="Q2" s="2762" t="s">
        <v>2640</v>
      </c>
      <c r="R2" s="2756"/>
      <c r="S2" s="2762" t="s">
        <v>2578</v>
      </c>
      <c r="T2" s="2755" t="s">
        <v>2945</v>
      </c>
      <c r="U2" s="2755" t="s">
        <v>1952</v>
      </c>
      <c r="V2" s="2762" t="s">
        <v>2640</v>
      </c>
      <c r="X2" s="2762" t="s">
        <v>2578</v>
      </c>
      <c r="Y2" s="2762" t="s">
        <v>2639</v>
      </c>
      <c r="Z2" s="2755" t="s">
        <v>1645</v>
      </c>
      <c r="AA2" s="2755" t="s">
        <v>1952</v>
      </c>
      <c r="AB2" s="2762" t="s">
        <v>2640</v>
      </c>
      <c r="AD2" s="2762" t="s">
        <v>2578</v>
      </c>
      <c r="AE2" s="2762" t="s">
        <v>2639</v>
      </c>
      <c r="AF2" s="2755" t="s">
        <v>1645</v>
      </c>
      <c r="AG2" s="2755" t="s">
        <v>1952</v>
      </c>
      <c r="AH2" s="2762" t="s">
        <v>2640</v>
      </c>
    </row>
    <row r="3" spans="1:34" s="3129" customFormat="1" ht="14.25">
      <c r="A3" s="3141" t="s">
        <v>2957</v>
      </c>
      <c r="B3" s="3130"/>
      <c r="C3" s="3130"/>
      <c r="D3" s="3131"/>
      <c r="E3" s="3131"/>
      <c r="F3" s="3130"/>
      <c r="G3" s="3132"/>
      <c r="H3" s="3133"/>
      <c r="I3" s="3140">
        <f>ROUND(AVERAGE($I8:$I23),2)</f>
        <v>2.4500000000000002</v>
      </c>
      <c r="J3" s="3140">
        <f>ROUND(AVERAGE($J8:$J23),2)</f>
        <v>1.65</v>
      </c>
      <c r="K3" s="3140">
        <f>ROUND(AVERAGE($K8:$K23),2)</f>
        <v>2.71</v>
      </c>
      <c r="L3" s="3140">
        <f>ROUND(AVERAGE($L8:$L23),2)</f>
        <v>1.39</v>
      </c>
      <c r="N3" s="3132"/>
      <c r="O3" s="3134"/>
      <c r="P3" s="3134"/>
      <c r="Q3" s="3134"/>
      <c r="R3" s="3134"/>
      <c r="S3" s="3132"/>
      <c r="T3" s="3134"/>
      <c r="U3" s="3134"/>
      <c r="V3" s="3134"/>
      <c r="W3" s="3137"/>
      <c r="X3" s="3135">
        <f>ROUND(SUMPRODUCT(PRODUCT(1+N3:N$22)),4)</f>
        <v>1.4733000000000001</v>
      </c>
      <c r="Y3" s="3135">
        <f>ROUND(SUMPRODUCT(PRODUCT(1+O3:O$22)),4)</f>
        <v>1.3052999999999999</v>
      </c>
      <c r="Z3" s="3135">
        <f t="shared" ref="Z3:Z20" si="0">Y3</f>
        <v>1.3052999999999999</v>
      </c>
      <c r="AA3" s="3135">
        <f>ROUND(SUMPRODUCT(PRODUCT(1+P3:P$22)),4)</f>
        <v>1.5306999999999999</v>
      </c>
      <c r="AB3" s="3135">
        <f>ROUND(SUMPRODUCT(PRODUCT(1+Q3:Q$22)),4)</f>
        <v>1.2863</v>
      </c>
      <c r="AD3" s="3136">
        <f>ROUND(AVERAGE(I3:I$23)/100,4)</f>
        <v>2.24E-2</v>
      </c>
      <c r="AE3" s="3136">
        <f>ROUND(AVERAGE(J3:J$23)/100,4)</f>
        <v>1.54E-2</v>
      </c>
      <c r="AF3" s="3136">
        <f t="shared" ref="AF3:AF21" si="1">AE3</f>
        <v>1.54E-2</v>
      </c>
      <c r="AG3" s="3136">
        <f>ROUND(AVERAGE(K3:K$23)/100,4)</f>
        <v>2.47E-2</v>
      </c>
      <c r="AH3" s="3136">
        <f>ROUND(AVERAGE(L3:L$23)/100,4)</f>
        <v>1.41E-2</v>
      </c>
    </row>
    <row r="4" spans="1:34" s="2747" customFormat="1" ht="14.25">
      <c r="B4" s="2748"/>
      <c r="C4" s="2748"/>
      <c r="D4" s="2749"/>
      <c r="E4" s="2749"/>
      <c r="F4" s="2748"/>
      <c r="G4" s="2753"/>
      <c r="H4" s="2750"/>
      <c r="I4" s="3122"/>
      <c r="J4" s="3122"/>
      <c r="K4" s="3122"/>
      <c r="L4" s="3122"/>
      <c r="N4" s="2753"/>
      <c r="O4" s="2751"/>
      <c r="P4" s="2751"/>
      <c r="Q4" s="2751"/>
      <c r="R4" s="2751"/>
      <c r="S4" s="2753"/>
      <c r="T4" s="2751"/>
      <c r="U4" s="2751"/>
      <c r="V4" s="2751"/>
      <c r="W4" s="3138"/>
      <c r="X4" s="2752"/>
      <c r="Y4" s="2752"/>
      <c r="Z4" s="2752"/>
      <c r="AA4" s="2752"/>
      <c r="AB4" s="2752"/>
      <c r="AD4" s="2672"/>
      <c r="AE4" s="2672"/>
      <c r="AF4" s="2672"/>
      <c r="AG4" s="2672"/>
      <c r="AH4" s="2672"/>
    </row>
    <row r="5" spans="1:34" s="3110" customFormat="1">
      <c r="A5" s="3108" t="s">
        <v>2968</v>
      </c>
      <c r="B5" s="2793">
        <f t="shared" ref="B5:C7" si="2">B6*(1+N5)</f>
        <v>453.11529869999993</v>
      </c>
      <c r="C5" s="2793">
        <f t="shared" si="2"/>
        <v>336.47787264000004</v>
      </c>
      <c r="D5" s="2793">
        <f>C5</f>
        <v>336.47787264000004</v>
      </c>
      <c r="E5" s="2793">
        <f t="shared" ref="E5:F7" si="3">E6*(1+P5)</f>
        <v>647.35186823999993</v>
      </c>
      <c r="F5" s="2793">
        <f t="shared" si="3"/>
        <v>295.73229452000004</v>
      </c>
      <c r="G5" s="2753">
        <v>2018</v>
      </c>
      <c r="H5" s="3109">
        <v>3</v>
      </c>
      <c r="I5" s="3123">
        <v>1.49</v>
      </c>
      <c r="J5" s="3123">
        <v>0.96</v>
      </c>
      <c r="K5" s="3123">
        <v>1.58</v>
      </c>
      <c r="L5" s="3123">
        <v>2.44</v>
      </c>
      <c r="N5" s="2760">
        <f t="shared" ref="N5:Q6" si="4">I5/100</f>
        <v>1.49E-2</v>
      </c>
      <c r="O5" s="2760">
        <f t="shared" si="4"/>
        <v>9.5999999999999992E-3</v>
      </c>
      <c r="P5" s="2760">
        <f t="shared" si="4"/>
        <v>1.5800000000000002E-2</v>
      </c>
      <c r="Q5" s="2760">
        <f t="shared" si="4"/>
        <v>2.4399999999999998E-2</v>
      </c>
      <c r="R5" s="3111"/>
      <c r="S5" s="3112"/>
      <c r="T5" s="3111"/>
      <c r="U5" s="3111"/>
      <c r="V5" s="3111"/>
      <c r="W5" s="3139" t="s">
        <v>2958</v>
      </c>
      <c r="X5" s="3113">
        <f>ROUND(SUMPRODUCT(PRODUCT(1+N5:N$22)),4)</f>
        <v>1.4733000000000001</v>
      </c>
      <c r="Y5" s="3113">
        <f>ROUND(SUMPRODUCT(PRODUCT(1+O5:O$22)),4)</f>
        <v>1.3052999999999999</v>
      </c>
      <c r="Z5" s="3113">
        <f>Y5</f>
        <v>1.3052999999999999</v>
      </c>
      <c r="AA5" s="3113">
        <f>ROUND(SUMPRODUCT(PRODUCT(1+P5:P$22)),4)</f>
        <v>1.5306999999999999</v>
      </c>
      <c r="AB5" s="3113">
        <f>ROUND(SUMPRODUCT(PRODUCT(1+Q5:Q$22)),4)</f>
        <v>1.2863</v>
      </c>
      <c r="AD5" s="3114">
        <f>ROUND(AVERAGE(I5:I$23)/100,4)</f>
        <v>2.23E-2</v>
      </c>
      <c r="AE5" s="3114">
        <f>ROUND(AVERAGE(J5:J$23)/100,4)</f>
        <v>1.54E-2</v>
      </c>
      <c r="AF5" s="3114">
        <f>AE5</f>
        <v>1.54E-2</v>
      </c>
      <c r="AG5" s="3114">
        <f>ROUND(AVERAGE(K5:K$23)/100,4)</f>
        <v>2.4500000000000001E-2</v>
      </c>
      <c r="AH5" s="3114">
        <f>ROUND(AVERAGE(L5:L$23)/100,4)</f>
        <v>1.41E-2</v>
      </c>
    </row>
    <row r="6" spans="1:34" s="2759" customFormat="1" ht="13.5" thickBot="1">
      <c r="A6" s="2653" t="s">
        <v>2969</v>
      </c>
      <c r="B6" s="2667">
        <f t="shared" si="2"/>
        <v>446.46299999999997</v>
      </c>
      <c r="C6" s="2667">
        <f t="shared" si="2"/>
        <v>333.27840000000003</v>
      </c>
      <c r="D6" s="2667">
        <f>C6</f>
        <v>333.27840000000003</v>
      </c>
      <c r="E6" s="2667">
        <f t="shared" si="3"/>
        <v>637.28279999999995</v>
      </c>
      <c r="F6" s="2667">
        <f t="shared" si="3"/>
        <v>288.68830000000003</v>
      </c>
      <c r="G6" s="3128"/>
      <c r="H6" s="2657">
        <v>2</v>
      </c>
      <c r="I6" s="2657">
        <v>0</v>
      </c>
      <c r="J6" s="2657">
        <v>0</v>
      </c>
      <c r="K6" s="2657">
        <v>0</v>
      </c>
      <c r="L6" s="2668">
        <v>0</v>
      </c>
      <c r="M6" s="2661"/>
      <c r="N6" s="2662">
        <f t="shared" si="4"/>
        <v>0</v>
      </c>
      <c r="O6" s="2663">
        <f t="shared" si="4"/>
        <v>0</v>
      </c>
      <c r="P6" s="2663">
        <f t="shared" si="4"/>
        <v>0</v>
      </c>
      <c r="Q6" s="2663">
        <f t="shared" si="4"/>
        <v>0</v>
      </c>
      <c r="R6" s="2664"/>
      <c r="S6" s="2670"/>
      <c r="T6" s="2671"/>
      <c r="U6" s="2671"/>
      <c r="V6" s="2671"/>
      <c r="W6" s="2661"/>
      <c r="X6" s="2752">
        <f>ROUND(SUMPRODUCT(PRODUCT(1+N6:N$22)),4)</f>
        <v>1.4517</v>
      </c>
      <c r="Y6" s="2752">
        <f>ROUND(SUMPRODUCT(PRODUCT(1+O6:O$22)),4)</f>
        <v>1.2928999999999999</v>
      </c>
      <c r="Z6" s="2752">
        <f>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AE6</f>
        <v>1.5699999999999999E-2</v>
      </c>
      <c r="AG6" s="2672">
        <f>ROUND(AVERAGE(K6:K$23)/100,4)</f>
        <v>2.5000000000000001E-2</v>
      </c>
      <c r="AH6" s="2672">
        <f>ROUND(AVERAGE(L6:L$23)/100,4)</f>
        <v>1.35E-2</v>
      </c>
    </row>
    <row r="7" spans="1:34" s="2759" customFormat="1" ht="13.5" thickBot="1">
      <c r="A7" s="2653" t="s">
        <v>2964</v>
      </c>
      <c r="B7" s="2667">
        <f t="shared" si="2"/>
        <v>446.46299999999997</v>
      </c>
      <c r="C7" s="2667">
        <f t="shared" si="2"/>
        <v>333.27840000000003</v>
      </c>
      <c r="D7" s="2667">
        <f t="shared" ref="D7:D12" si="5">C7</f>
        <v>333.27840000000003</v>
      </c>
      <c r="E7" s="2667">
        <f t="shared" si="3"/>
        <v>637.28279999999995</v>
      </c>
      <c r="F7" s="2667">
        <f t="shared" si="3"/>
        <v>288.68830000000003</v>
      </c>
      <c r="G7" s="3128"/>
      <c r="H7" s="2657">
        <v>1</v>
      </c>
      <c r="I7" s="2657">
        <v>1.7</v>
      </c>
      <c r="J7" s="2657">
        <v>1.92</v>
      </c>
      <c r="K7" s="2657">
        <v>1.64</v>
      </c>
      <c r="L7" s="2668">
        <v>2.0099999999999998</v>
      </c>
      <c r="M7" s="2661"/>
      <c r="N7" s="2662">
        <f t="shared" ref="N7:N12" si="6">I7/100</f>
        <v>1.7000000000000001E-2</v>
      </c>
      <c r="O7" s="2663">
        <f t="shared" ref="O7:Q11" si="7">J7/100</f>
        <v>1.9199999999999998E-2</v>
      </c>
      <c r="P7" s="2663">
        <f t="shared" si="7"/>
        <v>1.6399999999999998E-2</v>
      </c>
      <c r="Q7" s="2663">
        <f t="shared" si="7"/>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Y7</f>
        <v>1.2928999999999999</v>
      </c>
      <c r="AA7" s="2752">
        <f>ROUND(SUMPRODUCT(PRODUCT(1+P7:P$22)),4)</f>
        <v>1.5068999999999999</v>
      </c>
      <c r="AB7" s="2752">
        <f>ROUND(SUMPRODUCT(PRODUCT(1+Q7:Q$22)),4)</f>
        <v>1.2557</v>
      </c>
      <c r="AC7" s="2661"/>
      <c r="AD7" s="2672">
        <f>ROUND(AVERAGE(I7:I$23)/100,4)</f>
        <v>2.4E-2</v>
      </c>
      <c r="AE7" s="2672">
        <f>ROUND(AVERAGE(J7:J$23)/100,4)</f>
        <v>1.66E-2</v>
      </c>
      <c r="AF7" s="2672">
        <f>AE7</f>
        <v>1.66E-2</v>
      </c>
      <c r="AG7" s="2672">
        <f>ROUND(AVERAGE(K7:K$23)/100,4)</f>
        <v>2.6499999999999999E-2</v>
      </c>
      <c r="AH7" s="2672">
        <f>ROUND(AVERAGE(L7:L$23)/100,4)</f>
        <v>1.43E-2</v>
      </c>
    </row>
    <row r="8" spans="1:34">
      <c r="A8" s="2653" t="s">
        <v>2955</v>
      </c>
      <c r="B8" s="3143">
        <v>439</v>
      </c>
      <c r="C8" s="3143">
        <v>327</v>
      </c>
      <c r="D8" s="3143">
        <f t="shared" si="5"/>
        <v>327</v>
      </c>
      <c r="E8" s="3143">
        <v>627</v>
      </c>
      <c r="F8" s="3144">
        <v>283</v>
      </c>
      <c r="G8" s="3126">
        <v>2017</v>
      </c>
      <c r="H8" s="2654">
        <v>4</v>
      </c>
      <c r="I8" s="2654">
        <v>1.71</v>
      </c>
      <c r="J8" s="2654">
        <v>1.78</v>
      </c>
      <c r="K8" s="2654">
        <v>1.71</v>
      </c>
      <c r="L8" s="2655">
        <v>1.43</v>
      </c>
      <c r="N8" s="2662">
        <f t="shared" si="6"/>
        <v>1.7100000000000001E-2</v>
      </c>
      <c r="O8" s="2663">
        <f t="shared" si="7"/>
        <v>1.78E-2</v>
      </c>
      <c r="P8" s="2663">
        <f t="shared" si="7"/>
        <v>1.7100000000000001E-2</v>
      </c>
      <c r="Q8" s="2663">
        <f t="shared" si="7"/>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2959</v>
      </c>
      <c r="B9" s="2667">
        <f t="shared" ref="B9:C11" si="8">B10*(1+N9)</f>
        <v>431.80730811680002</v>
      </c>
      <c r="C9" s="2667">
        <f t="shared" si="8"/>
        <v>320.57880516480003</v>
      </c>
      <c r="D9" s="2667">
        <f t="shared" si="5"/>
        <v>320.57880516480003</v>
      </c>
      <c r="E9" s="2667">
        <f t="shared" ref="E9:F11" si="9">E10*(1+P9)</f>
        <v>615.96110553196797</v>
      </c>
      <c r="F9" s="2667">
        <f t="shared" si="9"/>
        <v>279.46777300108801</v>
      </c>
      <c r="G9" s="3128"/>
      <c r="H9" s="2657">
        <v>3</v>
      </c>
      <c r="I9" s="2657">
        <v>2.98</v>
      </c>
      <c r="J9" s="2657">
        <v>2.11</v>
      </c>
      <c r="K9" s="2657">
        <v>3.24</v>
      </c>
      <c r="L9" s="2668">
        <v>1.72</v>
      </c>
      <c r="M9" s="2661"/>
      <c r="N9" s="2662">
        <f t="shared" si="6"/>
        <v>2.98E-2</v>
      </c>
      <c r="O9" s="2663">
        <f t="shared" si="7"/>
        <v>2.1099999999999997E-2</v>
      </c>
      <c r="P9" s="2663">
        <f t="shared" si="7"/>
        <v>3.2400000000000005E-2</v>
      </c>
      <c r="Q9" s="2663">
        <f t="shared" si="7"/>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2579</v>
      </c>
      <c r="B10" s="2667">
        <f t="shared" si="8"/>
        <v>419.31181600000002</v>
      </c>
      <c r="C10" s="2667">
        <f t="shared" si="8"/>
        <v>313.95436800000004</v>
      </c>
      <c r="D10" s="2667">
        <f t="shared" si="5"/>
        <v>313.95436800000004</v>
      </c>
      <c r="E10" s="2667">
        <f t="shared" si="9"/>
        <v>596.63028431999999</v>
      </c>
      <c r="F10" s="2667">
        <f t="shared" si="9"/>
        <v>274.74220703999998</v>
      </c>
      <c r="G10" s="3127"/>
      <c r="H10" s="2658">
        <v>2</v>
      </c>
      <c r="I10" s="2658">
        <v>3.4</v>
      </c>
      <c r="J10" s="2658">
        <v>2</v>
      </c>
      <c r="K10" s="2658">
        <v>3.82</v>
      </c>
      <c r="L10" s="2669">
        <v>1.68</v>
      </c>
      <c r="N10" s="2662">
        <f t="shared" si="6"/>
        <v>3.4000000000000002E-2</v>
      </c>
      <c r="O10" s="2663">
        <f t="shared" si="7"/>
        <v>0.02</v>
      </c>
      <c r="P10" s="2663">
        <f t="shared" si="7"/>
        <v>3.8199999999999998E-2</v>
      </c>
      <c r="Q10" s="2663">
        <f t="shared" si="7"/>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2580</v>
      </c>
      <c r="B11" s="2667">
        <f t="shared" si="8"/>
        <v>405.524</v>
      </c>
      <c r="C11" s="2667">
        <f t="shared" si="8"/>
        <v>307.79840000000002</v>
      </c>
      <c r="D11" s="2667">
        <f t="shared" si="5"/>
        <v>307.79840000000002</v>
      </c>
      <c r="E11" s="2667">
        <f t="shared" si="9"/>
        <v>574.67759999999998</v>
      </c>
      <c r="F11" s="2667">
        <f t="shared" si="9"/>
        <v>270.20280000000002</v>
      </c>
      <c r="G11" s="3128"/>
      <c r="H11" s="2657">
        <v>1</v>
      </c>
      <c r="I11" s="2657">
        <v>3.45</v>
      </c>
      <c r="J11" s="2657">
        <v>1.92</v>
      </c>
      <c r="K11" s="2657">
        <v>3.92</v>
      </c>
      <c r="L11" s="2668">
        <v>1.58</v>
      </c>
      <c r="M11" s="2661"/>
      <c r="N11" s="2662">
        <f t="shared" si="6"/>
        <v>3.4500000000000003E-2</v>
      </c>
      <c r="O11" s="2663">
        <f t="shared" si="7"/>
        <v>1.9199999999999998E-2</v>
      </c>
      <c r="P11" s="2663">
        <f t="shared" si="7"/>
        <v>3.9199999999999999E-2</v>
      </c>
      <c r="Q11" s="2663">
        <f t="shared" si="7"/>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5"/>
        <v>302</v>
      </c>
      <c r="E12" s="2659">
        <v>553</v>
      </c>
      <c r="F12" s="2660">
        <v>266</v>
      </c>
      <c r="G12" s="3580">
        <v>2016</v>
      </c>
      <c r="H12" s="2654">
        <v>4</v>
      </c>
      <c r="I12" s="2654">
        <v>4.5599999999999996</v>
      </c>
      <c r="J12" s="2654">
        <v>2.15</v>
      </c>
      <c r="K12" s="2654">
        <v>5.32</v>
      </c>
      <c r="L12" s="2655">
        <v>1.57</v>
      </c>
      <c r="N12" s="2662">
        <f t="shared" si="6"/>
        <v>4.5599999999999995E-2</v>
      </c>
      <c r="O12" s="2663">
        <f t="shared" ref="O12:Q27" si="10">J12/100</f>
        <v>2.1499999999999998E-2</v>
      </c>
      <c r="P12" s="2663">
        <f t="shared" si="10"/>
        <v>5.3200000000000004E-2</v>
      </c>
      <c r="Q12" s="2663">
        <f t="shared" si="10"/>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11">B12/(1+N12)</f>
        <v>374.90436113236416</v>
      </c>
      <c r="C13" s="2667">
        <f t="shared" si="11"/>
        <v>295.64366128242779</v>
      </c>
      <c r="D13" s="2667">
        <f t="shared" ref="D13:D72" si="12">C13</f>
        <v>295.64366128242779</v>
      </c>
      <c r="E13" s="2667">
        <f t="shared" ref="E13:F15" si="13">E12/(1+P12)</f>
        <v>525.06646410938095</v>
      </c>
      <c r="F13" s="2667">
        <f t="shared" si="13"/>
        <v>261.88835286009646</v>
      </c>
      <c r="G13" s="3578"/>
      <c r="H13" s="2657">
        <v>3</v>
      </c>
      <c r="I13" s="2657">
        <v>4.12</v>
      </c>
      <c r="J13" s="2657">
        <v>2</v>
      </c>
      <c r="K13" s="2657">
        <v>4.79</v>
      </c>
      <c r="L13" s="2668">
        <v>1.97</v>
      </c>
      <c r="N13" s="2662">
        <f t="shared" ref="N13:Q47" si="14">I13/100</f>
        <v>4.1200000000000001E-2</v>
      </c>
      <c r="O13" s="2663">
        <f t="shared" si="10"/>
        <v>0.02</v>
      </c>
      <c r="P13" s="2663">
        <f t="shared" si="10"/>
        <v>4.7899999999999998E-2</v>
      </c>
      <c r="Q13" s="2663">
        <f t="shared" si="10"/>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11"/>
        <v>360.06949782209392</v>
      </c>
      <c r="C14" s="2667">
        <f t="shared" si="11"/>
        <v>289.84672674747821</v>
      </c>
      <c r="D14" s="2667">
        <f t="shared" si="12"/>
        <v>289.84672674747821</v>
      </c>
      <c r="E14" s="2667">
        <f t="shared" si="13"/>
        <v>501.06543001181495</v>
      </c>
      <c r="F14" s="2667">
        <f t="shared" si="13"/>
        <v>256.82882500744967</v>
      </c>
      <c r="G14" s="3578"/>
      <c r="H14" s="2658">
        <v>2</v>
      </c>
      <c r="I14" s="2658">
        <v>3.85</v>
      </c>
      <c r="J14" s="2658">
        <v>1.95</v>
      </c>
      <c r="K14" s="2658">
        <v>4.4800000000000004</v>
      </c>
      <c r="L14" s="2669">
        <v>1.41</v>
      </c>
      <c r="N14" s="2662">
        <f t="shared" si="14"/>
        <v>3.85E-2</v>
      </c>
      <c r="O14" s="2663">
        <f t="shared" si="10"/>
        <v>1.95E-2</v>
      </c>
      <c r="P14" s="2663">
        <f t="shared" si="10"/>
        <v>4.4800000000000006E-2</v>
      </c>
      <c r="Q14" s="2663">
        <f t="shared" si="10"/>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11"/>
        <v>346.720748986128</v>
      </c>
      <c r="C15" s="2667">
        <f t="shared" si="11"/>
        <v>284.30282172386285</v>
      </c>
      <c r="D15" s="2667">
        <f t="shared" si="12"/>
        <v>284.30282172386285</v>
      </c>
      <c r="E15" s="2667">
        <f t="shared" si="13"/>
        <v>479.58023546306947</v>
      </c>
      <c r="F15" s="2667">
        <f t="shared" si="13"/>
        <v>253.25788877571213</v>
      </c>
      <c r="G15" s="3579"/>
      <c r="H15" s="2657">
        <v>1</v>
      </c>
      <c r="I15" s="2657">
        <v>4.09</v>
      </c>
      <c r="J15" s="2657">
        <v>2.93</v>
      </c>
      <c r="K15" s="2657">
        <v>4.54</v>
      </c>
      <c r="L15" s="2668">
        <v>1.48</v>
      </c>
      <c r="N15" s="2662">
        <f t="shared" si="14"/>
        <v>4.0899999999999999E-2</v>
      </c>
      <c r="O15" s="2663">
        <f t="shared" si="10"/>
        <v>2.9300000000000003E-2</v>
      </c>
      <c r="P15" s="2663">
        <f t="shared" si="10"/>
        <v>4.5400000000000003E-2</v>
      </c>
      <c r="Q15" s="2663">
        <f t="shared" si="10"/>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12"/>
        <v>277</v>
      </c>
      <c r="E16" s="2659">
        <v>459</v>
      </c>
      <c r="F16" s="2660">
        <v>249</v>
      </c>
      <c r="G16" s="3577">
        <v>2015</v>
      </c>
      <c r="H16" s="2673">
        <v>4</v>
      </c>
      <c r="I16" s="2673">
        <v>1.63</v>
      </c>
      <c r="J16" s="2673">
        <v>1.1100000000000001</v>
      </c>
      <c r="K16" s="2673">
        <v>1.77</v>
      </c>
      <c r="L16" s="2674">
        <v>1.89</v>
      </c>
      <c r="N16" s="2675">
        <f t="shared" si="14"/>
        <v>1.6299999999999999E-2</v>
      </c>
      <c r="O16" s="2676">
        <f t="shared" si="10"/>
        <v>1.11E-2</v>
      </c>
      <c r="P16" s="2676">
        <f t="shared" si="10"/>
        <v>1.77E-2</v>
      </c>
      <c r="Q16" s="2676">
        <f t="shared" si="10"/>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15">B16/(1+N16)</f>
        <v>327.65915576109415</v>
      </c>
      <c r="C17" s="2667">
        <f t="shared" si="15"/>
        <v>273.95905449510434</v>
      </c>
      <c r="D17" s="2667">
        <f t="shared" si="12"/>
        <v>273.95905449510434</v>
      </c>
      <c r="E17" s="2667">
        <f t="shared" ref="E17:F19" si="16">E16/(1+P16)</f>
        <v>451.01699911565294</v>
      </c>
      <c r="F17" s="2667">
        <f t="shared" si="16"/>
        <v>244.38119540681129</v>
      </c>
      <c r="G17" s="3578"/>
      <c r="H17" s="2678">
        <v>3</v>
      </c>
      <c r="I17" s="2678">
        <v>1.65</v>
      </c>
      <c r="J17" s="2678">
        <v>0.92</v>
      </c>
      <c r="K17" s="2678">
        <v>1.88</v>
      </c>
      <c r="L17" s="2679">
        <v>1.26</v>
      </c>
      <c r="N17" s="2662">
        <f t="shared" si="14"/>
        <v>1.6500000000000001E-2</v>
      </c>
      <c r="O17" s="2680">
        <f t="shared" si="10"/>
        <v>9.1999999999999998E-3</v>
      </c>
      <c r="P17" s="2680">
        <f t="shared" si="10"/>
        <v>1.8799999999999997E-2</v>
      </c>
      <c r="Q17" s="2680">
        <f t="shared" si="10"/>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15"/>
        <v>322.34053690220776</v>
      </c>
      <c r="C18" s="2667">
        <f t="shared" si="15"/>
        <v>271.46160770422546</v>
      </c>
      <c r="D18" s="2667">
        <f t="shared" si="12"/>
        <v>271.46160770422546</v>
      </c>
      <c r="E18" s="2667">
        <f t="shared" si="16"/>
        <v>442.69434542172456</v>
      </c>
      <c r="F18" s="2667">
        <f t="shared" si="16"/>
        <v>241.34030753190925</v>
      </c>
      <c r="G18" s="3578"/>
      <c r="H18" s="2658">
        <v>2</v>
      </c>
      <c r="I18" s="2658">
        <v>0.77</v>
      </c>
      <c r="J18" s="2658">
        <v>0.69</v>
      </c>
      <c r="K18" s="2658">
        <v>0.8</v>
      </c>
      <c r="L18" s="2669">
        <v>0.88</v>
      </c>
      <c r="N18" s="2662">
        <f t="shared" si="14"/>
        <v>7.7000000000000002E-3</v>
      </c>
      <c r="O18" s="2680">
        <f t="shared" si="10"/>
        <v>6.8999999999999999E-3</v>
      </c>
      <c r="P18" s="2680">
        <f t="shared" si="10"/>
        <v>8.0000000000000002E-3</v>
      </c>
      <c r="Q18" s="2680">
        <f t="shared" si="10"/>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15"/>
        <v>319.87748030386797</v>
      </c>
      <c r="C19" s="2667">
        <f t="shared" si="15"/>
        <v>269.60135833173649</v>
      </c>
      <c r="D19" s="2667">
        <f t="shared" si="12"/>
        <v>269.60135833173649</v>
      </c>
      <c r="E19" s="2667">
        <f t="shared" si="16"/>
        <v>439.18089823583784</v>
      </c>
      <c r="F19" s="2667">
        <f t="shared" si="16"/>
        <v>239.23503918706311</v>
      </c>
      <c r="G19" s="3579"/>
      <c r="H19" s="2657">
        <v>1</v>
      </c>
      <c r="I19" s="2657">
        <v>0.51</v>
      </c>
      <c r="J19" s="2657">
        <v>0.54</v>
      </c>
      <c r="K19" s="2657">
        <v>0.48</v>
      </c>
      <c r="L19" s="2668">
        <v>0.93</v>
      </c>
      <c r="N19" s="2670">
        <f t="shared" si="14"/>
        <v>5.1000000000000004E-3</v>
      </c>
      <c r="O19" s="2671">
        <f t="shared" si="10"/>
        <v>5.4000000000000003E-3</v>
      </c>
      <c r="P19" s="2671">
        <f t="shared" si="10"/>
        <v>4.7999999999999996E-3</v>
      </c>
      <c r="Q19" s="2671">
        <f t="shared" si="10"/>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12"/>
        <v>268</v>
      </c>
      <c r="E20" s="2681">
        <v>437</v>
      </c>
      <c r="F20" s="2682">
        <v>237</v>
      </c>
      <c r="G20" s="3577">
        <v>2014</v>
      </c>
      <c r="H20" s="2673">
        <v>4</v>
      </c>
      <c r="I20" s="2673">
        <v>0.21</v>
      </c>
      <c r="J20" s="2673">
        <v>0.41</v>
      </c>
      <c r="K20" s="2673">
        <v>0.12</v>
      </c>
      <c r="L20" s="2674">
        <v>0.89</v>
      </c>
      <c r="N20" s="2662">
        <f t="shared" si="14"/>
        <v>2.0999999999999999E-3</v>
      </c>
      <c r="O20" s="2663">
        <f t="shared" si="10"/>
        <v>4.0999999999999995E-3</v>
      </c>
      <c r="P20" s="2663">
        <f t="shared" si="10"/>
        <v>1.1999999999999999E-3</v>
      </c>
      <c r="Q20" s="2663">
        <f t="shared" si="10"/>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17">B20/(1+N20)</f>
        <v>317.33359944117353</v>
      </c>
      <c r="C21" s="2667">
        <f t="shared" si="17"/>
        <v>266.90568668459315</v>
      </c>
      <c r="D21" s="2667">
        <f t="shared" si="12"/>
        <v>266.90568668459315</v>
      </c>
      <c r="E21" s="2667">
        <f t="shared" ref="E21:F23" si="18">E20/(1+P20)</f>
        <v>436.47622852576905</v>
      </c>
      <c r="F21" s="2667">
        <f t="shared" si="18"/>
        <v>234.90930716622066</v>
      </c>
      <c r="G21" s="3578"/>
      <c r="H21" s="2683">
        <v>3</v>
      </c>
      <c r="I21" s="2683">
        <v>0.83</v>
      </c>
      <c r="J21" s="2683">
        <v>1.47</v>
      </c>
      <c r="K21" s="2683">
        <v>0.65</v>
      </c>
      <c r="L21" s="2684">
        <v>0.72</v>
      </c>
      <c r="N21" s="2662">
        <f t="shared" si="14"/>
        <v>8.3000000000000001E-3</v>
      </c>
      <c r="O21" s="2663">
        <f t="shared" si="10"/>
        <v>1.47E-2</v>
      </c>
      <c r="P21" s="2663">
        <f t="shared" si="10"/>
        <v>6.5000000000000006E-3</v>
      </c>
      <c r="Q21" s="2663">
        <f t="shared" si="10"/>
        <v>7.1999999999999998E-3</v>
      </c>
      <c r="R21" s="2664"/>
      <c r="S21" s="2662"/>
      <c r="T21" s="2663"/>
      <c r="U21" s="2663"/>
      <c r="V21" s="2663"/>
      <c r="X21" s="2752">
        <f>ROUND(SUMPRODUCT(PRODUCT(1+N21:N$22)),4)</f>
        <v>1.0325</v>
      </c>
      <c r="Y21" s="2752">
        <f>ROUND(SUMPRODUCT(PRODUCT(1+O21:O$22)),4)</f>
        <v>1.0353000000000001</v>
      </c>
      <c r="Z21" s="2752">
        <f>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17"/>
        <v>314.72141172386546</v>
      </c>
      <c r="C22" s="2667">
        <f t="shared" si="17"/>
        <v>263.03901319069001</v>
      </c>
      <c r="D22" s="2667">
        <f t="shared" si="12"/>
        <v>263.03901319069001</v>
      </c>
      <c r="E22" s="2667">
        <f t="shared" si="18"/>
        <v>433.65745506782821</v>
      </c>
      <c r="F22" s="2667">
        <f t="shared" si="18"/>
        <v>233.23005080045735</v>
      </c>
      <c r="G22" s="3578"/>
      <c r="H22" s="2673">
        <v>2</v>
      </c>
      <c r="I22" s="2673">
        <v>2.4</v>
      </c>
      <c r="J22" s="2673">
        <v>2.0299999999999998</v>
      </c>
      <c r="K22" s="2673">
        <v>2.59</v>
      </c>
      <c r="L22" s="2674">
        <v>1.52</v>
      </c>
      <c r="N22" s="2662">
        <f t="shared" si="14"/>
        <v>2.4E-2</v>
      </c>
      <c r="O22" s="2663">
        <f t="shared" si="10"/>
        <v>2.0299999999999999E-2</v>
      </c>
      <c r="P22" s="2663">
        <f t="shared" si="10"/>
        <v>2.5899999999999999E-2</v>
      </c>
      <c r="Q22" s="2663">
        <f t="shared" si="10"/>
        <v>1.52E-2</v>
      </c>
      <c r="R22" s="2664"/>
      <c r="S22" s="2662"/>
      <c r="T22" s="2663"/>
      <c r="U22" s="2663"/>
      <c r="V22" s="2663"/>
      <c r="X22" s="2752">
        <f>1+N22</f>
        <v>1.024</v>
      </c>
      <c r="Y22" s="2752">
        <f>1+O22</f>
        <v>1.0203</v>
      </c>
      <c r="Z22" s="2752">
        <f>Y22</f>
        <v>1.0203</v>
      </c>
      <c r="AA22" s="2752">
        <f>1+P22</f>
        <v>1.0259</v>
      </c>
      <c r="AB22" s="2752">
        <f>1+Q22</f>
        <v>1.0152000000000001</v>
      </c>
      <c r="AD22" s="2672">
        <f>ROUND(AVERAGE(I22:I$23)/100,4)</f>
        <v>2.69E-2</v>
      </c>
      <c r="AE22" s="2672">
        <f>ROUND(AVERAGE(J22:J$23)/100,4)</f>
        <v>2.1899999999999999E-2</v>
      </c>
      <c r="AF22" s="2672">
        <f>AE22</f>
        <v>2.1899999999999999E-2</v>
      </c>
      <c r="AG22" s="2672">
        <f>ROUND(AVERAGE(K22:K$23)/100,4)</f>
        <v>2.9399999999999999E-2</v>
      </c>
      <c r="AH22" s="2672">
        <f>ROUND(AVERAGE(L22:L$23)/100,4)</f>
        <v>1.44E-2</v>
      </c>
    </row>
    <row r="23" spans="1:34" s="2689" customFormat="1" ht="13.5" thickBot="1">
      <c r="A23" s="2685" t="s">
        <v>961</v>
      </c>
      <c r="B23" s="2686">
        <f t="shared" si="17"/>
        <v>307.34512863658733</v>
      </c>
      <c r="C23" s="2686">
        <f t="shared" si="17"/>
        <v>257.80556031626975</v>
      </c>
      <c r="D23" s="2686">
        <f t="shared" si="12"/>
        <v>257.80556031626975</v>
      </c>
      <c r="E23" s="2686">
        <f t="shared" si="18"/>
        <v>422.70928459677179</v>
      </c>
      <c r="F23" s="2686">
        <f t="shared" si="18"/>
        <v>229.73803270336617</v>
      </c>
      <c r="G23" s="3579"/>
      <c r="H23" s="2687">
        <v>1</v>
      </c>
      <c r="I23" s="2687">
        <v>2.97</v>
      </c>
      <c r="J23" s="2687">
        <v>2.34</v>
      </c>
      <c r="K23" s="2687">
        <v>3.28</v>
      </c>
      <c r="L23" s="2688">
        <v>1.36</v>
      </c>
      <c r="N23" s="2690">
        <f t="shared" si="14"/>
        <v>2.9700000000000001E-2</v>
      </c>
      <c r="O23" s="2691">
        <f t="shared" si="10"/>
        <v>2.3399999999999997E-2</v>
      </c>
      <c r="P23" s="2691">
        <f t="shared" si="10"/>
        <v>3.2799999999999996E-2</v>
      </c>
      <c r="Q23" s="2691">
        <f t="shared" si="10"/>
        <v>1.3600000000000001E-2</v>
      </c>
      <c r="R23" s="2692"/>
      <c r="S23" s="2693">
        <f>B23/B24-1</f>
        <v>2.7910129219355539E-2</v>
      </c>
      <c r="T23" s="2694">
        <f>C23/C24-1</f>
        <v>2.3037937762975247E-2</v>
      </c>
      <c r="U23" s="2694">
        <f>E23/E24-1</f>
        <v>3.3519033243940788E-2</v>
      </c>
      <c r="V23" s="2694">
        <f>F23/F24-1</f>
        <v>1.2061818076502862E-2</v>
      </c>
      <c r="W23" s="2761" t="s">
        <v>2638</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5" thickBot="1">
      <c r="A24" s="2653" t="s">
        <v>2581</v>
      </c>
      <c r="B24" s="2659">
        <v>299</v>
      </c>
      <c r="C24" s="2659">
        <v>252</v>
      </c>
      <c r="D24" s="2659">
        <f t="shared" si="12"/>
        <v>252</v>
      </c>
      <c r="E24" s="2659">
        <v>409</v>
      </c>
      <c r="F24" s="2660">
        <v>227</v>
      </c>
      <c r="G24" s="3584">
        <v>2013</v>
      </c>
      <c r="H24" s="2695">
        <v>4</v>
      </c>
      <c r="I24" s="2695">
        <v>1.83</v>
      </c>
      <c r="J24" s="2695">
        <v>1.68</v>
      </c>
      <c r="K24" s="2695">
        <v>1.97</v>
      </c>
      <c r="L24" s="2696">
        <v>0.87</v>
      </c>
      <c r="N24" s="2675">
        <f t="shared" si="14"/>
        <v>1.83E-2</v>
      </c>
      <c r="O24" s="2676">
        <f t="shared" si="10"/>
        <v>1.6799999999999999E-2</v>
      </c>
      <c r="P24" s="2676">
        <f t="shared" si="10"/>
        <v>1.9699999999999999E-2</v>
      </c>
      <c r="Q24" s="2676">
        <f t="shared" si="10"/>
        <v>8.6999999999999994E-3</v>
      </c>
      <c r="R24" s="2664"/>
      <c r="S24" s="2665"/>
      <c r="T24" s="2666"/>
      <c r="U24" s="2666"/>
      <c r="V24" s="2666"/>
      <c r="X24" s="2666"/>
      <c r="Y24" s="2666"/>
      <c r="Z24" s="2666"/>
    </row>
    <row r="25" spans="1:34">
      <c r="A25" s="2653" t="s">
        <v>2582</v>
      </c>
      <c r="B25" s="2667">
        <f t="shared" ref="B25:C27" si="19">B24/(1+N24)</f>
        <v>293.62663262299913</v>
      </c>
      <c r="C25" s="2667">
        <f t="shared" si="19"/>
        <v>247.83634933123525</v>
      </c>
      <c r="D25" s="2667">
        <f t="shared" si="12"/>
        <v>247.83634933123525</v>
      </c>
      <c r="E25" s="2667">
        <f t="shared" ref="E25:F27" si="20">E24/(1+P24)</f>
        <v>401.09836226341076</v>
      </c>
      <c r="F25" s="2667">
        <f t="shared" si="20"/>
        <v>225.04213343908003</v>
      </c>
      <c r="G25" s="3585"/>
      <c r="H25" s="2678">
        <v>3</v>
      </c>
      <c r="I25" s="2678">
        <v>1.86</v>
      </c>
      <c r="J25" s="2678">
        <v>1.72</v>
      </c>
      <c r="K25" s="2678">
        <v>1.98</v>
      </c>
      <c r="L25" s="2679">
        <v>0.88</v>
      </c>
      <c r="N25" s="2662">
        <f t="shared" si="14"/>
        <v>1.8600000000000002E-2</v>
      </c>
      <c r="O25" s="2680">
        <f t="shared" si="10"/>
        <v>1.72E-2</v>
      </c>
      <c r="P25" s="2680">
        <f t="shared" si="10"/>
        <v>1.9799999999999998E-2</v>
      </c>
      <c r="Q25" s="2680">
        <f t="shared" si="10"/>
        <v>8.8000000000000005E-3</v>
      </c>
      <c r="R25" s="2664"/>
      <c r="S25" s="2662"/>
      <c r="T25" s="2663"/>
      <c r="U25" s="2663"/>
      <c r="V25" s="2663"/>
    </row>
    <row r="26" spans="1:34">
      <c r="A26" s="2653" t="s">
        <v>2583</v>
      </c>
      <c r="B26" s="2667">
        <f t="shared" si="19"/>
        <v>288.2649053828776</v>
      </c>
      <c r="C26" s="2667">
        <f t="shared" si="19"/>
        <v>243.64564425013293</v>
      </c>
      <c r="D26" s="2667">
        <f t="shared" si="12"/>
        <v>243.64564425013293</v>
      </c>
      <c r="E26" s="2667">
        <f t="shared" si="20"/>
        <v>393.31080825986544</v>
      </c>
      <c r="F26" s="2667">
        <f t="shared" si="20"/>
        <v>223.07903790551154</v>
      </c>
      <c r="G26" s="3585"/>
      <c r="H26" s="2658">
        <v>2</v>
      </c>
      <c r="I26" s="2658">
        <v>2.04</v>
      </c>
      <c r="J26" s="2658">
        <v>2.33</v>
      </c>
      <c r="K26" s="2658">
        <v>2.0699999999999998</v>
      </c>
      <c r="L26" s="2669">
        <v>0.69</v>
      </c>
      <c r="N26" s="2662">
        <f t="shared" si="14"/>
        <v>2.0400000000000001E-2</v>
      </c>
      <c r="O26" s="2680">
        <f t="shared" si="10"/>
        <v>2.3300000000000001E-2</v>
      </c>
      <c r="P26" s="2680">
        <f t="shared" si="10"/>
        <v>2.07E-2</v>
      </c>
      <c r="Q26" s="2680">
        <f t="shared" si="10"/>
        <v>6.8999999999999999E-3</v>
      </c>
      <c r="R26" s="2664"/>
      <c r="S26" s="2662"/>
      <c r="T26" s="2663"/>
      <c r="U26" s="2663"/>
      <c r="V26" s="2663"/>
      <c r="X26" s="2764"/>
      <c r="Y26" s="2766"/>
    </row>
    <row r="27" spans="1:34">
      <c r="A27" s="2653" t="s">
        <v>2584</v>
      </c>
      <c r="B27" s="2667">
        <f t="shared" si="19"/>
        <v>282.50186729015837</v>
      </c>
      <c r="C27" s="2667">
        <f t="shared" si="19"/>
        <v>238.09796174155468</v>
      </c>
      <c r="D27" s="2667">
        <f t="shared" si="12"/>
        <v>238.09796174155468</v>
      </c>
      <c r="E27" s="2667">
        <f t="shared" si="20"/>
        <v>385.33438646014054</v>
      </c>
      <c r="F27" s="2667">
        <f t="shared" si="20"/>
        <v>221.55034055567739</v>
      </c>
      <c r="G27" s="3586"/>
      <c r="H27" s="2657">
        <v>1</v>
      </c>
      <c r="I27" s="2657">
        <v>1.67</v>
      </c>
      <c r="J27" s="2657">
        <v>1.31</v>
      </c>
      <c r="K27" s="2657">
        <v>1.85</v>
      </c>
      <c r="L27" s="2668">
        <v>0.96</v>
      </c>
      <c r="N27" s="2670">
        <f t="shared" si="14"/>
        <v>1.67E-2</v>
      </c>
      <c r="O27" s="2671">
        <f t="shared" si="10"/>
        <v>1.3100000000000001E-2</v>
      </c>
      <c r="P27" s="2671">
        <f t="shared" si="10"/>
        <v>1.8500000000000003E-2</v>
      </c>
      <c r="Q27" s="2671">
        <f t="shared" si="10"/>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2585</v>
      </c>
      <c r="B28" s="2697">
        <v>278</v>
      </c>
      <c r="C28" s="2697">
        <v>234</v>
      </c>
      <c r="D28" s="2697">
        <f t="shared" si="12"/>
        <v>234</v>
      </c>
      <c r="E28" s="2697">
        <v>379</v>
      </c>
      <c r="F28" s="2698">
        <v>220</v>
      </c>
      <c r="G28" s="3577">
        <v>2012</v>
      </c>
      <c r="H28" s="2673">
        <v>4</v>
      </c>
      <c r="I28" s="2673">
        <v>0.91</v>
      </c>
      <c r="J28" s="2673">
        <v>0.68</v>
      </c>
      <c r="K28" s="2673">
        <v>0.98</v>
      </c>
      <c r="L28" s="2674">
        <v>0.9</v>
      </c>
      <c r="N28" s="2662">
        <f t="shared" si="14"/>
        <v>9.1000000000000004E-3</v>
      </c>
      <c r="O28" s="2663">
        <f t="shared" si="14"/>
        <v>6.8000000000000005E-3</v>
      </c>
      <c r="P28" s="2663">
        <f t="shared" si="14"/>
        <v>9.7999999999999997E-3</v>
      </c>
      <c r="Q28" s="2663">
        <f t="shared" si="14"/>
        <v>9.0000000000000011E-3</v>
      </c>
      <c r="R28" s="2664"/>
      <c r="S28" s="2665"/>
      <c r="T28" s="2666"/>
      <c r="U28" s="2666"/>
      <c r="V28" s="2666"/>
      <c r="X28" s="2666"/>
      <c r="Y28" s="2666"/>
      <c r="Z28" s="2666"/>
    </row>
    <row r="29" spans="1:34">
      <c r="A29" s="2653" t="s">
        <v>2586</v>
      </c>
      <c r="B29" s="2667">
        <f>B28/(1+N28)</f>
        <v>275.49301357645425</v>
      </c>
      <c r="C29" s="2667">
        <f>C28/(1+O28)</f>
        <v>232.41954707985698</v>
      </c>
      <c r="D29" s="2667">
        <f t="shared" si="12"/>
        <v>232.41954707985698</v>
      </c>
      <c r="E29" s="2667">
        <f t="shared" ref="E29:F31" si="21">E28/(1+P28)</f>
        <v>375.32184591008121</v>
      </c>
      <c r="F29" s="2667">
        <f t="shared" si="21"/>
        <v>218.03766105054513</v>
      </c>
      <c r="G29" s="3578"/>
      <c r="H29" s="2678">
        <v>3</v>
      </c>
      <c r="I29" s="2678">
        <v>0.09</v>
      </c>
      <c r="J29" s="2678">
        <v>0.28999999999999998</v>
      </c>
      <c r="K29" s="2678">
        <v>-0.01</v>
      </c>
      <c r="L29" s="2679">
        <v>0.57999999999999996</v>
      </c>
      <c r="N29" s="2662">
        <f t="shared" si="14"/>
        <v>8.9999999999999998E-4</v>
      </c>
      <c r="O29" s="2663">
        <f t="shared" si="14"/>
        <v>2.8999999999999998E-3</v>
      </c>
      <c r="P29" s="2663">
        <f t="shared" si="14"/>
        <v>-1E-4</v>
      </c>
      <c r="Q29" s="2663">
        <f t="shared" si="14"/>
        <v>5.7999999999999996E-3</v>
      </c>
      <c r="R29" s="2664"/>
      <c r="S29" s="2662"/>
      <c r="T29" s="2663"/>
      <c r="U29" s="2663"/>
      <c r="V29" s="2663"/>
    </row>
    <row r="30" spans="1:34">
      <c r="A30" s="2653" t="s">
        <v>2587</v>
      </c>
      <c r="B30" s="2667">
        <f>B29/(1+N29)</f>
        <v>275.24529281292263</v>
      </c>
      <c r="C30" s="2667">
        <f>C29/(1+O29)</f>
        <v>231.74747938962707</v>
      </c>
      <c r="D30" s="2667">
        <f t="shared" si="12"/>
        <v>231.74747938962707</v>
      </c>
      <c r="E30" s="2667">
        <f t="shared" si="21"/>
        <v>375.35938184826603</v>
      </c>
      <c r="F30" s="2667">
        <f t="shared" si="21"/>
        <v>216.78033510692495</v>
      </c>
      <c r="G30" s="3578"/>
      <c r="H30" s="2658">
        <v>2</v>
      </c>
      <c r="I30" s="2658">
        <v>0.02</v>
      </c>
      <c r="J30" s="2658">
        <v>0.12</v>
      </c>
      <c r="K30" s="2658">
        <v>-0.08</v>
      </c>
      <c r="L30" s="2669">
        <v>1.24</v>
      </c>
      <c r="N30" s="2662">
        <f t="shared" si="14"/>
        <v>2.0000000000000001E-4</v>
      </c>
      <c r="O30" s="2663">
        <f t="shared" si="14"/>
        <v>1.1999999999999999E-3</v>
      </c>
      <c r="P30" s="2663">
        <f t="shared" si="14"/>
        <v>-8.0000000000000004E-4</v>
      </c>
      <c r="Q30" s="2663">
        <f t="shared" si="14"/>
        <v>1.24E-2</v>
      </c>
      <c r="R30" s="2664"/>
      <c r="S30" s="2662"/>
      <c r="T30" s="2663"/>
      <c r="U30" s="2663"/>
      <c r="V30" s="2663"/>
    </row>
    <row r="31" spans="1:34" ht="13.5" thickBot="1">
      <c r="A31" s="2653" t="s">
        <v>2588</v>
      </c>
      <c r="B31" s="2667">
        <f>B30/(1+N30)</f>
        <v>275.19025476197027</v>
      </c>
      <c r="C31" s="2699">
        <v>232</v>
      </c>
      <c r="D31" s="2699">
        <f t="shared" si="12"/>
        <v>232</v>
      </c>
      <c r="E31" s="2667">
        <f t="shared" si="21"/>
        <v>375.65990977608692</v>
      </c>
      <c r="F31" s="2667">
        <f t="shared" si="21"/>
        <v>214.12518283971252</v>
      </c>
      <c r="G31" s="3579"/>
      <c r="H31" s="2657">
        <v>1</v>
      </c>
      <c r="I31" s="2657">
        <v>0.02</v>
      </c>
      <c r="J31" s="2657">
        <v>0.13</v>
      </c>
      <c r="K31" s="2657">
        <v>-0.04</v>
      </c>
      <c r="L31" s="2668">
        <v>0.46</v>
      </c>
      <c r="N31" s="2662">
        <f t="shared" si="14"/>
        <v>2.0000000000000001E-4</v>
      </c>
      <c r="O31" s="2663">
        <f t="shared" si="14"/>
        <v>1.2999999999999999E-3</v>
      </c>
      <c r="P31" s="2663">
        <f t="shared" si="14"/>
        <v>-4.0000000000000002E-4</v>
      </c>
      <c r="Q31" s="2663">
        <f t="shared" si="14"/>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2589</v>
      </c>
      <c r="B32" s="2659">
        <v>275</v>
      </c>
      <c r="C32" s="2659">
        <v>232</v>
      </c>
      <c r="D32" s="2659">
        <f t="shared" si="12"/>
        <v>232</v>
      </c>
      <c r="E32" s="2659">
        <v>376</v>
      </c>
      <c r="F32" s="2660">
        <v>213</v>
      </c>
      <c r="G32" s="3577">
        <v>2011</v>
      </c>
      <c r="H32" s="2673">
        <v>4</v>
      </c>
      <c r="I32" s="2673">
        <v>-0.2</v>
      </c>
      <c r="J32" s="2673">
        <v>0.04</v>
      </c>
      <c r="K32" s="2673">
        <v>-0.34</v>
      </c>
      <c r="L32" s="2674">
        <v>0.46</v>
      </c>
      <c r="N32" s="2675">
        <f t="shared" si="14"/>
        <v>-2E-3</v>
      </c>
      <c r="O32" s="2676">
        <f t="shared" si="14"/>
        <v>4.0000000000000002E-4</v>
      </c>
      <c r="P32" s="2676">
        <f t="shared" si="14"/>
        <v>-3.4000000000000002E-3</v>
      </c>
      <c r="Q32" s="2676">
        <f t="shared" si="14"/>
        <v>4.5999999999999999E-3</v>
      </c>
      <c r="R32" s="2664"/>
      <c r="S32" s="2665"/>
      <c r="T32" s="2666"/>
      <c r="U32" s="2666"/>
      <c r="V32" s="2666"/>
      <c r="X32" s="2666"/>
      <c r="Y32" s="2666"/>
      <c r="Z32" s="2666"/>
    </row>
    <row r="33" spans="1:26">
      <c r="A33" s="2653" t="s">
        <v>2590</v>
      </c>
      <c r="B33" s="2667">
        <f t="shared" ref="B33:C35" si="22">B32/(1+N32)</f>
        <v>275.55110220440883</v>
      </c>
      <c r="C33" s="2667">
        <f t="shared" si="22"/>
        <v>231.90723710515795</v>
      </c>
      <c r="D33" s="2667">
        <f t="shared" si="12"/>
        <v>231.90723710515795</v>
      </c>
      <c r="E33" s="2667">
        <f t="shared" ref="E33:F35" si="23">E32/(1+P32)</f>
        <v>377.28276138872161</v>
      </c>
      <c r="F33" s="2667">
        <f t="shared" si="23"/>
        <v>212.02468644236512</v>
      </c>
      <c r="G33" s="3578">
        <v>2011</v>
      </c>
      <c r="H33" s="2678">
        <v>3</v>
      </c>
      <c r="I33" s="2678">
        <v>0.13</v>
      </c>
      <c r="J33" s="2678">
        <v>0.75</v>
      </c>
      <c r="K33" s="2678">
        <v>-0.08</v>
      </c>
      <c r="L33" s="2679">
        <v>0.53</v>
      </c>
      <c r="N33" s="2662">
        <f t="shared" si="14"/>
        <v>1.2999999999999999E-3</v>
      </c>
      <c r="O33" s="2680">
        <f t="shared" si="14"/>
        <v>7.4999999999999997E-3</v>
      </c>
      <c r="P33" s="2680">
        <f t="shared" si="14"/>
        <v>-8.0000000000000004E-4</v>
      </c>
      <c r="Q33" s="2680">
        <f t="shared" si="14"/>
        <v>5.3E-3</v>
      </c>
      <c r="R33" s="2664"/>
      <c r="S33" s="2662"/>
      <c r="T33" s="2663"/>
      <c r="U33" s="2663"/>
      <c r="V33" s="2663"/>
    </row>
    <row r="34" spans="1:26">
      <c r="A34" s="2653" t="s">
        <v>2591</v>
      </c>
      <c r="B34" s="2667">
        <f t="shared" si="22"/>
        <v>275.19335084830601</v>
      </c>
      <c r="C34" s="2667">
        <f t="shared" si="22"/>
        <v>230.18088050139744</v>
      </c>
      <c r="D34" s="2667">
        <f t="shared" si="12"/>
        <v>230.18088050139744</v>
      </c>
      <c r="E34" s="2667">
        <f t="shared" si="23"/>
        <v>377.58482925212331</v>
      </c>
      <c r="F34" s="2667">
        <f t="shared" si="23"/>
        <v>210.90687997847917</v>
      </c>
      <c r="G34" s="3578">
        <v>2011</v>
      </c>
      <c r="H34" s="2658">
        <v>2</v>
      </c>
      <c r="I34" s="2658">
        <v>-0.4</v>
      </c>
      <c r="J34" s="2658">
        <v>0.17</v>
      </c>
      <c r="K34" s="2658">
        <v>-0.57999999999999996</v>
      </c>
      <c r="L34" s="2669">
        <v>-0.2</v>
      </c>
      <c r="N34" s="2662">
        <f t="shared" si="14"/>
        <v>-4.0000000000000001E-3</v>
      </c>
      <c r="O34" s="2680">
        <f t="shared" si="14"/>
        <v>1.7000000000000001E-3</v>
      </c>
      <c r="P34" s="2680">
        <f t="shared" si="14"/>
        <v>-5.7999999999999996E-3</v>
      </c>
      <c r="Q34" s="2680">
        <f t="shared" si="14"/>
        <v>-2E-3</v>
      </c>
      <c r="R34" s="2664"/>
      <c r="S34" s="2662"/>
      <c r="T34" s="2663"/>
      <c r="U34" s="2663"/>
      <c r="V34" s="2663"/>
    </row>
    <row r="35" spans="1:26" ht="13.5" thickBot="1">
      <c r="A35" s="2653" t="s">
        <v>2592</v>
      </c>
      <c r="B35" s="2667">
        <f t="shared" si="22"/>
        <v>276.29854502841971</v>
      </c>
      <c r="C35" s="2667">
        <f t="shared" si="22"/>
        <v>229.79023709833027</v>
      </c>
      <c r="D35" s="2667">
        <f t="shared" si="12"/>
        <v>229.79023709833027</v>
      </c>
      <c r="E35" s="2667">
        <f t="shared" si="23"/>
        <v>379.78759731655936</v>
      </c>
      <c r="F35" s="2667">
        <f t="shared" si="23"/>
        <v>211.32953905659235</v>
      </c>
      <c r="G35" s="3579">
        <v>2011</v>
      </c>
      <c r="H35" s="2657">
        <v>1</v>
      </c>
      <c r="I35" s="2657">
        <v>2.65</v>
      </c>
      <c r="J35" s="2657">
        <v>3.76</v>
      </c>
      <c r="K35" s="2657">
        <v>1.89</v>
      </c>
      <c r="L35" s="2668">
        <v>7.95</v>
      </c>
      <c r="N35" s="2670">
        <f t="shared" si="14"/>
        <v>2.6499999999999999E-2</v>
      </c>
      <c r="O35" s="2671">
        <f t="shared" si="14"/>
        <v>3.7599999999999995E-2</v>
      </c>
      <c r="P35" s="2671">
        <f t="shared" si="14"/>
        <v>1.89E-2</v>
      </c>
      <c r="Q35" s="2671">
        <f t="shared" si="14"/>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2593</v>
      </c>
      <c r="B36" s="2659">
        <v>269</v>
      </c>
      <c r="C36" s="2659">
        <v>221</v>
      </c>
      <c r="D36" s="2659">
        <f t="shared" si="12"/>
        <v>221</v>
      </c>
      <c r="E36" s="2659">
        <v>373</v>
      </c>
      <c r="F36" s="2660">
        <v>196</v>
      </c>
      <c r="G36" s="3577">
        <v>2010</v>
      </c>
      <c r="H36" s="2673">
        <v>4</v>
      </c>
      <c r="I36" s="2673">
        <v>5.72</v>
      </c>
      <c r="J36" s="2673">
        <v>6.57</v>
      </c>
      <c r="K36" s="2673">
        <v>5.72</v>
      </c>
      <c r="L36" s="2674">
        <v>2.72</v>
      </c>
      <c r="N36" s="2662">
        <f t="shared" si="14"/>
        <v>5.7200000000000001E-2</v>
      </c>
      <c r="O36" s="2663">
        <f t="shared" si="14"/>
        <v>6.5700000000000008E-2</v>
      </c>
      <c r="P36" s="2663">
        <f t="shared" si="14"/>
        <v>5.7200000000000001E-2</v>
      </c>
      <c r="Q36" s="2663">
        <f t="shared" si="14"/>
        <v>2.7200000000000002E-2</v>
      </c>
      <c r="R36" s="2664"/>
      <c r="S36" s="2665"/>
      <c r="T36" s="2666"/>
      <c r="U36" s="2666"/>
      <c r="V36" s="2666"/>
      <c r="X36" s="2666"/>
      <c r="Y36" s="2666"/>
      <c r="Z36" s="2666"/>
    </row>
    <row r="37" spans="1:26">
      <c r="A37" s="2653" t="s">
        <v>2594</v>
      </c>
      <c r="B37" s="2667">
        <f t="shared" ref="B37:C39" si="24">B36/(1+N36)</f>
        <v>254.44570563753314</v>
      </c>
      <c r="C37" s="2667">
        <f t="shared" si="24"/>
        <v>207.37543398705074</v>
      </c>
      <c r="D37" s="2667">
        <f t="shared" si="12"/>
        <v>207.37543398705074</v>
      </c>
      <c r="E37" s="2667">
        <f t="shared" ref="E37:F39" si="25">E36/(1+P36)</f>
        <v>352.81876655315932</v>
      </c>
      <c r="F37" s="2667">
        <f t="shared" si="25"/>
        <v>190.809968847352</v>
      </c>
      <c r="G37" s="3578">
        <v>2010</v>
      </c>
      <c r="H37" s="2678">
        <v>3</v>
      </c>
      <c r="I37" s="2678">
        <v>4.7300000000000004</v>
      </c>
      <c r="J37" s="2678">
        <v>3.9</v>
      </c>
      <c r="K37" s="2678">
        <v>5.03</v>
      </c>
      <c r="L37" s="2679">
        <v>4.21</v>
      </c>
      <c r="N37" s="2662">
        <f t="shared" si="14"/>
        <v>4.7300000000000002E-2</v>
      </c>
      <c r="O37" s="2663">
        <f t="shared" si="14"/>
        <v>3.9E-2</v>
      </c>
      <c r="P37" s="2663">
        <f t="shared" si="14"/>
        <v>5.0300000000000004E-2</v>
      </c>
      <c r="Q37" s="2663">
        <f t="shared" si="14"/>
        <v>4.2099999999999999E-2</v>
      </c>
      <c r="R37" s="2664"/>
      <c r="S37" s="2662"/>
      <c r="T37" s="2663"/>
      <c r="U37" s="2663"/>
      <c r="V37" s="2663"/>
    </row>
    <row r="38" spans="1:26">
      <c r="A38" s="2653" t="s">
        <v>2595</v>
      </c>
      <c r="B38" s="2667">
        <f t="shared" si="24"/>
        <v>242.95398227588385</v>
      </c>
      <c r="C38" s="2667">
        <f t="shared" si="24"/>
        <v>199.59137053614126</v>
      </c>
      <c r="D38" s="2667">
        <f t="shared" si="12"/>
        <v>199.59137053614126</v>
      </c>
      <c r="E38" s="2667">
        <f t="shared" si="25"/>
        <v>335.92189522342125</v>
      </c>
      <c r="F38" s="2667">
        <f t="shared" si="25"/>
        <v>183.10139991109489</v>
      </c>
      <c r="G38" s="3578">
        <v>2010</v>
      </c>
      <c r="H38" s="2658">
        <v>2</v>
      </c>
      <c r="I38" s="2658">
        <v>4.6900000000000004</v>
      </c>
      <c r="J38" s="2658">
        <v>3.55</v>
      </c>
      <c r="K38" s="2658">
        <v>5.07</v>
      </c>
      <c r="L38" s="2669">
        <v>4.2300000000000004</v>
      </c>
      <c r="N38" s="2662">
        <f t="shared" si="14"/>
        <v>4.6900000000000004E-2</v>
      </c>
      <c r="O38" s="2663">
        <f t="shared" si="14"/>
        <v>3.5499999999999997E-2</v>
      </c>
      <c r="P38" s="2663">
        <f t="shared" si="14"/>
        <v>5.0700000000000002E-2</v>
      </c>
      <c r="Q38" s="2663">
        <f t="shared" si="14"/>
        <v>4.2300000000000004E-2</v>
      </c>
      <c r="R38" s="2664"/>
      <c r="S38" s="2662"/>
      <c r="T38" s="2663"/>
      <c r="U38" s="2663"/>
      <c r="V38" s="2663"/>
    </row>
    <row r="39" spans="1:26" ht="13.5" thickBot="1">
      <c r="A39" s="2653" t="s">
        <v>2596</v>
      </c>
      <c r="B39" s="2667">
        <f t="shared" si="24"/>
        <v>232.06990378821649</v>
      </c>
      <c r="C39" s="2667">
        <f t="shared" si="24"/>
        <v>192.74878854286936</v>
      </c>
      <c r="D39" s="2667">
        <f t="shared" si="12"/>
        <v>192.74878854286936</v>
      </c>
      <c r="E39" s="2667">
        <f t="shared" si="25"/>
        <v>319.71247284992984</v>
      </c>
      <c r="F39" s="2667">
        <f t="shared" si="25"/>
        <v>175.67053622862409</v>
      </c>
      <c r="G39" s="3579">
        <v>2010</v>
      </c>
      <c r="H39" s="2657">
        <v>1</v>
      </c>
      <c r="I39" s="2657">
        <v>5.4</v>
      </c>
      <c r="J39" s="2657">
        <v>3.2</v>
      </c>
      <c r="K39" s="2657">
        <v>6.16</v>
      </c>
      <c r="L39" s="2668">
        <v>4.51</v>
      </c>
      <c r="N39" s="2662">
        <f t="shared" si="14"/>
        <v>5.4000000000000006E-2</v>
      </c>
      <c r="O39" s="2663">
        <f t="shared" si="14"/>
        <v>3.2000000000000001E-2</v>
      </c>
      <c r="P39" s="2663">
        <f t="shared" si="14"/>
        <v>6.1600000000000002E-2</v>
      </c>
      <c r="Q39" s="2663">
        <f t="shared" si="14"/>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2597</v>
      </c>
      <c r="B40" s="2659">
        <v>220</v>
      </c>
      <c r="C40" s="2659">
        <v>187</v>
      </c>
      <c r="D40" s="2659">
        <f t="shared" si="12"/>
        <v>187</v>
      </c>
      <c r="E40" s="2659">
        <v>301</v>
      </c>
      <c r="F40" s="2660">
        <v>168</v>
      </c>
      <c r="G40" s="3577">
        <v>2009</v>
      </c>
      <c r="H40" s="2673">
        <v>4</v>
      </c>
      <c r="I40" s="2673">
        <v>2.2999999999999998</v>
      </c>
      <c r="J40" s="2673">
        <v>1.04</v>
      </c>
      <c r="K40" s="2673">
        <v>2.84</v>
      </c>
      <c r="L40" s="2674">
        <v>0.67</v>
      </c>
      <c r="N40" s="2675">
        <f t="shared" si="14"/>
        <v>2.3E-2</v>
      </c>
      <c r="O40" s="2676">
        <f t="shared" si="14"/>
        <v>1.04E-2</v>
      </c>
      <c r="P40" s="2676">
        <f t="shared" si="14"/>
        <v>2.8399999999999998E-2</v>
      </c>
      <c r="Q40" s="2676">
        <f t="shared" si="14"/>
        <v>6.7000000000000002E-3</v>
      </c>
      <c r="R40" s="2664"/>
      <c r="S40" s="2665"/>
      <c r="T40" s="2666"/>
      <c r="U40" s="2666"/>
      <c r="V40" s="2666"/>
      <c r="X40" s="2666"/>
      <c r="Y40" s="2666"/>
      <c r="Z40" s="2666"/>
    </row>
    <row r="41" spans="1:26">
      <c r="A41" s="2653" t="s">
        <v>2598</v>
      </c>
      <c r="B41" s="2667">
        <f t="shared" ref="B41:C43" si="26">B40/(1+N40)</f>
        <v>215.05376344086022</v>
      </c>
      <c r="C41" s="2667">
        <f t="shared" si="26"/>
        <v>185.0752177355503</v>
      </c>
      <c r="D41" s="2667">
        <f t="shared" si="12"/>
        <v>185.0752177355503</v>
      </c>
      <c r="E41" s="2667">
        <f t="shared" ref="E41:F43" si="27">E40/(1+P40)</f>
        <v>292.68767016725008</v>
      </c>
      <c r="F41" s="2667">
        <f t="shared" si="27"/>
        <v>166.88189132810174</v>
      </c>
      <c r="G41" s="3578">
        <v>2009</v>
      </c>
      <c r="H41" s="2678">
        <v>3</v>
      </c>
      <c r="I41" s="2678">
        <v>2.1</v>
      </c>
      <c r="J41" s="2678">
        <v>1.86</v>
      </c>
      <c r="K41" s="2678">
        <v>2.29</v>
      </c>
      <c r="L41" s="2679">
        <v>0.85</v>
      </c>
      <c r="N41" s="2662">
        <f t="shared" si="14"/>
        <v>2.1000000000000001E-2</v>
      </c>
      <c r="O41" s="2680">
        <f t="shared" si="14"/>
        <v>1.8600000000000002E-2</v>
      </c>
      <c r="P41" s="2680">
        <f t="shared" si="14"/>
        <v>2.29E-2</v>
      </c>
      <c r="Q41" s="2680">
        <f t="shared" si="14"/>
        <v>8.5000000000000006E-3</v>
      </c>
      <c r="R41" s="2664"/>
      <c r="S41" s="2662"/>
      <c r="T41" s="2663"/>
      <c r="U41" s="2663"/>
      <c r="V41" s="2663"/>
    </row>
    <row r="42" spans="1:26">
      <c r="A42" s="2653" t="s">
        <v>2599</v>
      </c>
      <c r="B42" s="2667">
        <f t="shared" si="26"/>
        <v>210.630522469011</v>
      </c>
      <c r="C42" s="2667">
        <f t="shared" si="26"/>
        <v>181.69567812247232</v>
      </c>
      <c r="D42" s="2667">
        <f t="shared" si="12"/>
        <v>181.69567812247232</v>
      </c>
      <c r="E42" s="2667">
        <f t="shared" si="27"/>
        <v>286.13517466736738</v>
      </c>
      <c r="F42" s="2667">
        <f t="shared" si="27"/>
        <v>165.47535084591149</v>
      </c>
      <c r="G42" s="3578">
        <v>2009</v>
      </c>
      <c r="H42" s="2658">
        <v>2</v>
      </c>
      <c r="I42" s="2658">
        <v>0.86</v>
      </c>
      <c r="J42" s="2658">
        <v>-1.1299999999999999</v>
      </c>
      <c r="K42" s="2658">
        <v>1.79</v>
      </c>
      <c r="L42" s="2669">
        <v>-2.0699999999999998</v>
      </c>
      <c r="N42" s="2662">
        <f t="shared" si="14"/>
        <v>8.6E-3</v>
      </c>
      <c r="O42" s="2680">
        <f t="shared" si="14"/>
        <v>-1.1299999999999999E-2</v>
      </c>
      <c r="P42" s="2680">
        <f t="shared" si="14"/>
        <v>1.7899999999999999E-2</v>
      </c>
      <c r="Q42" s="2680">
        <f t="shared" si="14"/>
        <v>-2.07E-2</v>
      </c>
      <c r="R42" s="2664"/>
      <c r="S42" s="2662"/>
      <c r="T42" s="2663"/>
      <c r="U42" s="2663"/>
      <c r="V42" s="2663"/>
    </row>
    <row r="43" spans="1:26">
      <c r="A43" s="2653" t="s">
        <v>2600</v>
      </c>
      <c r="B43" s="2667">
        <f t="shared" si="26"/>
        <v>208.83454537875372</v>
      </c>
      <c r="C43" s="2667">
        <f t="shared" si="26"/>
        <v>183.77230517090351</v>
      </c>
      <c r="D43" s="2667">
        <f t="shared" si="12"/>
        <v>183.77230517090351</v>
      </c>
      <c r="E43" s="2667">
        <f t="shared" si="27"/>
        <v>281.10342338870947</v>
      </c>
      <c r="F43" s="2667">
        <f t="shared" si="27"/>
        <v>168.97309388942256</v>
      </c>
      <c r="G43" s="3579">
        <v>2009</v>
      </c>
      <c r="H43" s="2657">
        <v>1</v>
      </c>
      <c r="I43" s="2657">
        <v>-2.64</v>
      </c>
      <c r="J43" s="2657">
        <v>-2.5299999999999998</v>
      </c>
      <c r="K43" s="2657">
        <v>-3.02</v>
      </c>
      <c r="L43" s="2668">
        <v>1.52</v>
      </c>
      <c r="N43" s="2670">
        <f t="shared" si="14"/>
        <v>-2.64E-2</v>
      </c>
      <c r="O43" s="2671">
        <f t="shared" si="14"/>
        <v>-2.53E-2</v>
      </c>
      <c r="P43" s="2671">
        <f t="shared" si="14"/>
        <v>-3.0200000000000001E-2</v>
      </c>
      <c r="Q43" s="2671">
        <f t="shared" si="14"/>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2601</v>
      </c>
      <c r="B44" s="2697">
        <v>214</v>
      </c>
      <c r="C44" s="2697">
        <v>188</v>
      </c>
      <c r="D44" s="2697">
        <f t="shared" si="12"/>
        <v>188</v>
      </c>
      <c r="E44" s="2697">
        <v>289</v>
      </c>
      <c r="F44" s="2698">
        <v>166</v>
      </c>
      <c r="G44" s="3577">
        <v>2008</v>
      </c>
      <c r="H44" s="2673">
        <v>4</v>
      </c>
      <c r="I44" s="2673">
        <v>1.73</v>
      </c>
      <c r="J44" s="2673">
        <v>0.03</v>
      </c>
      <c r="K44" s="2673">
        <v>2.59</v>
      </c>
      <c r="L44" s="2674">
        <v>-1.66</v>
      </c>
      <c r="N44" s="2662">
        <f t="shared" si="14"/>
        <v>1.7299999999999999E-2</v>
      </c>
      <c r="O44" s="2663">
        <f t="shared" si="14"/>
        <v>2.9999999999999997E-4</v>
      </c>
      <c r="P44" s="2663">
        <f t="shared" si="14"/>
        <v>2.5899999999999999E-2</v>
      </c>
      <c r="Q44" s="2663">
        <f t="shared" si="14"/>
        <v>-1.66E-2</v>
      </c>
      <c r="R44" s="2664"/>
      <c r="S44" s="2665"/>
      <c r="T44" s="2666"/>
      <c r="U44" s="2666"/>
      <c r="V44" s="2666"/>
      <c r="X44" s="2666"/>
      <c r="Y44" s="2666"/>
      <c r="Z44" s="2666"/>
    </row>
    <row r="45" spans="1:26">
      <c r="A45" s="2653" t="s">
        <v>2602</v>
      </c>
      <c r="B45" s="2667">
        <f t="shared" ref="B45:C47" si="28">B44/(1+N44)</f>
        <v>210.36075887152265</v>
      </c>
      <c r="C45" s="2667">
        <f t="shared" si="28"/>
        <v>187.94361691492554</v>
      </c>
      <c r="D45" s="2667">
        <f t="shared" si="12"/>
        <v>187.94361691492554</v>
      </c>
      <c r="E45" s="2667">
        <f t="shared" ref="E45:F47" si="29">E44/(1+P44)</f>
        <v>281.70386977288234</v>
      </c>
      <c r="F45" s="2667">
        <f t="shared" si="29"/>
        <v>168.80211511083994</v>
      </c>
      <c r="G45" s="3578">
        <v>2008</v>
      </c>
      <c r="H45" s="2678">
        <v>3</v>
      </c>
      <c r="I45" s="2678">
        <v>1.96</v>
      </c>
      <c r="J45" s="2678">
        <v>2.36</v>
      </c>
      <c r="K45" s="2678">
        <v>1.82</v>
      </c>
      <c r="L45" s="2679">
        <v>2.2200000000000002</v>
      </c>
      <c r="N45" s="2662">
        <f t="shared" si="14"/>
        <v>1.9599999999999999E-2</v>
      </c>
      <c r="O45" s="2663">
        <f t="shared" si="14"/>
        <v>2.3599999999999999E-2</v>
      </c>
      <c r="P45" s="2663">
        <f t="shared" si="14"/>
        <v>1.8200000000000001E-2</v>
      </c>
      <c r="Q45" s="2663">
        <f t="shared" si="14"/>
        <v>2.2200000000000001E-2</v>
      </c>
      <c r="R45" s="2664"/>
      <c r="S45" s="2662"/>
      <c r="T45" s="2663"/>
      <c r="U45" s="2663"/>
      <c r="V45" s="2663"/>
    </row>
    <row r="46" spans="1:26">
      <c r="A46" s="2653" t="s">
        <v>2603</v>
      </c>
      <c r="B46" s="2667">
        <f t="shared" si="28"/>
        <v>206.31694671589116</v>
      </c>
      <c r="C46" s="2667">
        <f t="shared" si="28"/>
        <v>183.61041121036101</v>
      </c>
      <c r="D46" s="2667">
        <f t="shared" si="12"/>
        <v>183.61041121036101</v>
      </c>
      <c r="E46" s="2667">
        <f t="shared" si="29"/>
        <v>276.66850301795557</v>
      </c>
      <c r="F46" s="2667">
        <f t="shared" si="29"/>
        <v>165.1360938278614</v>
      </c>
      <c r="G46" s="3578">
        <v>2008</v>
      </c>
      <c r="H46" s="2658">
        <v>2</v>
      </c>
      <c r="I46" s="2658">
        <v>4.93</v>
      </c>
      <c r="J46" s="2658">
        <v>7.38</v>
      </c>
      <c r="K46" s="2658">
        <v>3.98</v>
      </c>
      <c r="L46" s="2669">
        <v>6.86</v>
      </c>
      <c r="N46" s="2662">
        <f t="shared" si="14"/>
        <v>4.9299999999999997E-2</v>
      </c>
      <c r="O46" s="2663">
        <f t="shared" si="14"/>
        <v>7.3800000000000004E-2</v>
      </c>
      <c r="P46" s="2663">
        <f t="shared" si="14"/>
        <v>3.9800000000000002E-2</v>
      </c>
      <c r="Q46" s="2663">
        <f t="shared" si="14"/>
        <v>6.8600000000000008E-2</v>
      </c>
      <c r="R46" s="2664"/>
      <c r="S46" s="2662"/>
      <c r="T46" s="2663"/>
      <c r="U46" s="2663"/>
      <c r="V46" s="2663"/>
    </row>
    <row r="47" spans="1:26" s="2703" customFormat="1" ht="13.5" thickBot="1">
      <c r="A47" s="2653" t="s">
        <v>2604</v>
      </c>
      <c r="B47" s="2700">
        <f t="shared" si="28"/>
        <v>196.62341248059772</v>
      </c>
      <c r="C47" s="2700">
        <f t="shared" si="28"/>
        <v>170.99125648199012</v>
      </c>
      <c r="D47" s="2700">
        <f t="shared" si="12"/>
        <v>170.99125648199012</v>
      </c>
      <c r="E47" s="2700">
        <f t="shared" si="29"/>
        <v>266.07857570490052</v>
      </c>
      <c r="F47" s="2700">
        <f t="shared" si="29"/>
        <v>154.53499328828505</v>
      </c>
      <c r="G47" s="3579">
        <v>2008</v>
      </c>
      <c r="H47" s="2701">
        <v>1</v>
      </c>
      <c r="I47" s="2701">
        <v>4.1399999999999997</v>
      </c>
      <c r="J47" s="2701">
        <v>3.45</v>
      </c>
      <c r="K47" s="2701">
        <v>4.95</v>
      </c>
      <c r="L47" s="2702">
        <v>4.82</v>
      </c>
      <c r="N47" s="2704">
        <f t="shared" si="14"/>
        <v>4.1399999999999999E-2</v>
      </c>
      <c r="O47" s="2705">
        <f t="shared" si="14"/>
        <v>3.4500000000000003E-2</v>
      </c>
      <c r="P47" s="2705">
        <f t="shared" si="14"/>
        <v>4.9500000000000002E-2</v>
      </c>
      <c r="Q47" s="2705">
        <f t="shared" si="14"/>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2605</v>
      </c>
      <c r="B48" s="2659">
        <v>188</v>
      </c>
      <c r="C48" s="2659">
        <v>165</v>
      </c>
      <c r="D48" s="2659">
        <f t="shared" si="12"/>
        <v>165</v>
      </c>
      <c r="E48" s="2659">
        <v>254</v>
      </c>
      <c r="F48" s="2660">
        <v>148</v>
      </c>
      <c r="G48" s="3577">
        <v>2007</v>
      </c>
      <c r="H48" s="2708">
        <v>4</v>
      </c>
      <c r="I48" s="2708">
        <v>5.51</v>
      </c>
      <c r="J48" s="2708">
        <v>4.8899999999999997</v>
      </c>
      <c r="K48" s="2708">
        <v>6.43</v>
      </c>
      <c r="L48" s="2709">
        <v>5.36</v>
      </c>
      <c r="N48" s="2710">
        <f t="shared" ref="N48:O51" si="30">B48/B49-1</f>
        <v>4.1339718365245526E-2</v>
      </c>
      <c r="O48" s="2711">
        <f t="shared" si="30"/>
        <v>4.0324492593776018E-2</v>
      </c>
      <c r="P48" s="2711">
        <f t="shared" ref="P48:Q51" si="31">E48/E49-1</f>
        <v>6.1625555347990968E-2</v>
      </c>
      <c r="Q48" s="2711">
        <f t="shared" si="31"/>
        <v>4.6757569250590603E-2</v>
      </c>
      <c r="R48" s="2664"/>
      <c r="S48" s="2665"/>
      <c r="T48" s="2666"/>
      <c r="U48" s="2666"/>
      <c r="V48" s="2666"/>
      <c r="X48" s="2666"/>
      <c r="Y48" s="2666"/>
      <c r="Z48" s="2666"/>
    </row>
    <row r="49" spans="1:26">
      <c r="A49" s="2653" t="s">
        <v>2606</v>
      </c>
      <c r="B49" s="2667">
        <f t="shared" ref="B49:C51" si="32">B50+(B$48-B$52)*I49/SUM(I$48:I$51)</f>
        <v>180.5366651097618</v>
      </c>
      <c r="C49" s="2667">
        <f t="shared" si="32"/>
        <v>158.60435967302453</v>
      </c>
      <c r="D49" s="2667">
        <f t="shared" si="12"/>
        <v>158.60435967302453</v>
      </c>
      <c r="E49" s="2667">
        <f t="shared" ref="E49:F51" si="33">E50+(E$48-E$52)*K49/SUM(K$48:K$51)</f>
        <v>239.25573260785075</v>
      </c>
      <c r="F49" s="2667">
        <f t="shared" si="33"/>
        <v>141.38899430740037</v>
      </c>
      <c r="G49" s="3578">
        <v>2007</v>
      </c>
      <c r="H49" s="2678">
        <v>3</v>
      </c>
      <c r="I49" s="2678">
        <v>8.65</v>
      </c>
      <c r="J49" s="2678">
        <v>8.06</v>
      </c>
      <c r="K49" s="2678">
        <v>9.94</v>
      </c>
      <c r="L49" s="2679">
        <v>5.8</v>
      </c>
      <c r="N49" s="2710">
        <f t="shared" si="30"/>
        <v>6.940217571740015E-2</v>
      </c>
      <c r="O49" s="2711">
        <f t="shared" si="30"/>
        <v>7.1197482471153428E-2</v>
      </c>
      <c r="P49" s="2711">
        <f t="shared" si="31"/>
        <v>0.10529679922579582</v>
      </c>
      <c r="Q49" s="2711">
        <f t="shared" si="31"/>
        <v>5.3292245059512133E-2</v>
      </c>
      <c r="R49" s="2664"/>
      <c r="S49" s="2662"/>
      <c r="T49" s="2663"/>
      <c r="U49" s="2663"/>
      <c r="V49" s="2663"/>
      <c r="X49" s="2712"/>
      <c r="Y49" s="2712"/>
      <c r="Z49" s="2712"/>
    </row>
    <row r="50" spans="1:26">
      <c r="A50" s="2653" t="s">
        <v>2607</v>
      </c>
      <c r="B50" s="2667">
        <f t="shared" si="32"/>
        <v>168.82017748715555</v>
      </c>
      <c r="C50" s="2667">
        <f t="shared" si="32"/>
        <v>148.06267029972753</v>
      </c>
      <c r="D50" s="2667">
        <f t="shared" si="12"/>
        <v>148.06267029972753</v>
      </c>
      <c r="E50" s="2667">
        <f t="shared" si="33"/>
        <v>216.46288379323747</v>
      </c>
      <c r="F50" s="2667">
        <f t="shared" si="33"/>
        <v>134.23529411764704</v>
      </c>
      <c r="G50" s="3578">
        <v>2007</v>
      </c>
      <c r="H50" s="2658">
        <v>2</v>
      </c>
      <c r="I50" s="2658">
        <v>3.67</v>
      </c>
      <c r="J50" s="2658">
        <v>2.3199999999999998</v>
      </c>
      <c r="K50" s="2658">
        <v>5.0199999999999996</v>
      </c>
      <c r="L50" s="2669">
        <v>6.71</v>
      </c>
      <c r="N50" s="2710">
        <f t="shared" si="30"/>
        <v>3.0339138143848032E-2</v>
      </c>
      <c r="O50" s="2711">
        <f t="shared" si="30"/>
        <v>2.0922341588790472E-2</v>
      </c>
      <c r="P50" s="2711">
        <f t="shared" si="31"/>
        <v>5.6164796592717003E-2</v>
      </c>
      <c r="Q50" s="2711">
        <f t="shared" si="31"/>
        <v>6.5704536723887319E-2</v>
      </c>
      <c r="R50" s="2664"/>
      <c r="S50" s="2662"/>
      <c r="T50" s="2663"/>
      <c r="U50" s="2663"/>
      <c r="V50" s="2663"/>
      <c r="X50" s="2712"/>
      <c r="Y50" s="2712"/>
      <c r="Z50" s="2712"/>
    </row>
    <row r="51" spans="1:26">
      <c r="A51" s="2653" t="s">
        <v>2608</v>
      </c>
      <c r="B51" s="2667">
        <f t="shared" si="32"/>
        <v>163.84913591779542</v>
      </c>
      <c r="C51" s="2667">
        <f t="shared" si="32"/>
        <v>145.0283378746594</v>
      </c>
      <c r="D51" s="2667">
        <f t="shared" si="12"/>
        <v>145.0283378746594</v>
      </c>
      <c r="E51" s="2667">
        <f t="shared" si="33"/>
        <v>204.95180722891567</v>
      </c>
      <c r="F51" s="2667">
        <f t="shared" si="33"/>
        <v>125.95920303605313</v>
      </c>
      <c r="G51" s="3579">
        <v>2007</v>
      </c>
      <c r="H51" s="2657">
        <v>1</v>
      </c>
      <c r="I51" s="2657">
        <v>3.58</v>
      </c>
      <c r="J51" s="2657">
        <v>3.08</v>
      </c>
      <c r="K51" s="2657">
        <v>4.34</v>
      </c>
      <c r="L51" s="2668">
        <v>3.21</v>
      </c>
      <c r="N51" s="2713">
        <f t="shared" si="30"/>
        <v>3.0497710174814063E-2</v>
      </c>
      <c r="O51" s="2714">
        <f t="shared" si="30"/>
        <v>2.8569772160704998E-2</v>
      </c>
      <c r="P51" s="2714">
        <f t="shared" si="31"/>
        <v>5.1034908866234296E-2</v>
      </c>
      <c r="Q51" s="2714">
        <f t="shared" si="31"/>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2609</v>
      </c>
      <c r="B52" s="2681">
        <v>159</v>
      </c>
      <c r="C52" s="2681">
        <v>141</v>
      </c>
      <c r="D52" s="2681">
        <f t="shared" si="12"/>
        <v>141</v>
      </c>
      <c r="E52" s="2681">
        <v>195</v>
      </c>
      <c r="F52" s="2682">
        <v>122</v>
      </c>
      <c r="G52" s="3577">
        <v>2006</v>
      </c>
      <c r="H52" s="2673">
        <v>4</v>
      </c>
      <c r="I52" s="2673">
        <v>3.79</v>
      </c>
      <c r="J52" s="2673">
        <v>2.21</v>
      </c>
      <c r="K52" s="2673">
        <v>5.65</v>
      </c>
      <c r="L52" s="2674">
        <v>5.41</v>
      </c>
      <c r="N52" s="2710">
        <f t="shared" ref="N52:O55" si="34">I52/SUM(I$52:I$55)*(B$52/B$56-1)</f>
        <v>7.245466462748526E-2</v>
      </c>
      <c r="O52" s="2711">
        <f t="shared" si="34"/>
        <v>2.3237230038062766E-2</v>
      </c>
      <c r="P52" s="2711">
        <f t="shared" ref="P52:Q55" si="35">K52/SUM(K$52:K$55)*(E$52/E$56-1)</f>
        <v>0.16146893866323722</v>
      </c>
      <c r="Q52" s="2711">
        <f t="shared" si="35"/>
        <v>5.0755230321793784E-2</v>
      </c>
      <c r="R52" s="2664"/>
      <c r="S52" s="2665"/>
      <c r="T52" s="2666"/>
      <c r="U52" s="2666"/>
      <c r="V52" s="2666"/>
      <c r="X52" s="2712"/>
      <c r="Y52" s="2712"/>
      <c r="Z52" s="2712"/>
    </row>
    <row r="53" spans="1:26">
      <c r="A53" s="2653" t="s">
        <v>2610</v>
      </c>
      <c r="B53" s="2667">
        <f t="shared" ref="B53:C55" si="36">B54+(B$52-B$56)*I53/SUM(I$52:I$55)</f>
        <v>149.00125628140702</v>
      </c>
      <c r="C53" s="2667">
        <f t="shared" si="36"/>
        <v>137.95592286501378</v>
      </c>
      <c r="D53" s="2667">
        <f t="shared" si="12"/>
        <v>137.95592286501378</v>
      </c>
      <c r="E53" s="2667">
        <f t="shared" ref="E53:F55" si="37">E54+(E$52-E$56)*K53/SUM(K$52:K$55)</f>
        <v>169.97231450719823</v>
      </c>
      <c r="F53" s="2667">
        <f t="shared" si="37"/>
        <v>116.21390374331551</v>
      </c>
      <c r="G53" s="3578">
        <v>2006</v>
      </c>
      <c r="H53" s="2678">
        <v>3</v>
      </c>
      <c r="I53" s="2678">
        <v>0.92</v>
      </c>
      <c r="J53" s="2678">
        <v>1.08</v>
      </c>
      <c r="K53" s="2678">
        <v>0.73</v>
      </c>
      <c r="L53" s="2679">
        <v>1.08</v>
      </c>
      <c r="N53" s="2710">
        <f t="shared" si="34"/>
        <v>1.7587939698492462E-2</v>
      </c>
      <c r="O53" s="2711">
        <f t="shared" si="34"/>
        <v>1.1355750425840628E-2</v>
      </c>
      <c r="P53" s="2711">
        <f t="shared" si="35"/>
        <v>2.0862358446754544E-2</v>
      </c>
      <c r="Q53" s="2711">
        <f t="shared" si="35"/>
        <v>1.0132282578103011E-2</v>
      </c>
      <c r="R53" s="2664"/>
      <c r="S53" s="2662"/>
      <c r="T53" s="2663"/>
      <c r="U53" s="2663"/>
      <c r="V53" s="2663"/>
      <c r="X53" s="2712"/>
      <c r="Y53" s="2712"/>
      <c r="Z53" s="2712"/>
    </row>
    <row r="54" spans="1:26">
      <c r="A54" s="2653" t="s">
        <v>2611</v>
      </c>
      <c r="B54" s="2667">
        <f t="shared" si="36"/>
        <v>146.57412060301507</v>
      </c>
      <c r="C54" s="2667">
        <f t="shared" si="36"/>
        <v>136.46831955922866</v>
      </c>
      <c r="D54" s="2667">
        <f t="shared" si="12"/>
        <v>136.46831955922866</v>
      </c>
      <c r="E54" s="2667">
        <f t="shared" si="37"/>
        <v>166.73864894795128</v>
      </c>
      <c r="F54" s="2667">
        <f t="shared" si="37"/>
        <v>115.05882352941177</v>
      </c>
      <c r="G54" s="3578">
        <v>2006</v>
      </c>
      <c r="H54" s="2658">
        <v>2</v>
      </c>
      <c r="I54" s="2658">
        <v>0.96</v>
      </c>
      <c r="J54" s="2658">
        <v>0.25</v>
      </c>
      <c r="K54" s="2658">
        <v>1.9</v>
      </c>
      <c r="L54" s="2669">
        <v>0.95</v>
      </c>
      <c r="N54" s="2710">
        <f t="shared" si="34"/>
        <v>1.8352632728861701E-2</v>
      </c>
      <c r="O54" s="2711">
        <f t="shared" si="34"/>
        <v>2.6286459319075526E-3</v>
      </c>
      <c r="P54" s="2711">
        <f t="shared" si="35"/>
        <v>5.4299289107991269E-2</v>
      </c>
      <c r="Q54" s="2711">
        <f t="shared" si="35"/>
        <v>8.9126559714794995E-3</v>
      </c>
      <c r="R54" s="2664"/>
      <c r="S54" s="2662"/>
      <c r="T54" s="2663"/>
      <c r="U54" s="2663"/>
      <c r="V54" s="2663"/>
      <c r="X54" s="2712"/>
      <c r="Y54" s="2712"/>
      <c r="Z54" s="2712"/>
    </row>
    <row r="55" spans="1:26">
      <c r="A55" s="2653" t="s">
        <v>2612</v>
      </c>
      <c r="B55" s="2667">
        <f t="shared" si="36"/>
        <v>144.04145728643215</v>
      </c>
      <c r="C55" s="2667">
        <f t="shared" si="36"/>
        <v>136.12396694214877</v>
      </c>
      <c r="D55" s="2667">
        <f t="shared" si="12"/>
        <v>136.12396694214877</v>
      </c>
      <c r="E55" s="2667">
        <f t="shared" si="37"/>
        <v>158.32225913621264</v>
      </c>
      <c r="F55" s="2667">
        <f t="shared" si="37"/>
        <v>114.04278074866311</v>
      </c>
      <c r="G55" s="3579">
        <v>2006</v>
      </c>
      <c r="H55" s="2657">
        <v>1</v>
      </c>
      <c r="I55" s="2657">
        <v>2.29</v>
      </c>
      <c r="J55" s="2657">
        <v>3.72</v>
      </c>
      <c r="K55" s="2657">
        <v>0.75</v>
      </c>
      <c r="L55" s="2668">
        <v>0.04</v>
      </c>
      <c r="N55" s="2713">
        <f t="shared" si="34"/>
        <v>4.3778675988638847E-2</v>
      </c>
      <c r="O55" s="2714">
        <f t="shared" si="34"/>
        <v>3.9114251466784385E-2</v>
      </c>
      <c r="P55" s="2714">
        <f t="shared" si="35"/>
        <v>2.1433929911049188E-2</v>
      </c>
      <c r="Q55" s="2714">
        <f t="shared" si="35"/>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2613</v>
      </c>
      <c r="B56" s="2681">
        <v>138</v>
      </c>
      <c r="C56" s="2681">
        <v>131</v>
      </c>
      <c r="D56" s="2681">
        <f t="shared" si="12"/>
        <v>131</v>
      </c>
      <c r="E56" s="2681">
        <v>155</v>
      </c>
      <c r="F56" s="2682">
        <v>114</v>
      </c>
      <c r="G56" s="3577">
        <v>2005</v>
      </c>
      <c r="H56" s="2673">
        <v>4</v>
      </c>
      <c r="I56" s="2673">
        <v>3.29</v>
      </c>
      <c r="J56" s="2673">
        <v>1.44</v>
      </c>
      <c r="K56" s="2673">
        <v>0.66</v>
      </c>
      <c r="L56" s="2674">
        <v>7.78</v>
      </c>
      <c r="N56" s="2710">
        <f t="shared" ref="N56:O59" si="38">I56/SUM(I$56:I$59)*(B$56/B$60-1)</f>
        <v>9.9404603216919935E-2</v>
      </c>
      <c r="O56" s="2711">
        <f t="shared" si="38"/>
        <v>4.7636550760861554E-2</v>
      </c>
      <c r="P56" s="2711">
        <f t="shared" ref="P56:Q59" si="39">K56/SUM(K$56:K$59)*(E$56/E$60-1)</f>
        <v>8.3756345177664976E-2</v>
      </c>
      <c r="Q56" s="2711">
        <f t="shared" si="39"/>
        <v>5.2148766661559584E-2</v>
      </c>
      <c r="R56" s="2664"/>
      <c r="S56" s="2665"/>
      <c r="T56" s="2666"/>
      <c r="U56" s="2666"/>
      <c r="V56" s="2666"/>
      <c r="X56" s="2712"/>
      <c r="Y56" s="2712"/>
      <c r="Z56" s="2712"/>
    </row>
    <row r="57" spans="1:26">
      <c r="A57" s="2653" t="s">
        <v>2614</v>
      </c>
      <c r="B57" s="2667">
        <f t="shared" ref="B57:C59" si="40">B58+(B$56-B$60)*I57/SUM(I$56:I$59)</f>
        <v>125.9720430107527</v>
      </c>
      <c r="C57" s="2667">
        <f t="shared" si="40"/>
        <v>125.1883408071749</v>
      </c>
      <c r="D57" s="2667">
        <f t="shared" si="12"/>
        <v>125.1883408071749</v>
      </c>
      <c r="E57" s="2667">
        <f t="shared" ref="E57:F59" si="41">E58+(E$56-E$60)*K57/SUM(K$56:K$59)</f>
        <v>144.61421319796952</v>
      </c>
      <c r="F57" s="2667">
        <f t="shared" si="41"/>
        <v>108.42008196721311</v>
      </c>
      <c r="G57" s="3578">
        <v>2005</v>
      </c>
      <c r="H57" s="2678">
        <v>3</v>
      </c>
      <c r="I57" s="2678">
        <v>0.46</v>
      </c>
      <c r="J57" s="2678">
        <v>0.32</v>
      </c>
      <c r="K57" s="2678">
        <v>0.42</v>
      </c>
      <c r="L57" s="2679">
        <v>0.64</v>
      </c>
      <c r="N57" s="2710">
        <f t="shared" si="38"/>
        <v>1.3898515951301874E-2</v>
      </c>
      <c r="O57" s="2711">
        <f t="shared" si="38"/>
        <v>1.0585900169080346E-2</v>
      </c>
      <c r="P57" s="2711">
        <f t="shared" si="39"/>
        <v>5.3299492385786795E-2</v>
      </c>
      <c r="Q57" s="2711">
        <f t="shared" si="39"/>
        <v>4.2898728359123568E-3</v>
      </c>
      <c r="R57" s="2664"/>
      <c r="S57" s="2662"/>
      <c r="T57" s="2663"/>
      <c r="U57" s="2663"/>
      <c r="V57" s="2663"/>
      <c r="X57" s="2712"/>
      <c r="Y57" s="2712"/>
      <c r="Z57" s="2712"/>
    </row>
    <row r="58" spans="1:26">
      <c r="A58" s="2653" t="s">
        <v>2615</v>
      </c>
      <c r="B58" s="2667">
        <f t="shared" si="40"/>
        <v>124.29032258064517</v>
      </c>
      <c r="C58" s="2667">
        <f t="shared" si="40"/>
        <v>123.8968609865471</v>
      </c>
      <c r="D58" s="2667">
        <f t="shared" si="12"/>
        <v>123.8968609865471</v>
      </c>
      <c r="E58" s="2667">
        <f t="shared" si="41"/>
        <v>138.00507614213197</v>
      </c>
      <c r="F58" s="2667">
        <f t="shared" si="41"/>
        <v>107.96106557377048</v>
      </c>
      <c r="G58" s="3578">
        <v>2005</v>
      </c>
      <c r="H58" s="2658">
        <v>2</v>
      </c>
      <c r="I58" s="2658">
        <v>0.47</v>
      </c>
      <c r="J58" s="2658">
        <v>0.1</v>
      </c>
      <c r="K58" s="2658">
        <v>0.52</v>
      </c>
      <c r="L58" s="2669">
        <v>0.79</v>
      </c>
      <c r="N58" s="2710">
        <f t="shared" si="38"/>
        <v>1.420065760241713E-2</v>
      </c>
      <c r="O58" s="2711">
        <f t="shared" si="38"/>
        <v>3.3080938028376083E-3</v>
      </c>
      <c r="P58" s="2711">
        <f t="shared" si="39"/>
        <v>6.598984771573603E-2</v>
      </c>
      <c r="Q58" s="2711">
        <f t="shared" si="39"/>
        <v>5.2953117818293153E-3</v>
      </c>
      <c r="R58" s="2664"/>
      <c r="S58" s="2662"/>
      <c r="T58" s="2663"/>
      <c r="U58" s="2663"/>
      <c r="V58" s="2663"/>
      <c r="X58" s="2712"/>
      <c r="Y58" s="2712"/>
      <c r="Z58" s="2712"/>
    </row>
    <row r="59" spans="1:26">
      <c r="A59" s="2653" t="s">
        <v>2616</v>
      </c>
      <c r="B59" s="2667">
        <f t="shared" si="40"/>
        <v>122.57204301075269</v>
      </c>
      <c r="C59" s="2667">
        <f t="shared" si="40"/>
        <v>123.4932735426009</v>
      </c>
      <c r="D59" s="2667">
        <f t="shared" si="12"/>
        <v>123.4932735426009</v>
      </c>
      <c r="E59" s="2667">
        <f t="shared" si="41"/>
        <v>129.82233502538071</v>
      </c>
      <c r="F59" s="2667">
        <f t="shared" si="41"/>
        <v>107.39446721311475</v>
      </c>
      <c r="G59" s="3579">
        <v>2005</v>
      </c>
      <c r="H59" s="2657">
        <v>1</v>
      </c>
      <c r="I59" s="2657">
        <v>0.43</v>
      </c>
      <c r="J59" s="2657">
        <v>0.37</v>
      </c>
      <c r="K59" s="2657">
        <v>0.37</v>
      </c>
      <c r="L59" s="2668">
        <v>0.55000000000000004</v>
      </c>
      <c r="N59" s="2713">
        <f t="shared" si="38"/>
        <v>1.2992090997956099E-2</v>
      </c>
      <c r="O59" s="2714">
        <f t="shared" si="38"/>
        <v>1.2239947070499151E-2</v>
      </c>
      <c r="P59" s="2714">
        <f t="shared" si="39"/>
        <v>4.6954314720812178E-2</v>
      </c>
      <c r="Q59" s="2714">
        <f t="shared" si="39"/>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2617</v>
      </c>
      <c r="B60" s="2697">
        <v>121</v>
      </c>
      <c r="C60" s="2697">
        <v>122</v>
      </c>
      <c r="D60" s="2697">
        <f t="shared" si="12"/>
        <v>122</v>
      </c>
      <c r="E60" s="2697">
        <v>124</v>
      </c>
      <c r="F60" s="2698">
        <v>107</v>
      </c>
      <c r="G60" s="3577">
        <v>2004</v>
      </c>
      <c r="H60" s="2673">
        <v>4</v>
      </c>
      <c r="I60" s="2673">
        <v>0.33</v>
      </c>
      <c r="J60" s="2673">
        <v>0.5</v>
      </c>
      <c r="K60" s="2673">
        <v>0.5</v>
      </c>
      <c r="L60" s="2674">
        <v>0</v>
      </c>
      <c r="N60" s="2710">
        <f t="shared" ref="N60:O63" si="42">I60/SUM(I$60:I$63)*(B$60/B$64-1)</f>
        <v>1.3391770148526898E-2</v>
      </c>
      <c r="O60" s="2711">
        <f t="shared" si="42"/>
        <v>1.063264221158958E-2</v>
      </c>
      <c r="P60" s="2711">
        <f t="shared" ref="P60:Q63" si="43">K60/SUM(K$60:K$63)*(E$60/E$64-1)</f>
        <v>2.2244466688911134E-2</v>
      </c>
      <c r="Q60" s="2711">
        <f t="shared" si="43"/>
        <v>0</v>
      </c>
      <c r="R60" s="2664"/>
      <c r="S60" s="2665"/>
      <c r="T60" s="2666"/>
      <c r="U60" s="2666"/>
      <c r="V60" s="2666"/>
      <c r="X60" s="2712"/>
      <c r="Y60" s="2712"/>
      <c r="Z60" s="2712"/>
    </row>
    <row r="61" spans="1:26">
      <c r="A61" s="2653" t="s">
        <v>2618</v>
      </c>
      <c r="B61" s="2667">
        <f t="shared" ref="B61:C63" si="44">B62+(B$60-B$64)*I61/SUM(I$60:I$63)</f>
        <v>119.51351351351352</v>
      </c>
      <c r="C61" s="2667">
        <f t="shared" si="44"/>
        <v>120.7878787878788</v>
      </c>
      <c r="D61" s="2667">
        <f t="shared" si="12"/>
        <v>120.7878787878788</v>
      </c>
      <c r="E61" s="2667">
        <f t="shared" ref="E61:F63" si="45">E62+(E$60-E$64)*K61/SUM(K$60:K$63)</f>
        <v>121.5975975975976</v>
      </c>
      <c r="F61" s="2667">
        <f t="shared" si="45"/>
        <v>107</v>
      </c>
      <c r="G61" s="3578">
        <v>2004</v>
      </c>
      <c r="H61" s="2678">
        <v>3</v>
      </c>
      <c r="I61" s="2678">
        <v>0.56000000000000005</v>
      </c>
      <c r="J61" s="2678">
        <v>0.8</v>
      </c>
      <c r="K61" s="2678">
        <v>0.83</v>
      </c>
      <c r="L61" s="2679">
        <v>0.06</v>
      </c>
      <c r="N61" s="2710">
        <f t="shared" si="42"/>
        <v>2.2725428130833527E-2</v>
      </c>
      <c r="O61" s="2711">
        <f t="shared" si="42"/>
        <v>1.7012227538543329E-2</v>
      </c>
      <c r="P61" s="2711">
        <f t="shared" si="43"/>
        <v>3.6925814703592477E-2</v>
      </c>
      <c r="Q61" s="2711">
        <f t="shared" si="43"/>
        <v>2.8846153846153744E-2</v>
      </c>
      <c r="R61" s="2664"/>
      <c r="S61" s="2662"/>
      <c r="T61" s="2663"/>
      <c r="U61" s="2663"/>
      <c r="V61" s="2663"/>
      <c r="X61" s="2712"/>
      <c r="Y61" s="2712"/>
      <c r="Z61" s="2712"/>
    </row>
    <row r="62" spans="1:26">
      <c r="A62" s="2653" t="s">
        <v>2619</v>
      </c>
      <c r="B62" s="2667">
        <f t="shared" si="44"/>
        <v>116.99099099099099</v>
      </c>
      <c r="C62" s="2667">
        <f t="shared" si="44"/>
        <v>118.84848484848486</v>
      </c>
      <c r="D62" s="2667">
        <f t="shared" si="12"/>
        <v>118.84848484848486</v>
      </c>
      <c r="E62" s="2667">
        <f t="shared" si="45"/>
        <v>117.60960960960961</v>
      </c>
      <c r="F62" s="2667">
        <f t="shared" si="45"/>
        <v>104</v>
      </c>
      <c r="G62" s="3578">
        <v>2004</v>
      </c>
      <c r="H62" s="2658">
        <v>2</v>
      </c>
      <c r="I62" s="2658">
        <v>1</v>
      </c>
      <c r="J62" s="2658">
        <v>1.5</v>
      </c>
      <c r="K62" s="2658">
        <v>1.5</v>
      </c>
      <c r="L62" s="2669">
        <v>0</v>
      </c>
      <c r="N62" s="2710">
        <f t="shared" si="42"/>
        <v>4.0581121662202721E-2</v>
      </c>
      <c r="O62" s="2711">
        <f t="shared" si="42"/>
        <v>3.1897926634768738E-2</v>
      </c>
      <c r="P62" s="2711">
        <f t="shared" si="43"/>
        <v>6.6733400066733395E-2</v>
      </c>
      <c r="Q62" s="2711">
        <f t="shared" si="43"/>
        <v>0</v>
      </c>
      <c r="R62" s="2664"/>
      <c r="S62" s="2662"/>
      <c r="T62" s="2663"/>
      <c r="U62" s="2663"/>
      <c r="V62" s="2663"/>
      <c r="X62" s="2712"/>
      <c r="Y62" s="2712"/>
      <c r="Z62" s="2712"/>
    </row>
    <row r="63" spans="1:26" s="2703" customFormat="1" ht="13.5" thickBot="1">
      <c r="A63" s="2653" t="s">
        <v>2620</v>
      </c>
      <c r="B63" s="2700">
        <f t="shared" si="44"/>
        <v>112.48648648648648</v>
      </c>
      <c r="C63" s="2700">
        <f t="shared" si="44"/>
        <v>115.21212121212122</v>
      </c>
      <c r="D63" s="2700">
        <f t="shared" si="12"/>
        <v>115.21212121212122</v>
      </c>
      <c r="E63" s="2700">
        <f t="shared" si="45"/>
        <v>110.4024024024024</v>
      </c>
      <c r="F63" s="2700">
        <f t="shared" si="45"/>
        <v>104</v>
      </c>
      <c r="G63" s="3579">
        <v>2004</v>
      </c>
      <c r="H63" s="2701">
        <v>1</v>
      </c>
      <c r="I63" s="2701">
        <v>0.33</v>
      </c>
      <c r="J63" s="2701">
        <v>0.5</v>
      </c>
      <c r="K63" s="2701">
        <v>0.5</v>
      </c>
      <c r="L63" s="2702">
        <v>0</v>
      </c>
      <c r="N63" s="2715">
        <f t="shared" si="42"/>
        <v>1.3391770148526898E-2</v>
      </c>
      <c r="O63" s="2716">
        <f t="shared" si="42"/>
        <v>1.063264221158958E-2</v>
      </c>
      <c r="P63" s="2716">
        <f t="shared" si="43"/>
        <v>2.2244466688911134E-2</v>
      </c>
      <c r="Q63" s="2716">
        <f t="shared" si="43"/>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2621</v>
      </c>
      <c r="B64" s="2718">
        <v>111</v>
      </c>
      <c r="C64" s="2718">
        <v>114</v>
      </c>
      <c r="D64" s="2718">
        <f t="shared" si="12"/>
        <v>114</v>
      </c>
      <c r="E64" s="2718">
        <v>108</v>
      </c>
      <c r="F64" s="2719">
        <v>104</v>
      </c>
      <c r="G64" s="3577">
        <v>2003</v>
      </c>
      <c r="H64" s="2708">
        <v>4</v>
      </c>
      <c r="I64" s="2720"/>
      <c r="J64" s="2720"/>
      <c r="K64" s="2720"/>
      <c r="L64" s="2720"/>
      <c r="N64" s="2721"/>
      <c r="O64" s="2720"/>
      <c r="P64" s="2720"/>
      <c r="Q64" s="2720"/>
      <c r="S64" s="2721"/>
      <c r="T64" s="2720"/>
      <c r="U64" s="2720"/>
      <c r="V64" s="2720"/>
      <c r="X64" s="2712"/>
      <c r="Y64" s="2712"/>
      <c r="Z64" s="2712"/>
    </row>
    <row r="65" spans="1:26">
      <c r="A65" s="2653" t="s">
        <v>2622</v>
      </c>
      <c r="B65" s="2722">
        <f t="shared" ref="B65:C67" si="46">B66+(B$64-B$68)/4</f>
        <v>109.75</v>
      </c>
      <c r="C65" s="2722">
        <f t="shared" si="46"/>
        <v>112.25</v>
      </c>
      <c r="D65" s="2722">
        <f t="shared" si="12"/>
        <v>112.25</v>
      </c>
      <c r="E65" s="2722">
        <f t="shared" ref="E65:F67" si="47">E66+(E$64-E$68)/4</f>
        <v>107.25</v>
      </c>
      <c r="F65" s="2722">
        <f t="shared" si="47"/>
        <v>103.5</v>
      </c>
      <c r="G65" s="3578">
        <v>2003</v>
      </c>
      <c r="H65" s="2678">
        <v>3</v>
      </c>
      <c r="I65" s="2720"/>
      <c r="J65" s="2720"/>
      <c r="K65" s="2720"/>
      <c r="L65" s="2720"/>
      <c r="X65" s="2712"/>
      <c r="Y65" s="2712"/>
      <c r="Z65" s="2712"/>
    </row>
    <row r="66" spans="1:26">
      <c r="A66" s="2653" t="s">
        <v>2623</v>
      </c>
      <c r="B66" s="2722">
        <f t="shared" si="46"/>
        <v>108.5</v>
      </c>
      <c r="C66" s="2722">
        <f t="shared" si="46"/>
        <v>110.5</v>
      </c>
      <c r="D66" s="2722">
        <f t="shared" si="12"/>
        <v>110.5</v>
      </c>
      <c r="E66" s="2722">
        <f t="shared" si="47"/>
        <v>106.5</v>
      </c>
      <c r="F66" s="2722">
        <f t="shared" si="47"/>
        <v>103</v>
      </c>
      <c r="G66" s="3578">
        <v>2003</v>
      </c>
      <c r="H66" s="2658">
        <v>2</v>
      </c>
      <c r="I66" s="2720"/>
      <c r="J66" s="2720"/>
      <c r="K66" s="2720"/>
      <c r="L66" s="2720"/>
      <c r="X66" s="2712"/>
      <c r="Y66" s="2712"/>
      <c r="Z66" s="2712"/>
    </row>
    <row r="67" spans="1:26" ht="13.5" thickBot="1">
      <c r="A67" s="2653" t="s">
        <v>2624</v>
      </c>
      <c r="B67" s="2722">
        <f t="shared" si="46"/>
        <v>107.25</v>
      </c>
      <c r="C67" s="2722">
        <f t="shared" si="46"/>
        <v>108.75</v>
      </c>
      <c r="D67" s="2722">
        <f t="shared" si="12"/>
        <v>108.75</v>
      </c>
      <c r="E67" s="2722">
        <f t="shared" si="47"/>
        <v>105.75</v>
      </c>
      <c r="F67" s="2722">
        <f t="shared" si="47"/>
        <v>102.5</v>
      </c>
      <c r="G67" s="3579">
        <v>2003</v>
      </c>
      <c r="H67" s="2723">
        <v>1</v>
      </c>
      <c r="I67" s="2720"/>
      <c r="J67" s="2720"/>
      <c r="K67" s="2720"/>
      <c r="L67" s="2720"/>
      <c r="S67" s="2662"/>
      <c r="T67" s="2663"/>
      <c r="U67" s="2663"/>
      <c r="X67" s="2712"/>
      <c r="Y67" s="2712"/>
      <c r="Z67" s="2712"/>
    </row>
    <row r="68" spans="1:26" ht="13.5" thickBot="1">
      <c r="A68" s="2653" t="s">
        <v>2625</v>
      </c>
      <c r="B68" s="2724">
        <v>106</v>
      </c>
      <c r="C68" s="2724">
        <v>107</v>
      </c>
      <c r="D68" s="2724">
        <f t="shared" si="12"/>
        <v>107</v>
      </c>
      <c r="E68" s="2724">
        <v>105</v>
      </c>
      <c r="F68" s="2725">
        <v>102</v>
      </c>
      <c r="G68" s="3577">
        <v>2002</v>
      </c>
      <c r="H68" s="2673">
        <v>4</v>
      </c>
      <c r="I68" s="2720"/>
      <c r="J68" s="2720"/>
      <c r="K68" s="2720"/>
      <c r="L68" s="2720"/>
      <c r="N68" s="2721"/>
      <c r="O68" s="2720"/>
      <c r="P68" s="2720"/>
      <c r="Q68" s="2720"/>
      <c r="S68" s="2721"/>
      <c r="T68" s="2720"/>
      <c r="U68" s="2720"/>
      <c r="V68" s="2720"/>
      <c r="X68" s="2712"/>
      <c r="Y68" s="2712"/>
      <c r="Z68" s="2712"/>
    </row>
    <row r="69" spans="1:26">
      <c r="A69" s="2653" t="s">
        <v>2626</v>
      </c>
      <c r="B69" s="2722">
        <f t="shared" ref="B69:C71" si="48">B70+(B$68-B$72)/4</f>
        <v>105</v>
      </c>
      <c r="C69" s="2722">
        <f t="shared" si="48"/>
        <v>106</v>
      </c>
      <c r="D69" s="2722">
        <f t="shared" si="12"/>
        <v>106</v>
      </c>
      <c r="E69" s="2722">
        <f t="shared" ref="E69:F71" si="49">E70+(E$68-E$72)/4</f>
        <v>104.5</v>
      </c>
      <c r="F69" s="2722">
        <f t="shared" si="49"/>
        <v>101.5</v>
      </c>
      <c r="G69" s="3578">
        <v>2002</v>
      </c>
      <c r="H69" s="2678">
        <v>3</v>
      </c>
      <c r="I69" s="2720"/>
      <c r="J69" s="2720"/>
      <c r="K69" s="2720"/>
      <c r="L69" s="2720"/>
      <c r="X69" s="2712"/>
      <c r="Y69" s="2712"/>
      <c r="Z69" s="2712"/>
    </row>
    <row r="70" spans="1:26">
      <c r="A70" s="2653" t="s">
        <v>2627</v>
      </c>
      <c r="B70" s="2722">
        <f t="shared" si="48"/>
        <v>104</v>
      </c>
      <c r="C70" s="2722">
        <f t="shared" si="48"/>
        <v>105</v>
      </c>
      <c r="D70" s="2722">
        <f t="shared" si="12"/>
        <v>105</v>
      </c>
      <c r="E70" s="2722">
        <f t="shared" si="49"/>
        <v>104</v>
      </c>
      <c r="F70" s="2722">
        <f t="shared" si="49"/>
        <v>101</v>
      </c>
      <c r="G70" s="3578">
        <v>2002</v>
      </c>
      <c r="H70" s="2658">
        <v>2</v>
      </c>
      <c r="I70" s="2720"/>
      <c r="J70" s="2720"/>
      <c r="K70" s="2720"/>
      <c r="L70" s="2720"/>
      <c r="X70" s="2712"/>
      <c r="Y70" s="2712"/>
      <c r="Z70" s="2712"/>
    </row>
    <row r="71" spans="1:26" s="2689" customFormat="1" ht="13.5" thickBot="1">
      <c r="A71" s="2685" t="s">
        <v>2628</v>
      </c>
      <c r="B71" s="2726">
        <f t="shared" si="48"/>
        <v>103</v>
      </c>
      <c r="C71" s="2726">
        <f t="shared" si="48"/>
        <v>104</v>
      </c>
      <c r="D71" s="2726">
        <f t="shared" si="12"/>
        <v>104</v>
      </c>
      <c r="E71" s="2726">
        <f t="shared" si="49"/>
        <v>103.5</v>
      </c>
      <c r="F71" s="2726">
        <f t="shared" si="49"/>
        <v>100.5</v>
      </c>
      <c r="G71" s="3579">
        <v>2002</v>
      </c>
      <c r="H71" s="2727">
        <v>1</v>
      </c>
      <c r="I71" s="2728"/>
      <c r="J71" s="2728"/>
      <c r="K71" s="2728"/>
      <c r="L71" s="2728"/>
      <c r="N71" s="2729"/>
      <c r="S71" s="2729"/>
      <c r="X71" s="2730"/>
      <c r="Y71" s="2730"/>
      <c r="Z71" s="2730"/>
    </row>
    <row r="72" spans="1:26" ht="13.5" thickBot="1">
      <c r="B72" s="2731">
        <v>102</v>
      </c>
      <c r="C72" s="2732">
        <v>103</v>
      </c>
      <c r="D72" s="2732">
        <f t="shared" si="12"/>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2629</v>
      </c>
      <c r="G74" s="2736"/>
      <c r="N74" s="2736"/>
      <c r="S74" s="2736"/>
    </row>
    <row r="75" spans="1:26" s="2735" customFormat="1">
      <c r="A75" s="2735" t="s">
        <v>2630</v>
      </c>
      <c r="G75" s="2736"/>
      <c r="N75" s="2736"/>
      <c r="S75" s="2736"/>
    </row>
    <row r="76" spans="1:26" s="2735" customFormat="1">
      <c r="A76" s="2735" t="s">
        <v>2631</v>
      </c>
      <c r="G76" s="2736"/>
      <c r="I76" s="2737"/>
      <c r="J76" s="2737"/>
      <c r="K76" s="2737"/>
      <c r="L76" s="2737"/>
      <c r="N76" s="2738"/>
      <c r="O76" s="2737"/>
      <c r="P76" s="2737"/>
      <c r="Q76" s="2737"/>
      <c r="S76" s="2738"/>
      <c r="T76" s="2737"/>
      <c r="U76" s="2737"/>
      <c r="V76" s="2737"/>
    </row>
    <row r="77" spans="1:26" s="2735" customFormat="1">
      <c r="A77" s="2735" t="s">
        <v>2632</v>
      </c>
      <c r="G77" s="2736"/>
      <c r="N77" s="2736"/>
      <c r="S77" s="2736"/>
    </row>
    <row r="84" spans="7:22" ht="13.5" thickBot="1"/>
    <row r="85" spans="7:22">
      <c r="G85" s="2661"/>
      <c r="S85" s="2739" t="s">
        <v>2633</v>
      </c>
      <c r="T85" s="2740" t="s">
        <v>2634</v>
      </c>
      <c r="U85" s="2740" t="s">
        <v>2635</v>
      </c>
      <c r="V85" s="2740" t="s">
        <v>2636</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北京万龙华房地产开发有限公司 ：</v>
      </c>
    </row>
    <row r="4" spans="1:4" ht="37.5">
      <c r="A4" s="1790" t="str">
        <f>"受贵公司委托，我公司对"&amp;项目基本情况!K2&amp;项目基本情况!B9&amp;"进行了预评估。"</f>
        <v>受贵公司委托，我公司对北京市顺义区高丽营镇于庄03-21地块出让国有建设用地使用权抵押价格进行了预评估。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估价对象为使用的、位于北京市顺义区高丽营镇于庄03-21地块出让国有建设用地使用权。根据，估价对象（分摊）出让国有建设用地使用权面积为62541.33平方米。根据，估价对象规划建筑面积为169816平方米。</v>
      </c>
    </row>
    <row r="7" spans="1:4" ht="56.25">
      <c r="A7" s="1794" t="s">
        <v>2744</v>
      </c>
    </row>
    <row r="8" spans="1:4" ht="18.75">
      <c r="A8" s="1793" t="s">
        <v>1907</v>
      </c>
    </row>
    <row r="9" spans="1:4" ht="75">
      <c r="A9" s="1795" t="str">
        <f>IF(项目基本情况!B8="抵押",IF(项目基本情况!B5=项目基本情况!B6,定义!C51,定义!B51),定义!D51)</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2018年12月10日（评估专业人员勘察现场之日）</v>
      </c>
    </row>
    <row r="12" spans="1:4" ht="18.75">
      <c r="A12" s="1796" t="s">
        <v>2025</v>
      </c>
    </row>
    <row r="13" spans="1:4" ht="18.75">
      <c r="A13" s="1790" t="s">
        <v>2929</v>
      </c>
    </row>
    <row r="14" spans="1:4" ht="37.5">
      <c r="A14" s="1790" t="str">
        <f>"根据"&amp;项目基本情况!F12&amp;"，本次评估估价对象证载（地类）用途为"&amp;项目基本情况!B12&amp;"。"</f>
        <v>根据，本次评估估价对象证载（地类）用途为住宅、商业、地下仓储、地下车库。</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本次评估设定用途即为证载用途住宅、商业、地下仓储、地下车库。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由于估价对象已完成通平、具备施工条件，因此本次评估设定土地开发程度为红线外市政基础设施达“三通”、宗地红线内场地平整。本次评估估价结果不包含上述在建工程或已建建筑物价格。</v>
      </c>
    </row>
    <row r="19" spans="1:1" ht="18.75">
      <c r="A19" s="1790" t="s">
        <v>2073</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根据，估价对象（分摊）出让国有建设用地使用权面积为62541.33平方米。根据，估价对象规划建筑面积为169816平方米。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7月27日、商业2057年7月27日地下车库2067年7月27日、仓储2067年7月27日。截至估价期日，出让国有建设用地使用权剩余土地使用年限为住宅68.8年、商业38.8年、地下车库48.8年、仓储48.8。</v>
      </c>
    </row>
    <row r="23" spans="1:1" ht="37.5">
      <c r="A23" s="1790" t="str">
        <f>IF(项目基本情况!B16="出让","本次评估设定估价对象剩余土地使用年限为"&amp;项目基本情况!D20&amp;"。","")</f>
        <v>本次评估设定估价对象剩余土地使用年限为住宅68.8年、商业38.8年、地下车库48.8年、仓储48.8。</v>
      </c>
    </row>
    <row r="24" spans="1:1" ht="18.75">
      <c r="A24" s="1790" t="s">
        <v>2075</v>
      </c>
    </row>
    <row r="25" spans="1:1" ht="112.5">
      <c r="A25" s="1790" t="str">
        <f>定义!C53</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E38" sqref="E3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3201</v>
      </c>
      <c r="D1" s="3120" t="s">
        <v>3233</v>
      </c>
      <c r="E1" s="2385" t="s">
        <v>2372</v>
      </c>
      <c r="F1" s="2386">
        <f ca="1">J53</f>
        <v>66.67</v>
      </c>
      <c r="G1" s="773">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60731</v>
      </c>
      <c r="C2" s="2055"/>
      <c r="D2" s="2053"/>
      <c r="E2" s="2054"/>
      <c r="F2" s="2054"/>
      <c r="G2" s="1589"/>
      <c r="H2" s="2055"/>
      <c r="I2" s="2055"/>
      <c r="J2" s="2055"/>
      <c r="K2" s="2056"/>
      <c r="L2" s="2055"/>
      <c r="M2" s="2055"/>
    </row>
    <row r="3" spans="1:33" ht="18" customHeight="1" thickBot="1">
      <c r="A3" s="832" t="s">
        <v>1728</v>
      </c>
      <c r="B3" s="833">
        <f ca="1">IF(ISERROR(B2*10000/F43),0,ROUND(B2*10000/F43,0))</f>
        <v>25549</v>
      </c>
      <c r="C3" s="2055"/>
      <c r="D3" s="2053"/>
      <c r="E3" s="2054"/>
      <c r="F3" s="2054"/>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2346</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2343</v>
      </c>
      <c r="D6" s="2495" t="s">
        <v>2460</v>
      </c>
      <c r="E6" s="783" t="s">
        <v>1739</v>
      </c>
      <c r="F6" s="784">
        <f ca="1">INDIRECT("'数据-取费表'!u"&amp;$G$1)</f>
        <v>3</v>
      </c>
      <c r="G6" s="1591"/>
      <c r="H6" s="2502" t="s">
        <v>2466</v>
      </c>
      <c r="I6" s="3571" t="s">
        <v>2461</v>
      </c>
      <c r="J6" s="782">
        <f ca="1">ROUND(M6*M8*M7*(1-M9)/10000,0)</f>
        <v>0</v>
      </c>
      <c r="K6" s="340" t="s">
        <v>1738</v>
      </c>
      <c r="L6" s="783" t="s">
        <v>1739</v>
      </c>
      <c r="M6" s="784">
        <f ca="1">INDIRECT("'数据-取费表'!z"&amp;$G$1)</f>
        <v>0</v>
      </c>
    </row>
    <row r="7" spans="1:33" ht="18" customHeight="1">
      <c r="A7" s="2498"/>
      <c r="B7" s="3572"/>
      <c r="C7" s="787"/>
      <c r="D7" s="788"/>
      <c r="E7" s="783" t="s">
        <v>1740</v>
      </c>
      <c r="F7" s="784">
        <f ca="1">IF(INDIRECT("'数据-取费表'!ah"&amp;$G$1)="",INDIRECT("'数据-取费表'!k"&amp;$G$1),INDIRECT("'数据-取费表'!ah"&amp;$G$1))</f>
        <v>23770.38</v>
      </c>
      <c r="G7" s="1591"/>
      <c r="H7" s="2487"/>
      <c r="I7" s="3572"/>
      <c r="J7" s="787"/>
      <c r="K7" s="788"/>
      <c r="L7" s="783" t="s">
        <v>1740</v>
      </c>
      <c r="M7" s="784">
        <f ca="1">F7</f>
        <v>23770.38</v>
      </c>
    </row>
    <row r="8" spans="1:33" ht="18" customHeight="1">
      <c r="A8" s="2491"/>
      <c r="B8" s="3573"/>
      <c r="C8" s="787"/>
      <c r="D8" s="788"/>
      <c r="E8" s="783" t="s">
        <v>1741</v>
      </c>
      <c r="F8" s="784">
        <f ca="1">INDIRECT("'数据-取费表'!ai"&amp;$G$1)</f>
        <v>365</v>
      </c>
      <c r="G8" s="1591"/>
      <c r="H8" s="2487"/>
      <c r="I8" s="3573"/>
      <c r="J8" s="787"/>
      <c r="K8" s="788"/>
      <c r="L8" s="783" t="s">
        <v>1741</v>
      </c>
      <c r="M8" s="784">
        <f ca="1">INDIRECT("'数据-取费表'!ai"&amp;$G$1)</f>
        <v>365</v>
      </c>
    </row>
    <row r="9" spans="1:33" ht="18" customHeight="1">
      <c r="A9" s="785"/>
      <c r="B9" s="3574"/>
      <c r="C9" s="787"/>
      <c r="D9" s="788"/>
      <c r="E9" s="783" t="s">
        <v>1742</v>
      </c>
      <c r="F9" s="793">
        <f ca="1">INDIRECT("'数据-取费表'!w"&amp;$G$1)</f>
        <v>0.1</v>
      </c>
      <c r="G9" s="1591"/>
      <c r="H9" s="2503"/>
      <c r="I9" s="3573"/>
      <c r="J9" s="787"/>
      <c r="K9" s="788"/>
      <c r="L9" s="794" t="s">
        <v>1742</v>
      </c>
      <c r="M9" s="795">
        <f ca="1">INDIRECT("'数据-取费表'!ab"&amp;$G$1)</f>
        <v>0</v>
      </c>
    </row>
    <row r="10" spans="1:33" ht="18" customHeight="1">
      <c r="A10" s="1828" t="s">
        <v>2464</v>
      </c>
      <c r="B10" s="2492" t="s">
        <v>2457</v>
      </c>
      <c r="C10" s="798">
        <f ca="1">ROUND(IF(F10="押一",C6/12*F11,IF(F10="押二",C6/12*2*F11,IF(F10="押三",C6/12*3*F11,C11*F11))),0)</f>
        <v>3</v>
      </c>
      <c r="D10" s="2499" t="s">
        <v>2962</v>
      </c>
      <c r="E10" s="2496" t="s">
        <v>2462</v>
      </c>
      <c r="F10" s="2619" t="s">
        <v>3234</v>
      </c>
      <c r="G10" s="1591"/>
      <c r="H10" s="2559" t="s">
        <v>2467</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2463</v>
      </c>
      <c r="F11" s="795">
        <f ca="1">'数据-取费表'!B39</f>
        <v>1.4999999999999999E-2</v>
      </c>
      <c r="G11" s="1591"/>
      <c r="H11" s="2560"/>
      <c r="I11" s="2493" t="s">
        <v>2571</v>
      </c>
      <c r="J11" s="2497"/>
      <c r="K11" s="2561"/>
      <c r="L11" s="2496" t="s">
        <v>2463</v>
      </c>
      <c r="M11" s="2490">
        <f ca="1">'数据-取费表'!B39</f>
        <v>1.4999999999999999E-2</v>
      </c>
    </row>
    <row r="12" spans="1:33" ht="18" customHeight="1" thickBot="1">
      <c r="A12" s="2535" t="s">
        <v>2465</v>
      </c>
      <c r="B12" s="2536" t="s">
        <v>2458</v>
      </c>
      <c r="C12" s="2537"/>
      <c r="D12" s="2538"/>
      <c r="E12" s="2539"/>
      <c r="F12" s="2540"/>
      <c r="G12" s="1591"/>
      <c r="H12" s="2549" t="s">
        <v>2468</v>
      </c>
      <c r="I12" s="2562" t="s">
        <v>2458</v>
      </c>
      <c r="J12" s="2563"/>
      <c r="K12" s="2538"/>
      <c r="L12" s="2539"/>
      <c r="M12" s="2552"/>
    </row>
    <row r="13" spans="1:33" ht="18" customHeight="1" thickTop="1">
      <c r="A13" s="1827">
        <v>2</v>
      </c>
      <c r="B13" s="1825" t="s">
        <v>1743</v>
      </c>
      <c r="C13" s="791">
        <f ca="1">ROUND(C29*F13,0)</f>
        <v>13573</v>
      </c>
      <c r="D13" s="1832" t="s">
        <v>2297</v>
      </c>
      <c r="E13" s="1832" t="s">
        <v>1745</v>
      </c>
      <c r="F13" s="2534">
        <f ca="1">INDIRECT("'数据-取费表'!y"&amp;$G$1)</f>
        <v>1</v>
      </c>
      <c r="G13" s="1591"/>
      <c r="H13" s="1827">
        <v>2</v>
      </c>
      <c r="I13" s="1825" t="s">
        <v>1743</v>
      </c>
      <c r="J13" s="1817">
        <f ca="1">ROUND(J14*J15,0)</f>
        <v>0</v>
      </c>
      <c r="K13" s="1819" t="s">
        <v>1744</v>
      </c>
      <c r="L13" s="2550"/>
      <c r="M13" s="2551"/>
    </row>
    <row r="14" spans="1:33" ht="18" customHeight="1">
      <c r="A14" s="1647" t="s">
        <v>1885</v>
      </c>
      <c r="B14" s="783" t="s">
        <v>645</v>
      </c>
      <c r="C14" s="803">
        <f ca="1">INDIRECT("'数据-取费表'!m"&amp;$G$1)+INDIRECT("'数据-取费表'!t"&amp;$G$1)</f>
        <v>9975</v>
      </c>
      <c r="D14" s="3242" t="s">
        <v>1746</v>
      </c>
      <c r="E14" s="3241"/>
      <c r="F14" s="804"/>
      <c r="G14" s="1591"/>
      <c r="H14" s="1648" t="s">
        <v>1831</v>
      </c>
      <c r="I14" s="2229" t="s">
        <v>2822</v>
      </c>
      <c r="J14" s="53">
        <f ca="1">C29</f>
        <v>13573</v>
      </c>
      <c r="K14" s="26"/>
      <c r="L14" s="800"/>
      <c r="M14" s="801"/>
    </row>
    <row r="15" spans="1:33" s="2062" customFormat="1" ht="18" customHeight="1" thickBot="1">
      <c r="A15" s="1647" t="s">
        <v>1886</v>
      </c>
      <c r="B15" s="783" t="s">
        <v>647</v>
      </c>
      <c r="C15" s="53">
        <f ca="1">ROUND(C14*F15,0)</f>
        <v>299</v>
      </c>
      <c r="D15" s="805" t="s">
        <v>1747</v>
      </c>
      <c r="E15" s="805" t="s">
        <v>1748</v>
      </c>
      <c r="F15" s="806">
        <f>'数据-取费表'!B33</f>
        <v>0.03</v>
      </c>
      <c r="G15" s="1592"/>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3">
        <f ca="1">ROUND(INDIRECT("'数据-取费表'!m"&amp;$G$1)*F16,0)</f>
        <v>285</v>
      </c>
      <c r="D16" s="783" t="s">
        <v>1747</v>
      </c>
      <c r="E16" s="783" t="s">
        <v>1748</v>
      </c>
      <c r="F16" s="808">
        <f ca="1">IF(INDIRECT("'数据-取费表'!c"&amp;$G$1)="住宅",'数据-取费表'!B34,0)</f>
        <v>0.03</v>
      </c>
      <c r="G16" s="1591"/>
      <c r="H16" s="1827" t="s">
        <v>1749</v>
      </c>
      <c r="I16" s="1825" t="s">
        <v>1750</v>
      </c>
      <c r="J16" s="791">
        <f ca="1">ROUND(J17+J22+J23+J24,0)</f>
        <v>1345</v>
      </c>
      <c r="K16" s="1819" t="s">
        <v>1751</v>
      </c>
      <c r="L16" s="3244"/>
      <c r="M16" s="2489"/>
    </row>
    <row r="17" spans="1:33" s="2062" customFormat="1" ht="18" customHeight="1">
      <c r="A17" s="1647" t="s">
        <v>1888</v>
      </c>
      <c r="B17" s="783" t="s">
        <v>653</v>
      </c>
      <c r="C17" s="53">
        <f ca="1">ROUND(F17*(F43+INDIRECT("'数据-取费表'!S"&amp;$G$1))/10000,0)</f>
        <v>514</v>
      </c>
      <c r="D17" s="783" t="s">
        <v>1752</v>
      </c>
      <c r="E17" s="783" t="s">
        <v>1753</v>
      </c>
      <c r="F17" s="56">
        <f>'数据-取费表'!B35</f>
        <v>200</v>
      </c>
      <c r="G17" s="1592"/>
      <c r="H17" s="1648" t="s">
        <v>1831</v>
      </c>
      <c r="I17" s="783" t="s">
        <v>656</v>
      </c>
      <c r="J17" s="53">
        <f ca="1">ROUND(IF(项目基本情况!B11="自然人",J5*M17,J18+J19+J20),0)</f>
        <v>1141</v>
      </c>
      <c r="K17" s="3242" t="s">
        <v>1754</v>
      </c>
      <c r="L17" s="3243" t="s">
        <v>1755</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150</v>
      </c>
      <c r="D18" s="783" t="s">
        <v>1747</v>
      </c>
      <c r="E18" s="783" t="s">
        <v>1748</v>
      </c>
      <c r="F18" s="808">
        <f>'数据-取费表'!B36</f>
        <v>1.4999999999999999E-2</v>
      </c>
      <c r="G18" s="1592"/>
      <c r="H18" s="1647" t="s">
        <v>1885</v>
      </c>
      <c r="I18" s="783" t="s">
        <v>1756</v>
      </c>
      <c r="J18" s="53">
        <f ca="1">ROUND(J5*M18/1.05,1)</f>
        <v>0</v>
      </c>
      <c r="K18" s="3243" t="s">
        <v>1757</v>
      </c>
      <c r="L18" s="783" t="s">
        <v>1748</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3">
        <f ca="1">SUM(C14:C18)</f>
        <v>11223</v>
      </c>
      <c r="D19" s="260" t="s">
        <v>1758</v>
      </c>
      <c r="E19" s="3245"/>
      <c r="F19" s="56"/>
      <c r="G19" s="1591"/>
      <c r="H19" s="1647" t="s">
        <v>1886</v>
      </c>
      <c r="I19" s="783" t="s">
        <v>1759</v>
      </c>
      <c r="J19" s="53">
        <f ca="1">IF(K19="按租金收入计税",ROUND(J5*M19,1),ROUND(C29*F33*0.7,1))</f>
        <v>1140.0999999999999</v>
      </c>
      <c r="K19" s="810" t="s">
        <v>665</v>
      </c>
      <c r="L19" s="783" t="s">
        <v>1748</v>
      </c>
      <c r="M19" s="808">
        <f>IF(K19="按租金收入计税",'数据-取费表'!B51,'数据-取费表'!B50)</f>
        <v>1.2E-2</v>
      </c>
    </row>
    <row r="20" spans="1:33" s="2062" customFormat="1" ht="18" customHeight="1">
      <c r="A20" s="1648" t="s">
        <v>1890</v>
      </c>
      <c r="B20" s="783" t="s">
        <v>666</v>
      </c>
      <c r="C20" s="53">
        <f ca="1">ROUND(C19*F20,0)</f>
        <v>224</v>
      </c>
      <c r="D20" s="811" t="s">
        <v>1760</v>
      </c>
      <c r="E20" s="783" t="s">
        <v>1748</v>
      </c>
      <c r="F20" s="808">
        <f>'数据-取费表'!B37</f>
        <v>0.02</v>
      </c>
      <c r="G20" s="1592"/>
      <c r="H20" s="1650" t="s">
        <v>1881</v>
      </c>
      <c r="I20" s="340" t="s">
        <v>1761</v>
      </c>
      <c r="J20" s="54">
        <f ca="1">ROUND(M20*M21/10000,0)</f>
        <v>1</v>
      </c>
      <c r="K20" s="813" t="s">
        <v>1762</v>
      </c>
      <c r="L20" s="783" t="s">
        <v>1763</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3" t="s">
        <v>1765</v>
      </c>
      <c r="D21" s="811" t="s">
        <v>2298</v>
      </c>
      <c r="E21" s="783" t="s">
        <v>1766</v>
      </c>
      <c r="F21" s="808">
        <f>'数据-取费表'!B38</f>
        <v>0.02</v>
      </c>
      <c r="G21" s="1592"/>
      <c r="H21" s="2504"/>
      <c r="I21" s="792"/>
      <c r="J21" s="69"/>
      <c r="K21" s="815"/>
      <c r="L21" s="783" t="s">
        <v>1767</v>
      </c>
      <c r="M21" s="784">
        <f ca="1">INDIRECT("'数据-取费表'!r"&amp;$G$1)</f>
        <v>9604.5</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3"/>
      <c r="D22" s="2570" t="str">
        <f>IF(F23&lt;=1,"单利计息。","复利计息。")&amp;"建造成本、管理费用、销售费用产生的利息。"</f>
        <v>复利计息。建造成本、管理费用、销售费用产生的利息。</v>
      </c>
      <c r="E22" s="3245"/>
      <c r="F22" s="56"/>
      <c r="G22" s="1591"/>
      <c r="H22" s="1648" t="s">
        <v>1890</v>
      </c>
      <c r="I22" s="783" t="s">
        <v>1769</v>
      </c>
      <c r="J22" s="53">
        <f ca="1">ROUND(J14*M22,0)</f>
        <v>204</v>
      </c>
      <c r="K22" s="3243" t="s">
        <v>1770</v>
      </c>
      <c r="L22" s="783" t="s">
        <v>1748</v>
      </c>
      <c r="M22" s="816">
        <f ca="1">INDIRECT("'数据-取费表'!Ak"&amp;$G$1)</f>
        <v>1.4999999999999999E-2</v>
      </c>
    </row>
    <row r="23" spans="1:33" s="2062" customFormat="1" ht="18" customHeight="1">
      <c r="A23" s="1647" t="s">
        <v>1832</v>
      </c>
      <c r="B23" s="783" t="s">
        <v>2533</v>
      </c>
      <c r="C23" s="53">
        <f ca="1">ROUND(IF('数据-取费表'!B22&lt;=1,(C19+C20)*F24*F23/2,(C19+C20)*(POWER((1+F24),F23/2)-1)),0)</f>
        <v>544</v>
      </c>
      <c r="D23" s="2569"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3243" t="s">
        <v>1772</v>
      </c>
      <c r="L23" s="783" t="s">
        <v>1748</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3">
        <f ca="1">ROUND(IF('数据-取费表'!B22&lt;=1,F21*F24*F23/2,F21*(POWER((1+F24),F23/2)-1)),4)</f>
        <v>1E-3</v>
      </c>
      <c r="D24" s="2569" t="str">
        <f>IF(F23&lt;=1,"销售费用×利率×(建设周期÷2)","销售费用×((1+利率)^(建设周期÷2)-1)")</f>
        <v>销售费用×((1+利率)^(建设周期÷2)-1)</v>
      </c>
      <c r="E24" s="783" t="s">
        <v>1774</v>
      </c>
      <c r="F24" s="818">
        <f ca="1">'数据-取费表'!B40</f>
        <v>4.7500000000000001E-2</v>
      </c>
      <c r="G24" s="1592"/>
      <c r="H24" s="2549" t="s">
        <v>1892</v>
      </c>
      <c r="I24" s="2544" t="s">
        <v>666</v>
      </c>
      <c r="J24" s="2542">
        <f ca="1">ROUND(J5*M24,0)</f>
        <v>0</v>
      </c>
      <c r="K24" s="2543" t="s">
        <v>1775</v>
      </c>
      <c r="L24" s="2544" t="s">
        <v>1748</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1776</v>
      </c>
      <c r="E25" s="3245"/>
      <c r="F25" s="56"/>
      <c r="G25" s="1591"/>
      <c r="H25" s="1827" t="s">
        <v>1777</v>
      </c>
      <c r="I25" s="3007" t="s">
        <v>2819</v>
      </c>
      <c r="J25" s="791">
        <f ca="1">J5-J16</f>
        <v>-1345</v>
      </c>
      <c r="K25" s="2546" t="s">
        <v>1778</v>
      </c>
      <c r="L25" s="2547"/>
      <c r="M25" s="2548"/>
    </row>
    <row r="26" spans="1:33" ht="18" customHeight="1">
      <c r="A26" s="1647" t="s">
        <v>1832</v>
      </c>
      <c r="B26" s="783" t="s">
        <v>2436</v>
      </c>
      <c r="C26" s="53">
        <f ca="1">ROUND((C19+C20)*F26,0)</f>
        <v>572</v>
      </c>
      <c r="D26" s="811" t="s">
        <v>1779</v>
      </c>
      <c r="E26" s="794" t="s">
        <v>1780</v>
      </c>
      <c r="F26" s="793">
        <f ca="1">INDIRECT("'数据-取费表'!q"&amp;$G$1)</f>
        <v>0.05</v>
      </c>
      <c r="G26" s="1591"/>
      <c r="H26" s="2500" t="s">
        <v>1781</v>
      </c>
      <c r="I26" s="2230" t="s">
        <v>2824</v>
      </c>
      <c r="J26" s="782">
        <f ca="1">IF(J5&lt;&gt;0,ROUND(J25*(1-((1+M28)/(1+M26))^M27)/(M26-M28),0),0)</f>
        <v>0</v>
      </c>
      <c r="K26" s="813" t="s">
        <v>1782</v>
      </c>
      <c r="L26" s="783" t="s">
        <v>2417</v>
      </c>
      <c r="M26" s="793">
        <f ca="1">INDIRECT("'数据-取费表'!I"&amp;$G$1)</f>
        <v>0.05</v>
      </c>
    </row>
    <row r="27" spans="1:33" ht="18" customHeight="1">
      <c r="A27" s="1647" t="s">
        <v>1833</v>
      </c>
      <c r="B27" s="783" t="s">
        <v>686</v>
      </c>
      <c r="C27" s="53">
        <f ca="1">ROUND(F21*F26,4)</f>
        <v>1E-3</v>
      </c>
      <c r="D27" s="811" t="s">
        <v>1783</v>
      </c>
      <c r="E27" s="805"/>
      <c r="F27" s="806"/>
      <c r="G27" s="1591"/>
      <c r="H27" s="2501"/>
      <c r="I27" s="786"/>
      <c r="J27" s="787"/>
      <c r="K27" s="820" t="s">
        <v>1784</v>
      </c>
      <c r="L27" s="783" t="s">
        <v>1785</v>
      </c>
      <c r="M27" s="821">
        <f ca="1">INDIRECT("'数据-取费表'!ag"&amp;$G$1)</f>
        <v>0</v>
      </c>
    </row>
    <row r="28" spans="1:33" s="2062" customFormat="1" ht="18" customHeight="1">
      <c r="A28" s="1649" t="s">
        <v>1842</v>
      </c>
      <c r="B28" s="783" t="s">
        <v>687</v>
      </c>
      <c r="C28" s="53">
        <f>ROUND(F28/(1+'数据-取费表'!C42),4)</f>
        <v>5.2400000000000002E-2</v>
      </c>
      <c r="D28" s="811" t="s">
        <v>2299</v>
      </c>
      <c r="E28" s="783" t="s">
        <v>1786</v>
      </c>
      <c r="F28" s="808">
        <f>'数据-取费表'!B41</f>
        <v>5.5000000000000007E-2</v>
      </c>
      <c r="G28" s="1592"/>
      <c r="H28" s="1827"/>
      <c r="I28" s="790"/>
      <c r="J28" s="791"/>
      <c r="K28" s="815"/>
      <c r="L28" s="783" t="s">
        <v>1787</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13573</v>
      </c>
      <c r="D29" s="2543"/>
      <c r="E29" s="2544"/>
      <c r="F29" s="2545"/>
      <c r="G29" s="1592"/>
      <c r="H29" s="822" t="s">
        <v>1788</v>
      </c>
      <c r="I29" s="823" t="s">
        <v>1789</v>
      </c>
      <c r="J29" s="824">
        <f ca="1">ROUND(J26/(1+F40)^F41,0)</f>
        <v>0</v>
      </c>
      <c r="K29" s="825" t="s">
        <v>1790</v>
      </c>
      <c r="L29" s="826"/>
      <c r="M29" s="827">
        <f ca="1">INDIRECT("'数据-取费表'!k"&amp;$G$1)</f>
        <v>23770.38</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665</v>
      </c>
      <c r="D30" s="1819" t="s">
        <v>1792</v>
      </c>
      <c r="E30" s="3244"/>
      <c r="F30" s="2489"/>
      <c r="G30" s="2060"/>
      <c r="H30" s="2063"/>
      <c r="I30" s="2064"/>
      <c r="J30" s="2065"/>
      <c r="K30" s="2066"/>
      <c r="L30" s="2067"/>
      <c r="M30" s="2068"/>
    </row>
    <row r="31" spans="1:33" ht="18" customHeight="1">
      <c r="A31" s="1648" t="s">
        <v>1831</v>
      </c>
      <c r="B31" s="783" t="s">
        <v>656</v>
      </c>
      <c r="C31" s="53">
        <f ca="1">ROUND(IF(项目基本情况!B11="自然人",C5*F31,C32+C33+C34),1)</f>
        <v>405.8</v>
      </c>
      <c r="D31" s="3242" t="s">
        <v>1793</v>
      </c>
      <c r="E31" s="3243"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3">
        <f ca="1">ROUND(C5*F32/1.05,1)</f>
        <v>122.9</v>
      </c>
      <c r="D32" s="3243"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3">
        <f ca="1">IF(D33="按租金收入计税",ROUND(C5*F33,1),IF(D33="按房产原值计税",ROUND(C29*F33*0.7,1),INDIRECT("'数据-取费表'!Aj"&amp;$G$1)))</f>
        <v>281.5</v>
      </c>
      <c r="D33" s="810" t="s">
        <v>3235</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4">
        <f ca="1">ROUND(F34*F35/10000,1)</f>
        <v>1.4</v>
      </c>
      <c r="D34" s="813" t="s">
        <v>1800</v>
      </c>
      <c r="E34" s="783" t="s">
        <v>1801</v>
      </c>
      <c r="F34" s="639">
        <f>'数据-取费表'!B52</f>
        <v>1.5</v>
      </c>
      <c r="G34" s="2060"/>
      <c r="H34" s="2063"/>
      <c r="I34" s="834" t="s">
        <v>1814</v>
      </c>
      <c r="J34" s="835"/>
      <c r="K34" s="2078"/>
      <c r="L34" s="2077"/>
      <c r="M34" s="2077"/>
    </row>
    <row r="35" spans="1:18" ht="18" customHeight="1">
      <c r="A35" s="814"/>
      <c r="B35" s="792"/>
      <c r="C35" s="69"/>
      <c r="D35" s="815"/>
      <c r="E35" s="783" t="s">
        <v>1802</v>
      </c>
      <c r="F35" s="784">
        <f ca="1">INDIRECT("'数据-取费表'!r"&amp;$G$1)</f>
        <v>9604.5</v>
      </c>
      <c r="G35" s="2060"/>
      <c r="H35" s="2063"/>
      <c r="I35" s="836" t="s">
        <v>1815</v>
      </c>
      <c r="J35" s="837">
        <f ca="1">ROUND(C13*J36,0)</f>
        <v>1154</v>
      </c>
      <c r="K35" s="2076"/>
      <c r="L35" s="2075"/>
      <c r="M35" s="2075"/>
    </row>
    <row r="36" spans="1:18" ht="18" customHeight="1">
      <c r="A36" s="1648" t="s">
        <v>1890</v>
      </c>
      <c r="B36" s="783" t="s">
        <v>1803</v>
      </c>
      <c r="C36" s="53">
        <f ca="1">ROUND(C29*F36,1)</f>
        <v>203.6</v>
      </c>
      <c r="D36" s="3243"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20.399999999999999</v>
      </c>
      <c r="D37" s="3243" t="s">
        <v>1805</v>
      </c>
      <c r="E37" s="783" t="s">
        <v>1797</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35.200000000000003</v>
      </c>
      <c r="D38" s="2543" t="s">
        <v>1806</v>
      </c>
      <c r="E38" s="2544" t="s">
        <v>1797</v>
      </c>
      <c r="F38" s="2540">
        <f ca="1">INDIRECT("'数据-取费表'!Am"&amp;$G$1)</f>
        <v>1.4999999999999999E-2</v>
      </c>
      <c r="G38" s="2060"/>
      <c r="H38" s="2075"/>
      <c r="I38" s="842" t="s">
        <v>1818</v>
      </c>
      <c r="J38" s="843"/>
      <c r="K38" s="2081"/>
      <c r="L38" s="2075"/>
      <c r="M38" s="2075"/>
    </row>
    <row r="39" spans="1:18" ht="24.6" customHeight="1" thickTop="1">
      <c r="A39" s="1827" t="s">
        <v>1895</v>
      </c>
      <c r="B39" s="3007" t="s">
        <v>2819</v>
      </c>
      <c r="C39" s="791">
        <f ca="1">C5-C30</f>
        <v>1681</v>
      </c>
      <c r="D39" s="2546" t="s">
        <v>1807</v>
      </c>
      <c r="E39" s="2547"/>
      <c r="F39" s="2548"/>
      <c r="G39" s="2060"/>
      <c r="H39" s="2075"/>
      <c r="I39" s="836" t="s">
        <v>1819</v>
      </c>
      <c r="J39" s="844">
        <f ca="1">ROUND(J35/C39,3)</f>
        <v>0.68600000000000005</v>
      </c>
      <c r="K39" s="2081"/>
      <c r="L39" s="2075"/>
      <c r="M39" s="2075"/>
    </row>
    <row r="40" spans="1:18" ht="18" customHeight="1">
      <c r="A40" s="780" t="s">
        <v>1896</v>
      </c>
      <c r="B40" s="2230" t="s">
        <v>2301</v>
      </c>
      <c r="C40" s="782">
        <f ca="1">ROUND(C39*(1-((1+F42)/(1+F40))^F41)/(F40-F42),0)</f>
        <v>60731</v>
      </c>
      <c r="D40" s="813" t="s">
        <v>1808</v>
      </c>
      <c r="E40" s="783" t="s">
        <v>2417</v>
      </c>
      <c r="F40" s="793">
        <f ca="1">INDIRECT("'数据-取费表'!I"&amp;$G$1)</f>
        <v>0.05</v>
      </c>
      <c r="G40" s="2060"/>
      <c r="H40" s="2060"/>
      <c r="I40" s="836" t="s">
        <v>1820</v>
      </c>
      <c r="J40" s="844">
        <f ca="1">1-J39</f>
        <v>0.31399999999999995</v>
      </c>
      <c r="K40" s="2081"/>
      <c r="L40" s="2060"/>
      <c r="M40" s="2060"/>
    </row>
    <row r="41" spans="1:18" ht="18" customHeight="1">
      <c r="A41" s="785"/>
      <c r="B41" s="786"/>
      <c r="C41" s="787"/>
      <c r="D41" s="820" t="s">
        <v>1809</v>
      </c>
      <c r="E41" s="783" t="s">
        <v>2952</v>
      </c>
      <c r="F41" s="821">
        <f ca="1">IF(INDIRECT("'数据-取费表'!af"&amp;$G$1)=0,INDIRECT("'数据-取费表'!ae"&amp;$G$1),INDIRECT("'数据-取费表'!af"&amp;$G$1))</f>
        <v>66.67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0.223</v>
      </c>
      <c r="K42" s="2080"/>
      <c r="L42" s="1986"/>
      <c r="M42" s="1986"/>
    </row>
    <row r="43" spans="1:18" ht="18" customHeight="1" thickBot="1">
      <c r="A43" s="822" t="s">
        <v>1788</v>
      </c>
      <c r="B43" s="823" t="s">
        <v>1811</v>
      </c>
      <c r="C43" s="824">
        <f ca="1">ROUND(C40*10000/F43,0)</f>
        <v>25549</v>
      </c>
      <c r="D43" s="825" t="s">
        <v>1812</v>
      </c>
      <c r="E43" s="826" t="s">
        <v>1813</v>
      </c>
      <c r="F43" s="827">
        <f ca="1">INDIRECT("'数据-取费表'!k"&amp;$G$1)</f>
        <v>23770.38</v>
      </c>
      <c r="G43" s="2060"/>
      <c r="H43" s="1986"/>
      <c r="I43" s="846" t="s">
        <v>1823</v>
      </c>
      <c r="J43" s="847">
        <f ca="1">1-J42</f>
        <v>0.77700000000000002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-65057</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70</v>
      </c>
      <c r="M47" s="1603" t="str">
        <f>IF(ISNUMBER(FIND("住宅",C1)),"住宅","非住宅")</f>
        <v>住宅</v>
      </c>
      <c r="O47" s="2393" t="s">
        <v>2373</v>
      </c>
      <c r="P47" s="2394" t="s">
        <v>2374</v>
      </c>
      <c r="Q47" s="2395" t="s">
        <v>2375</v>
      </c>
      <c r="R47" s="2394" t="s">
        <v>2376</v>
      </c>
    </row>
    <row r="48" spans="1:18" s="2057" customFormat="1" ht="18" customHeight="1" thickBot="1">
      <c r="A48" s="2640" t="s">
        <v>2535</v>
      </c>
      <c r="B48" s="2641" t="s">
        <v>2536</v>
      </c>
      <c r="C48" s="2372">
        <f ca="1">ROUND(F48*F50*F49*(1-F51)/10000,0)</f>
        <v>0</v>
      </c>
      <c r="D48" s="2373" t="s">
        <v>636</v>
      </c>
      <c r="E48" s="2374" t="s">
        <v>2296</v>
      </c>
      <c r="F48" s="2375"/>
      <c r="G48" s="2088"/>
      <c r="I48" s="3121" t="s">
        <v>2343</v>
      </c>
      <c r="J48" s="2380" t="s">
        <v>2348</v>
      </c>
      <c r="K48" s="3153" t="s">
        <v>2349</v>
      </c>
      <c r="L48" s="1906">
        <f ca="1">INDIRECT("'数据-取费表'!f"&amp;$G$1)</f>
        <v>68.67</v>
      </c>
      <c r="O48" s="2396" t="s">
        <v>2377</v>
      </c>
      <c r="P48" s="2397" t="s">
        <v>2403</v>
      </c>
      <c r="Q48" s="2398">
        <f ca="1">C40+J29</f>
        <v>60731</v>
      </c>
      <c r="R48" s="2397" t="s">
        <v>2378</v>
      </c>
    </row>
    <row r="49" spans="1:18" s="2057" customFormat="1" ht="18" customHeight="1" thickBot="1">
      <c r="A49" s="785"/>
      <c r="B49" s="786"/>
      <c r="C49" s="787"/>
      <c r="D49" s="788"/>
      <c r="E49" s="783" t="s">
        <v>1740</v>
      </c>
      <c r="F49" s="784">
        <f ca="1">F7</f>
        <v>23770.38</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1741</v>
      </c>
      <c r="F50" s="784">
        <f ca="1">F8</f>
        <v>365</v>
      </c>
      <c r="G50" s="2093"/>
      <c r="H50" s="2091"/>
      <c r="I50" s="3121" t="s">
        <v>2345</v>
      </c>
      <c r="J50" s="3149">
        <f>SUMPRODUCT((I63:I65=J47)*(J62:L62=J48)*(J63:L65))</f>
        <v>60</v>
      </c>
      <c r="K50" s="3154" t="s">
        <v>2351</v>
      </c>
      <c r="L50" s="2382"/>
      <c r="O50" s="2399" t="s">
        <v>2381</v>
      </c>
      <c r="P50" s="2397" t="s">
        <v>2405</v>
      </c>
      <c r="Q50" s="2398">
        <f ca="1">C29</f>
        <v>13573</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11147</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66.67</v>
      </c>
      <c r="K53" s="3587" t="s">
        <v>2954</v>
      </c>
      <c r="L53" s="3588"/>
      <c r="O53" s="2399" t="s">
        <v>2386</v>
      </c>
      <c r="P53" s="2397" t="s">
        <v>2387</v>
      </c>
      <c r="Q53" s="2398">
        <f ca="1">J53</f>
        <v>66.67</v>
      </c>
      <c r="R53" s="2397" t="s">
        <v>2388</v>
      </c>
    </row>
    <row r="54" spans="1:18" s="2057" customFormat="1" ht="18" customHeight="1" thickBot="1">
      <c r="A54" s="2535" t="s">
        <v>2465</v>
      </c>
      <c r="B54" s="2536" t="s">
        <v>2458</v>
      </c>
      <c r="C54" s="2537"/>
      <c r="D54" s="2499"/>
      <c r="E54" s="2496"/>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396" t="s">
        <v>2389</v>
      </c>
      <c r="P54" s="2397" t="s">
        <v>2406</v>
      </c>
      <c r="Q54" s="2398">
        <f ca="1">Q48+Q49</f>
        <v>60731</v>
      </c>
      <c r="R54" s="2401" t="s">
        <v>2390</v>
      </c>
    </row>
    <row r="55" spans="1:18" s="2057" customFormat="1" ht="18" customHeight="1" thickTop="1" thickBot="1">
      <c r="A55" s="796">
        <v>2</v>
      </c>
      <c r="B55" s="797" t="s">
        <v>644</v>
      </c>
      <c r="C55" s="798">
        <f ca="1">C13</f>
        <v>13573</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2302</v>
      </c>
      <c r="C56" s="53">
        <f ca="1">C29</f>
        <v>13573</v>
      </c>
      <c r="D56" s="3243"/>
      <c r="E56" s="783"/>
      <c r="F56" s="808"/>
      <c r="I56" s="3162" t="s">
        <v>2355</v>
      </c>
      <c r="J56" s="3172" t="s">
        <v>1679</v>
      </c>
      <c r="K56" s="3121" t="s">
        <v>2360</v>
      </c>
      <c r="L56" s="1906">
        <f ca="1">IF(L48&lt;J51,"——",L48-J51)</f>
        <v>6.6700000000000017</v>
      </c>
      <c r="O56" s="2393" t="s">
        <v>2373</v>
      </c>
      <c r="P56" s="2394" t="s">
        <v>2374</v>
      </c>
      <c r="Q56" s="2395" t="s">
        <v>2375</v>
      </c>
      <c r="R56" s="2394" t="s">
        <v>2376</v>
      </c>
    </row>
    <row r="57" spans="1:18" s="2057" customFormat="1" ht="28.5" customHeight="1" thickBot="1">
      <c r="A57" s="796" t="s">
        <v>1749</v>
      </c>
      <c r="B57" s="797" t="s">
        <v>651</v>
      </c>
      <c r="C57" s="798">
        <f ca="1">ROUND(C58+C63+C64+C65,0)</f>
        <v>225</v>
      </c>
      <c r="D57" s="26" t="s">
        <v>1751</v>
      </c>
      <c r="E57" s="3245"/>
      <c r="F57" s="56"/>
      <c r="I57" s="3163" t="s">
        <v>2356</v>
      </c>
      <c r="J57" s="3164" t="str">
        <f ca="1">IF(OR(M47="住宅",J51&lt;L48,J56="是"),"——",J51-L48)</f>
        <v>——</v>
      </c>
      <c r="K57" s="3121" t="s">
        <v>2361</v>
      </c>
      <c r="L57" s="1906">
        <f ca="1">IF(L48&lt;J51,"——",IF(L55="比较法",L49,IF(L55="基准地价",L50,L51)))</f>
        <v>11147</v>
      </c>
      <c r="O57" s="2396" t="s">
        <v>2377</v>
      </c>
      <c r="P57" s="2397" t="s">
        <v>2407</v>
      </c>
      <c r="Q57" s="2398">
        <f ca="1">C40+J29</f>
        <v>60731</v>
      </c>
      <c r="R57" s="2397" t="s">
        <v>2378</v>
      </c>
    </row>
    <row r="58" spans="1:18" s="2057" customFormat="1" ht="28.5" customHeight="1" thickBot="1">
      <c r="A58" s="1648" t="s">
        <v>1825</v>
      </c>
      <c r="B58" s="783" t="s">
        <v>656</v>
      </c>
      <c r="C58" s="53">
        <f ca="1">ROUND(IF(项目基本情况!B11="自然人",C47*F58,C59+C60+C61),1)</f>
        <v>1.4</v>
      </c>
      <c r="D58" s="3242" t="s">
        <v>657</v>
      </c>
      <c r="E58" s="3243"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43" t="s">
        <v>1757</v>
      </c>
      <c r="E59" s="783" t="s">
        <v>1748</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1759</v>
      </c>
      <c r="C60" s="53">
        <f ca="1">IF(D60="按租金收入计税",ROUND(C47*F60,1),IF(D60="按房产原值计税",ROUND(C56*F60*0.7,1),INDIRECT("'数据-取费表'!Aj"&amp;$G$1)))</f>
        <v>0</v>
      </c>
      <c r="D60" s="3243" t="str">
        <f>D33</f>
        <v>按租金收入计税</v>
      </c>
      <c r="E60" s="783" t="s">
        <v>1748</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1.4</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9604.5</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203.6</v>
      </c>
      <c r="D63" s="3243" t="s">
        <v>1804</v>
      </c>
      <c r="E63" s="783" t="s">
        <v>1748</v>
      </c>
      <c r="F63" s="816">
        <f t="shared" ca="1" si="0"/>
        <v>1.4999999999999999E-2</v>
      </c>
      <c r="I63" s="3168" t="s">
        <v>2368</v>
      </c>
      <c r="J63" s="3169">
        <v>70</v>
      </c>
      <c r="K63" s="3169">
        <v>50</v>
      </c>
      <c r="L63" s="3169">
        <v>80</v>
      </c>
      <c r="M63" s="3171">
        <v>0.02</v>
      </c>
      <c r="O63" s="2396" t="s">
        <v>2389</v>
      </c>
      <c r="P63" s="2397" t="s">
        <v>2406</v>
      </c>
      <c r="Q63" s="2398">
        <f ca="1">Q57+Q58</f>
        <v>60731</v>
      </c>
      <c r="R63" s="2401" t="s">
        <v>2390</v>
      </c>
    </row>
    <row r="64" spans="1:18" s="2057" customFormat="1" ht="16.5" thickBot="1">
      <c r="A64" s="1648" t="s">
        <v>1891</v>
      </c>
      <c r="B64" s="783" t="s">
        <v>679</v>
      </c>
      <c r="C64" s="53">
        <f ca="1">ROUND(C55*F64,1)</f>
        <v>20.399999999999999</v>
      </c>
      <c r="D64" s="3243" t="s">
        <v>680</v>
      </c>
      <c r="E64" s="783" t="s">
        <v>1748</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43" t="s">
        <v>683</v>
      </c>
      <c r="E65" s="783" t="s">
        <v>1748</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-225</v>
      </c>
      <c r="D66" s="3242" t="s">
        <v>700</v>
      </c>
      <c r="E66" s="3240"/>
      <c r="F66" s="819"/>
      <c r="K66" s="2084"/>
      <c r="O66" s="2396" t="s">
        <v>2377</v>
      </c>
      <c r="P66" s="2397" t="s">
        <v>2407</v>
      </c>
      <c r="Q66" s="2398">
        <f ca="1">C40+J29</f>
        <v>60731</v>
      </c>
      <c r="R66" s="2397" t="s">
        <v>2378</v>
      </c>
    </row>
    <row r="67" spans="1:18" s="2057" customFormat="1" ht="20.25" thickBot="1">
      <c r="A67" s="780" t="s">
        <v>1781</v>
      </c>
      <c r="B67" s="2230" t="s">
        <v>2301</v>
      </c>
      <c r="C67" s="782">
        <f ca="1">ROUND(C66*(1-((1+F69)/(1+F67))^F68)/(F67-F69),0)</f>
        <v>-4326</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1785</v>
      </c>
      <c r="F68" s="821">
        <f ca="1">F41</f>
        <v>66.67</v>
      </c>
      <c r="O68" s="2399" t="s">
        <v>2381</v>
      </c>
      <c r="P68" s="2397" t="s">
        <v>2411</v>
      </c>
      <c r="Q68" s="2403">
        <f ca="1">L51</f>
        <v>11147</v>
      </c>
      <c r="R68" s="2404" t="s">
        <v>2414</v>
      </c>
    </row>
    <row r="69" spans="1:18" ht="20.25" thickBot="1">
      <c r="A69" s="789"/>
      <c r="B69" s="790"/>
      <c r="C69" s="791"/>
      <c r="D69" s="815"/>
      <c r="E69" s="783" t="s">
        <v>710</v>
      </c>
      <c r="F69" s="2369"/>
      <c r="O69" s="2399" t="s">
        <v>2382</v>
      </c>
      <c r="P69" s="2405" t="s">
        <v>2396</v>
      </c>
      <c r="Q69" s="2398">
        <f ca="1">ROUND(Q70-Q71*Q72,0)</f>
        <v>527</v>
      </c>
      <c r="R69" s="2401"/>
    </row>
    <row r="70" spans="1:18" ht="15.75" thickBot="1">
      <c r="A70" s="822" t="s">
        <v>1788</v>
      </c>
      <c r="B70" s="823" t="s">
        <v>1811</v>
      </c>
      <c r="C70" s="824">
        <f ca="1">ROUND(C67*10000/F70,0)</f>
        <v>-1820</v>
      </c>
      <c r="D70" s="825" t="s">
        <v>1812</v>
      </c>
      <c r="E70" s="826" t="s">
        <v>1813</v>
      </c>
      <c r="F70" s="827">
        <f ca="1">F43</f>
        <v>23770.38</v>
      </c>
      <c r="O70" s="2399" t="s">
        <v>2397</v>
      </c>
      <c r="P70" s="2405" t="s">
        <v>2398</v>
      </c>
      <c r="Q70" s="2398">
        <f ca="1">C39</f>
        <v>1681</v>
      </c>
      <c r="R70" s="2397" t="s">
        <v>2378</v>
      </c>
    </row>
    <row r="71" spans="1:18" ht="15.75" thickBot="1">
      <c r="O71" s="2399" t="s">
        <v>2399</v>
      </c>
      <c r="P71" s="2405" t="s">
        <v>2400</v>
      </c>
      <c r="Q71" s="2398">
        <f ca="1">C13</f>
        <v>13573</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60731</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1184" customWidth="1"/>
    <col min="2" max="2" width="22"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2543</v>
      </c>
      <c r="R1" s="2580" t="s">
        <v>2537</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7" t="s">
        <v>2943</v>
      </c>
      <c r="C18" s="1553"/>
    </row>
    <row r="19" spans="1:3">
      <c r="A19" s="8" t="s">
        <v>120</v>
      </c>
      <c r="B19" s="3107" t="s">
        <v>2951</v>
      </c>
      <c r="C19" s="1553"/>
    </row>
    <row r="20" spans="1:3">
      <c r="A20" s="8" t="s">
        <v>121</v>
      </c>
      <c r="B20" s="8" t="s">
        <v>1642</v>
      </c>
      <c r="C20" s="1553"/>
    </row>
    <row r="21" spans="1:3">
      <c r="A21" s="8" t="s">
        <v>122</v>
      </c>
      <c r="B21" s="8" t="s">
        <v>1642</v>
      </c>
      <c r="C21" s="1553"/>
    </row>
    <row r="22" spans="1:3">
      <c r="A22" s="8" t="s">
        <v>123</v>
      </c>
      <c r="B22" s="3107" t="s">
        <v>3257</v>
      </c>
      <c r="C22" s="1553"/>
    </row>
    <row r="23" spans="1:3">
      <c r="A23" s="8" t="s">
        <v>124</v>
      </c>
      <c r="B23" s="3107" t="s">
        <v>3300</v>
      </c>
      <c r="C23" s="1553"/>
    </row>
    <row r="24" spans="1:3">
      <c r="A24" s="8" t="s">
        <v>12</v>
      </c>
      <c r="B24" s="3107" t="s">
        <v>3260</v>
      </c>
      <c r="C24" s="1553"/>
    </row>
    <row r="25" spans="1:3">
      <c r="A25" s="8" t="s">
        <v>125</v>
      </c>
      <c r="B25" s="8" t="s">
        <v>1642</v>
      </c>
      <c r="C25" s="1553"/>
    </row>
    <row r="26" spans="1:3">
      <c r="A26" s="8" t="s">
        <v>126</v>
      </c>
      <c r="B26" s="8" t="s">
        <v>1642</v>
      </c>
      <c r="C26" s="1553"/>
    </row>
    <row r="27" spans="1:3">
      <c r="A27" s="8" t="s">
        <v>1642</v>
      </c>
      <c r="B27" s="8" t="s">
        <v>1642</v>
      </c>
      <c r="C27" s="1553"/>
    </row>
    <row r="28" spans="1:3">
      <c r="A28" s="3107" t="s">
        <v>3189</v>
      </c>
      <c r="B28" s="8" t="s">
        <v>1642</v>
      </c>
      <c r="C28" s="1553"/>
    </row>
    <row r="29" spans="1:3">
      <c r="A29" s="3107" t="s">
        <v>3191</v>
      </c>
      <c r="B29" s="8" t="s">
        <v>1642</v>
      </c>
      <c r="C29" s="1553"/>
    </row>
    <row r="30" spans="1:3">
      <c r="A30" s="3107" t="s">
        <v>3278</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北京万龙华房地产开发有限公司 拟使用北京市顺义区高丽营镇于庄03-21地块出让国有建设用地使用权作为抵押担保物，向建行城建、中行北京分行丰台支行、农行北分崇文门办理贷款手续。建行城建、中行北京分行丰台支行、农行北分崇文门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589"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c r="D53" s="1766"/>
      <c r="E53" s="1766"/>
    </row>
    <row r="54" spans="1:5">
      <c r="A54" s="3589"/>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89"/>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89"/>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89"/>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A49" sqref="A4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3201</v>
      </c>
      <c r="D1" s="3120" t="s">
        <v>3233</v>
      </c>
      <c r="E1" s="2385" t="s">
        <v>2372</v>
      </c>
      <c r="F1" s="2386">
        <f ca="1">J53</f>
        <v>66.67</v>
      </c>
      <c r="G1" s="773">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60731</v>
      </c>
      <c r="C2" s="2055"/>
      <c r="D2" s="2053"/>
      <c r="E2" s="2054"/>
      <c r="F2" s="2054"/>
      <c r="G2" s="1589"/>
      <c r="H2" s="2055"/>
      <c r="I2" s="2055"/>
      <c r="J2" s="2055"/>
      <c r="K2" s="2056"/>
      <c r="L2" s="2055"/>
      <c r="M2" s="2055"/>
    </row>
    <row r="3" spans="1:33" ht="18" customHeight="1" thickBot="1">
      <c r="A3" s="832" t="s">
        <v>1728</v>
      </c>
      <c r="B3" s="833">
        <f ca="1">IF(ISERROR(B2*10000/F43),0,ROUND(B2*10000/F43,0))</f>
        <v>25549</v>
      </c>
      <c r="C3" s="2055"/>
      <c r="D3" s="2053"/>
      <c r="E3" s="2054"/>
      <c r="F3" s="2054"/>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2346</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2343</v>
      </c>
      <c r="D6" s="2495" t="s">
        <v>2460</v>
      </c>
      <c r="E6" s="783" t="s">
        <v>1739</v>
      </c>
      <c r="F6" s="784">
        <f ca="1">INDIRECT("'数据-取费表'!u"&amp;$G$1)</f>
        <v>3</v>
      </c>
      <c r="G6" s="1591"/>
      <c r="H6" s="2502" t="s">
        <v>2466</v>
      </c>
      <c r="I6" s="3571" t="s">
        <v>2461</v>
      </c>
      <c r="J6" s="782">
        <f ca="1">ROUND(M6*M8*M7*(1-M9)/10000,0)</f>
        <v>0</v>
      </c>
      <c r="K6" s="340" t="s">
        <v>1738</v>
      </c>
      <c r="L6" s="783" t="s">
        <v>1739</v>
      </c>
      <c r="M6" s="784">
        <f ca="1">INDIRECT("'数据-取费表'!z"&amp;$G$1)</f>
        <v>0</v>
      </c>
    </row>
    <row r="7" spans="1:33" ht="18" customHeight="1">
      <c r="A7" s="2498"/>
      <c r="B7" s="3572"/>
      <c r="C7" s="787"/>
      <c r="D7" s="788"/>
      <c r="E7" s="783" t="s">
        <v>1740</v>
      </c>
      <c r="F7" s="784">
        <f ca="1">IF(INDIRECT("'数据-取费表'!ah"&amp;$G$1)="",INDIRECT("'数据-取费表'!k"&amp;$G$1),INDIRECT("'数据-取费表'!ah"&amp;$G$1))</f>
        <v>23770.38</v>
      </c>
      <c r="G7" s="1591"/>
      <c r="H7" s="2487"/>
      <c r="I7" s="3572"/>
      <c r="J7" s="787"/>
      <c r="K7" s="788"/>
      <c r="L7" s="783" t="s">
        <v>1740</v>
      </c>
      <c r="M7" s="784">
        <f ca="1">F7</f>
        <v>23770.38</v>
      </c>
    </row>
    <row r="8" spans="1:33" ht="18" customHeight="1">
      <c r="A8" s="2491"/>
      <c r="B8" s="3573"/>
      <c r="C8" s="787"/>
      <c r="D8" s="788"/>
      <c r="E8" s="783" t="s">
        <v>1741</v>
      </c>
      <c r="F8" s="784">
        <f ca="1">INDIRECT("'数据-取费表'!ai"&amp;$G$1)</f>
        <v>365</v>
      </c>
      <c r="G8" s="1591"/>
      <c r="H8" s="2487"/>
      <c r="I8" s="3573"/>
      <c r="J8" s="787"/>
      <c r="K8" s="788"/>
      <c r="L8" s="783" t="s">
        <v>1741</v>
      </c>
      <c r="M8" s="784">
        <f ca="1">INDIRECT("'数据-取费表'!ai"&amp;$G$1)</f>
        <v>365</v>
      </c>
    </row>
    <row r="9" spans="1:33" ht="18" customHeight="1">
      <c r="A9" s="785"/>
      <c r="B9" s="3574"/>
      <c r="C9" s="787"/>
      <c r="D9" s="788"/>
      <c r="E9" s="783" t="s">
        <v>1742</v>
      </c>
      <c r="F9" s="793">
        <f ca="1">INDIRECT("'数据-取费表'!w"&amp;$G$1)</f>
        <v>0.1</v>
      </c>
      <c r="G9" s="1591"/>
      <c r="H9" s="2503"/>
      <c r="I9" s="3573"/>
      <c r="J9" s="787"/>
      <c r="K9" s="788"/>
      <c r="L9" s="794" t="s">
        <v>1742</v>
      </c>
      <c r="M9" s="795">
        <f ca="1">INDIRECT("'数据-取费表'!ab"&amp;$G$1)</f>
        <v>0</v>
      </c>
    </row>
    <row r="10" spans="1:33" ht="18" customHeight="1">
      <c r="A10" s="1828" t="s">
        <v>2464</v>
      </c>
      <c r="B10" s="2492" t="s">
        <v>2457</v>
      </c>
      <c r="C10" s="798">
        <f ca="1">ROUND(IF(F10="押一",C6/12*F11,IF(F10="押二",C6/12*2*F11,IF(F10="押三",C6/12*3*F11,C11*F11))),0)</f>
        <v>3</v>
      </c>
      <c r="D10" s="2499" t="s">
        <v>2962</v>
      </c>
      <c r="E10" s="2496" t="s">
        <v>2462</v>
      </c>
      <c r="F10" s="2619" t="s">
        <v>3234</v>
      </c>
      <c r="G10" s="1591"/>
      <c r="H10" s="2559" t="s">
        <v>2467</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2463</v>
      </c>
      <c r="F11" s="795">
        <f ca="1">'数据-取费表'!B39</f>
        <v>1.4999999999999999E-2</v>
      </c>
      <c r="G11" s="1591"/>
      <c r="H11" s="2560"/>
      <c r="I11" s="2493" t="s">
        <v>2571</v>
      </c>
      <c r="J11" s="2497"/>
      <c r="K11" s="2561"/>
      <c r="L11" s="2496" t="s">
        <v>2463</v>
      </c>
      <c r="M11" s="2490">
        <f ca="1">'数据-取费表'!B39</f>
        <v>1.4999999999999999E-2</v>
      </c>
    </row>
    <row r="12" spans="1:33" ht="18" customHeight="1" thickBot="1">
      <c r="A12" s="2535" t="s">
        <v>2465</v>
      </c>
      <c r="B12" s="2536" t="s">
        <v>2458</v>
      </c>
      <c r="C12" s="2537"/>
      <c r="D12" s="2538"/>
      <c r="E12" s="2539"/>
      <c r="F12" s="2540"/>
      <c r="G12" s="1591"/>
      <c r="H12" s="2549" t="s">
        <v>2468</v>
      </c>
      <c r="I12" s="2562" t="s">
        <v>2458</v>
      </c>
      <c r="J12" s="2563"/>
      <c r="K12" s="2538"/>
      <c r="L12" s="2539"/>
      <c r="M12" s="2552"/>
    </row>
    <row r="13" spans="1:33" ht="18" customHeight="1" thickTop="1">
      <c r="A13" s="1827">
        <v>2</v>
      </c>
      <c r="B13" s="1825" t="s">
        <v>1743</v>
      </c>
      <c r="C13" s="791">
        <f ca="1">ROUND(C29*F13,0)</f>
        <v>13573</v>
      </c>
      <c r="D13" s="1832" t="s">
        <v>2297</v>
      </c>
      <c r="E13" s="1832" t="s">
        <v>1745</v>
      </c>
      <c r="F13" s="2534">
        <f ca="1">INDIRECT("'数据-取费表'!y"&amp;$G$1)</f>
        <v>1</v>
      </c>
      <c r="G13" s="1591"/>
      <c r="H13" s="1827">
        <v>2</v>
      </c>
      <c r="I13" s="1825" t="s">
        <v>1743</v>
      </c>
      <c r="J13" s="1817">
        <f ca="1">ROUND(J14*J15,0)</f>
        <v>0</v>
      </c>
      <c r="K13" s="1819" t="s">
        <v>1744</v>
      </c>
      <c r="L13" s="2550"/>
      <c r="M13" s="2551"/>
    </row>
    <row r="14" spans="1:33" ht="18" customHeight="1">
      <c r="A14" s="1647" t="s">
        <v>1885</v>
      </c>
      <c r="B14" s="783" t="s">
        <v>645</v>
      </c>
      <c r="C14" s="803">
        <f ca="1">INDIRECT("'数据-取费表'!m"&amp;$G$1)+INDIRECT("'数据-取费表'!t"&amp;$G$1)</f>
        <v>9975</v>
      </c>
      <c r="D14" s="1977" t="s">
        <v>1746</v>
      </c>
      <c r="E14" s="1978"/>
      <c r="F14" s="804"/>
      <c r="G14" s="1591"/>
      <c r="H14" s="1648" t="s">
        <v>1831</v>
      </c>
      <c r="I14" s="2229" t="s">
        <v>2823</v>
      </c>
      <c r="J14" s="53">
        <f ca="1">C29</f>
        <v>13573</v>
      </c>
      <c r="K14" s="26"/>
      <c r="L14" s="800"/>
      <c r="M14" s="801"/>
    </row>
    <row r="15" spans="1:33" s="2062" customFormat="1" ht="18" customHeight="1" thickBot="1">
      <c r="A15" s="1647" t="s">
        <v>1886</v>
      </c>
      <c r="B15" s="783" t="s">
        <v>647</v>
      </c>
      <c r="C15" s="53">
        <f ca="1">ROUND(C14*F15,0)</f>
        <v>299</v>
      </c>
      <c r="D15" s="805" t="s">
        <v>1747</v>
      </c>
      <c r="E15" s="805" t="s">
        <v>1748</v>
      </c>
      <c r="F15" s="806">
        <f>'数据-取费表'!B33</f>
        <v>0.03</v>
      </c>
      <c r="G15" s="1592"/>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3">
        <f ca="1">ROUND(INDIRECT("'数据-取费表'!m"&amp;$G$1)*F16,0)</f>
        <v>285</v>
      </c>
      <c r="D16" s="783" t="s">
        <v>1747</v>
      </c>
      <c r="E16" s="783" t="s">
        <v>1748</v>
      </c>
      <c r="F16" s="808">
        <f ca="1">IF(INDIRECT("'数据-取费表'!c"&amp;$G$1)="住宅",'数据-取费表'!B34,0)</f>
        <v>0.03</v>
      </c>
      <c r="G16" s="1591"/>
      <c r="H16" s="1827" t="s">
        <v>1749</v>
      </c>
      <c r="I16" s="1825" t="s">
        <v>1750</v>
      </c>
      <c r="J16" s="791">
        <f ca="1">ROUND(J17+J22+J23+J24,0)</f>
        <v>1345</v>
      </c>
      <c r="K16" s="1819" t="s">
        <v>1751</v>
      </c>
      <c r="L16" s="2484"/>
      <c r="M16" s="2489"/>
    </row>
    <row r="17" spans="1:33" s="2062" customFormat="1" ht="18" customHeight="1">
      <c r="A17" s="1647" t="s">
        <v>1888</v>
      </c>
      <c r="B17" s="783" t="s">
        <v>653</v>
      </c>
      <c r="C17" s="53">
        <f ca="1">ROUND(F17*(F43+INDIRECT("'数据-取费表'!S"&amp;$G$1))/10000,0)</f>
        <v>514</v>
      </c>
      <c r="D17" s="783" t="s">
        <v>1752</v>
      </c>
      <c r="E17" s="783" t="s">
        <v>1753</v>
      </c>
      <c r="F17" s="56">
        <f>'数据-取费表'!B35</f>
        <v>200</v>
      </c>
      <c r="G17" s="1592"/>
      <c r="H17" s="1648" t="s">
        <v>1831</v>
      </c>
      <c r="I17" s="783" t="s">
        <v>656</v>
      </c>
      <c r="J17" s="53">
        <f ca="1">ROUND(IF(项目基本情况!B11="自然人",J5*M17,J18+J19+J20),0)</f>
        <v>1141</v>
      </c>
      <c r="K17" s="2483" t="s">
        <v>1754</v>
      </c>
      <c r="L17" s="2482" t="s">
        <v>1755</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150</v>
      </c>
      <c r="D18" s="783" t="s">
        <v>1747</v>
      </c>
      <c r="E18" s="783" t="s">
        <v>1748</v>
      </c>
      <c r="F18" s="808">
        <f>'数据-取费表'!B36</f>
        <v>1.4999999999999999E-2</v>
      </c>
      <c r="G18" s="1592"/>
      <c r="H18" s="1647" t="s">
        <v>1885</v>
      </c>
      <c r="I18" s="783" t="s">
        <v>1756</v>
      </c>
      <c r="J18" s="53">
        <f ca="1">ROUND(J5*M18/1.05,1)</f>
        <v>0</v>
      </c>
      <c r="K18" s="2482" t="s">
        <v>1757</v>
      </c>
      <c r="L18" s="783" t="s">
        <v>1748</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3">
        <f ca="1">SUM(C14:C18)</f>
        <v>11223</v>
      </c>
      <c r="D19" s="260" t="s">
        <v>1758</v>
      </c>
      <c r="E19" s="1980"/>
      <c r="F19" s="56"/>
      <c r="G19" s="1591"/>
      <c r="H19" s="1647" t="s">
        <v>1886</v>
      </c>
      <c r="I19" s="783" t="s">
        <v>1759</v>
      </c>
      <c r="J19" s="53">
        <f ca="1">IF(K19="按租金收入计税",ROUND(J5*M19,1),ROUND(C29*F33*0.7,1))</f>
        <v>1140.0999999999999</v>
      </c>
      <c r="K19" s="810" t="s">
        <v>665</v>
      </c>
      <c r="L19" s="783" t="s">
        <v>1748</v>
      </c>
      <c r="M19" s="808">
        <f>IF(K19="按租金收入计税",'数据-取费表'!B51,'数据-取费表'!B50)</f>
        <v>1.2E-2</v>
      </c>
    </row>
    <row r="20" spans="1:33" s="2062" customFormat="1" ht="18" customHeight="1">
      <c r="A20" s="1648" t="s">
        <v>1890</v>
      </c>
      <c r="B20" s="783" t="s">
        <v>666</v>
      </c>
      <c r="C20" s="53">
        <f ca="1">ROUND(C19*F20,0)</f>
        <v>224</v>
      </c>
      <c r="D20" s="811" t="s">
        <v>1760</v>
      </c>
      <c r="E20" s="783" t="s">
        <v>1748</v>
      </c>
      <c r="F20" s="808">
        <f>'数据-取费表'!B37</f>
        <v>0.02</v>
      </c>
      <c r="G20" s="1592"/>
      <c r="H20" s="1650" t="s">
        <v>1881</v>
      </c>
      <c r="I20" s="340" t="s">
        <v>1761</v>
      </c>
      <c r="J20" s="54">
        <f ca="1">ROUND(M20*M21/10000,0)</f>
        <v>1</v>
      </c>
      <c r="K20" s="813" t="s">
        <v>1762</v>
      </c>
      <c r="L20" s="783" t="s">
        <v>1763</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3" t="s">
        <v>1765</v>
      </c>
      <c r="D21" s="811" t="s">
        <v>2298</v>
      </c>
      <c r="E21" s="783" t="s">
        <v>1766</v>
      </c>
      <c r="F21" s="808">
        <f>'数据-取费表'!B38</f>
        <v>0.02</v>
      </c>
      <c r="G21" s="1592"/>
      <c r="H21" s="2504"/>
      <c r="I21" s="792"/>
      <c r="J21" s="69"/>
      <c r="K21" s="815"/>
      <c r="L21" s="783" t="s">
        <v>1767</v>
      </c>
      <c r="M21" s="784">
        <f ca="1">INDIRECT("'数据-取费表'!r"&amp;$G$1)</f>
        <v>9604.5</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3"/>
      <c r="D22" s="2570" t="str">
        <f>IF(F23&lt;=1,"单利计息。","复利计息。")&amp;"建造成本、管理费用、销售费用产生的利息。"</f>
        <v>复利计息。建造成本、管理费用、销售费用产生的利息。</v>
      </c>
      <c r="E22" s="1980"/>
      <c r="F22" s="56"/>
      <c r="G22" s="1591"/>
      <c r="H22" s="1648" t="s">
        <v>1890</v>
      </c>
      <c r="I22" s="783" t="s">
        <v>1769</v>
      </c>
      <c r="J22" s="53">
        <f ca="1">ROUND(J14*M22,0)</f>
        <v>204</v>
      </c>
      <c r="K22" s="2482" t="s">
        <v>1770</v>
      </c>
      <c r="L22" s="783" t="s">
        <v>1748</v>
      </c>
      <c r="M22" s="816">
        <f ca="1">INDIRECT("'数据-取费表'!Ak"&amp;$G$1)</f>
        <v>1.4999999999999999E-2</v>
      </c>
    </row>
    <row r="23" spans="1:33" s="2062" customFormat="1" ht="18" customHeight="1">
      <c r="A23" s="1647" t="s">
        <v>1832</v>
      </c>
      <c r="B23" s="783" t="s">
        <v>2533</v>
      </c>
      <c r="C23" s="53">
        <f ca="1">ROUND(IF('数据-取费表'!B22&lt;=1,(C19+C20)*F24*F23/2,(C19+C20)*(POWER((1+F24),F23/2)-1)),0)</f>
        <v>544</v>
      </c>
      <c r="D23" s="2569"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2482" t="s">
        <v>1772</v>
      </c>
      <c r="L23" s="783" t="s">
        <v>1748</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3">
        <f ca="1">ROUND(IF('数据-取费表'!B22&lt;=1,F21*F24*F23/2,F21*(POWER((1+F24),F23/2)-1)),4)</f>
        <v>1E-3</v>
      </c>
      <c r="D24" s="2569" t="str">
        <f>IF(F23&lt;=1,"销售费用×利率×(建设周期÷2)","销售费用×((1+利率)^(建设周期÷2)-1)")</f>
        <v>销售费用×((1+利率)^(建设周期÷2)-1)</v>
      </c>
      <c r="E24" s="783" t="s">
        <v>1774</v>
      </c>
      <c r="F24" s="818">
        <f ca="1">'数据-取费表'!B40</f>
        <v>4.7500000000000001E-2</v>
      </c>
      <c r="G24" s="1592"/>
      <c r="H24" s="2549" t="s">
        <v>1892</v>
      </c>
      <c r="I24" s="2544" t="s">
        <v>666</v>
      </c>
      <c r="J24" s="2542">
        <f ca="1">ROUND(J5*M24,0)</f>
        <v>0</v>
      </c>
      <c r="K24" s="2543" t="s">
        <v>1775</v>
      </c>
      <c r="L24" s="2544" t="s">
        <v>1748</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1776</v>
      </c>
      <c r="E25" s="1980"/>
      <c r="F25" s="56"/>
      <c r="G25" s="1591"/>
      <c r="H25" s="1827" t="s">
        <v>1777</v>
      </c>
      <c r="I25" s="3007" t="s">
        <v>2819</v>
      </c>
      <c r="J25" s="791">
        <f ca="1">J5-J16</f>
        <v>-1345</v>
      </c>
      <c r="K25" s="2546" t="s">
        <v>1778</v>
      </c>
      <c r="L25" s="2547"/>
      <c r="M25" s="2548"/>
    </row>
    <row r="26" spans="1:33" ht="18" customHeight="1">
      <c r="A26" s="1647" t="s">
        <v>1832</v>
      </c>
      <c r="B26" s="783" t="s">
        <v>2436</v>
      </c>
      <c r="C26" s="53">
        <f ca="1">ROUND((C19+C20)*F26,0)</f>
        <v>572</v>
      </c>
      <c r="D26" s="811" t="s">
        <v>1779</v>
      </c>
      <c r="E26" s="794" t="s">
        <v>1780</v>
      </c>
      <c r="F26" s="793">
        <f ca="1">INDIRECT("'数据-取费表'!q"&amp;$G$1)</f>
        <v>0.05</v>
      </c>
      <c r="G26" s="1591"/>
      <c r="H26" s="2500" t="s">
        <v>1781</v>
      </c>
      <c r="I26" s="2230" t="s">
        <v>2824</v>
      </c>
      <c r="J26" s="782">
        <f ca="1">IF(J5&lt;&gt;0,ROUND(J25*(1-((1+M28)/(1+M26))^M27)/(M26-M28),0),0)</f>
        <v>0</v>
      </c>
      <c r="K26" s="813" t="s">
        <v>1782</v>
      </c>
      <c r="L26" s="783" t="s">
        <v>2417</v>
      </c>
      <c r="M26" s="793">
        <f ca="1">INDIRECT("'数据-取费表'!I"&amp;$G$1)</f>
        <v>0.05</v>
      </c>
    </row>
    <row r="27" spans="1:33" ht="18" customHeight="1">
      <c r="A27" s="1647" t="s">
        <v>1833</v>
      </c>
      <c r="B27" s="783" t="s">
        <v>686</v>
      </c>
      <c r="C27" s="53">
        <f ca="1">ROUND(F21*F26,4)</f>
        <v>1E-3</v>
      </c>
      <c r="D27" s="811" t="s">
        <v>1783</v>
      </c>
      <c r="E27" s="805"/>
      <c r="F27" s="806"/>
      <c r="G27" s="1591"/>
      <c r="H27" s="2501"/>
      <c r="I27" s="786"/>
      <c r="J27" s="787"/>
      <c r="K27" s="820" t="s">
        <v>1784</v>
      </c>
      <c r="L27" s="783" t="s">
        <v>1785</v>
      </c>
      <c r="M27" s="821">
        <f ca="1">INDIRECT("'数据-取费表'!ag"&amp;$G$1)</f>
        <v>0</v>
      </c>
    </row>
    <row r="28" spans="1:33" s="2062" customFormat="1" ht="18" customHeight="1">
      <c r="A28" s="1649" t="s">
        <v>1842</v>
      </c>
      <c r="B28" s="783" t="s">
        <v>687</v>
      </c>
      <c r="C28" s="53">
        <f>ROUND(F28/(1+'数据-取费表'!C42),4)</f>
        <v>5.2400000000000002E-2</v>
      </c>
      <c r="D28" s="811" t="s">
        <v>2299</v>
      </c>
      <c r="E28" s="783" t="s">
        <v>1786</v>
      </c>
      <c r="F28" s="808">
        <f>'数据-取费表'!B41</f>
        <v>5.5000000000000007E-2</v>
      </c>
      <c r="G28" s="1592"/>
      <c r="H28" s="1827"/>
      <c r="I28" s="790"/>
      <c r="J28" s="791"/>
      <c r="K28" s="815"/>
      <c r="L28" s="783" t="s">
        <v>1787</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13573</v>
      </c>
      <c r="D29" s="2543"/>
      <c r="E29" s="2544"/>
      <c r="F29" s="2545"/>
      <c r="G29" s="1592"/>
      <c r="H29" s="822" t="s">
        <v>1788</v>
      </c>
      <c r="I29" s="823" t="s">
        <v>1789</v>
      </c>
      <c r="J29" s="824">
        <f ca="1">ROUND(J26/(1+F40)^F41,0)</f>
        <v>0</v>
      </c>
      <c r="K29" s="825" t="s">
        <v>1790</v>
      </c>
      <c r="L29" s="826"/>
      <c r="M29" s="827">
        <f ca="1">INDIRECT("'数据-取费表'!k"&amp;$G$1)</f>
        <v>23770.38</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665</v>
      </c>
      <c r="D30" s="1819" t="s">
        <v>1792</v>
      </c>
      <c r="E30" s="2484"/>
      <c r="F30" s="2489"/>
      <c r="G30" s="2060"/>
      <c r="H30" s="2063"/>
      <c r="I30" s="2064"/>
      <c r="J30" s="2065"/>
      <c r="K30" s="2066"/>
      <c r="L30" s="2067"/>
      <c r="M30" s="2068"/>
    </row>
    <row r="31" spans="1:33" ht="18" customHeight="1">
      <c r="A31" s="1648" t="s">
        <v>1831</v>
      </c>
      <c r="B31" s="783" t="s">
        <v>656</v>
      </c>
      <c r="C31" s="53">
        <f ca="1">ROUND(IF(项目基本情况!B11="自然人",C5*F31,C32+C33+C34),1)</f>
        <v>405.8</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3">
        <f ca="1">ROUND(C5*F32/1.05,1)</f>
        <v>122.9</v>
      </c>
      <c r="D32" s="1975"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3">
        <f ca="1">IF(D33="按租金收入计税",ROUND(C5*F33,1),IF(D33="按房产原值计税",ROUND(C29*F33*0.7,1),INDIRECT("'数据-取费表'!Aj"&amp;$G$1)))</f>
        <v>281.5</v>
      </c>
      <c r="D33" s="810" t="s">
        <v>3235</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4">
        <f ca="1">ROUND(F34*F35/10000,1)</f>
        <v>1.4</v>
      </c>
      <c r="D34" s="813" t="s">
        <v>1800</v>
      </c>
      <c r="E34" s="783" t="s">
        <v>1801</v>
      </c>
      <c r="F34" s="639">
        <f>'数据-取费表'!B52</f>
        <v>1.5</v>
      </c>
      <c r="G34" s="2060"/>
      <c r="H34" s="2063"/>
      <c r="I34" s="834" t="s">
        <v>1814</v>
      </c>
      <c r="J34" s="835"/>
      <c r="K34" s="2078"/>
      <c r="L34" s="2077"/>
      <c r="M34" s="2077"/>
    </row>
    <row r="35" spans="1:18" ht="18" customHeight="1">
      <c r="A35" s="814"/>
      <c r="B35" s="792"/>
      <c r="C35" s="69"/>
      <c r="D35" s="815"/>
      <c r="E35" s="783" t="s">
        <v>1802</v>
      </c>
      <c r="F35" s="784">
        <f ca="1">INDIRECT("'数据-取费表'!r"&amp;$G$1)</f>
        <v>9604.5</v>
      </c>
      <c r="G35" s="2060"/>
      <c r="H35" s="2063"/>
      <c r="I35" s="836" t="s">
        <v>1815</v>
      </c>
      <c r="J35" s="837">
        <f ca="1">ROUND(C13*J36,0)</f>
        <v>1154</v>
      </c>
      <c r="K35" s="2076"/>
      <c r="L35" s="2075"/>
      <c r="M35" s="2075"/>
    </row>
    <row r="36" spans="1:18" ht="18" customHeight="1">
      <c r="A36" s="1648" t="s">
        <v>1890</v>
      </c>
      <c r="B36" s="783" t="s">
        <v>1803</v>
      </c>
      <c r="C36" s="53">
        <f ca="1">ROUND(C29*F36,1)</f>
        <v>203.6</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20.399999999999999</v>
      </c>
      <c r="D37" s="1975" t="s">
        <v>1805</v>
      </c>
      <c r="E37" s="783" t="s">
        <v>1797</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35.200000000000003</v>
      </c>
      <c r="D38" s="2543" t="s">
        <v>1806</v>
      </c>
      <c r="E38" s="2544" t="s">
        <v>1797</v>
      </c>
      <c r="F38" s="2540">
        <f ca="1">INDIRECT("'数据-取费表'!Am"&amp;$G$1)</f>
        <v>1.4999999999999999E-2</v>
      </c>
      <c r="G38" s="2060"/>
      <c r="H38" s="2075"/>
      <c r="I38" s="842" t="s">
        <v>1818</v>
      </c>
      <c r="J38" s="843"/>
      <c r="K38" s="2081"/>
      <c r="L38" s="2075"/>
      <c r="M38" s="2075"/>
    </row>
    <row r="39" spans="1:18" ht="24.6" customHeight="1" thickTop="1">
      <c r="A39" s="1827" t="s">
        <v>1895</v>
      </c>
      <c r="B39" s="3007" t="s">
        <v>2819</v>
      </c>
      <c r="C39" s="791">
        <f ca="1">C5-C30</f>
        <v>1681</v>
      </c>
      <c r="D39" s="2546" t="s">
        <v>1807</v>
      </c>
      <c r="E39" s="2547"/>
      <c r="F39" s="2548"/>
      <c r="G39" s="2060"/>
      <c r="H39" s="2075"/>
      <c r="I39" s="836" t="s">
        <v>1819</v>
      </c>
      <c r="J39" s="844">
        <f ca="1">ROUND(J35/C39,3)</f>
        <v>0.68600000000000005</v>
      </c>
      <c r="K39" s="2081"/>
      <c r="L39" s="2075"/>
      <c r="M39" s="2075"/>
    </row>
    <row r="40" spans="1:18" ht="18" customHeight="1">
      <c r="A40" s="780" t="s">
        <v>1896</v>
      </c>
      <c r="B40" s="2230" t="s">
        <v>2301</v>
      </c>
      <c r="C40" s="782">
        <f ca="1">ROUND(C39*(1-((1+F42)/(1+F40))^F41)/(F40-F42),0)</f>
        <v>60731</v>
      </c>
      <c r="D40" s="813" t="s">
        <v>1808</v>
      </c>
      <c r="E40" s="783" t="s">
        <v>2417</v>
      </c>
      <c r="F40" s="793">
        <f ca="1">INDIRECT("'数据-取费表'!I"&amp;$G$1)</f>
        <v>0.05</v>
      </c>
      <c r="G40" s="2060"/>
      <c r="H40" s="2060"/>
      <c r="I40" s="836" t="s">
        <v>1820</v>
      </c>
      <c r="J40" s="844">
        <f ca="1">1-J39</f>
        <v>0.31399999999999995</v>
      </c>
      <c r="K40" s="2081"/>
      <c r="L40" s="2060"/>
      <c r="M40" s="2060"/>
    </row>
    <row r="41" spans="1:18" ht="18" customHeight="1">
      <c r="A41" s="785"/>
      <c r="B41" s="786"/>
      <c r="C41" s="787"/>
      <c r="D41" s="820" t="s">
        <v>1809</v>
      </c>
      <c r="E41" s="783" t="s">
        <v>2952</v>
      </c>
      <c r="F41" s="821">
        <f ca="1">IF(INDIRECT("'数据-取费表'!af"&amp;$G$1)=0,INDIRECT("'数据-取费表'!ae"&amp;$G$1),INDIRECT("'数据-取费表'!af"&amp;$G$1))</f>
        <v>66.67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0.223</v>
      </c>
      <c r="K42" s="2080"/>
      <c r="L42" s="1986"/>
      <c r="M42" s="1986"/>
    </row>
    <row r="43" spans="1:18" ht="18" customHeight="1" thickBot="1">
      <c r="A43" s="822" t="s">
        <v>1788</v>
      </c>
      <c r="B43" s="823" t="s">
        <v>1811</v>
      </c>
      <c r="C43" s="824">
        <f ca="1">ROUND(C40*10000/F43,0)</f>
        <v>25549</v>
      </c>
      <c r="D43" s="825" t="s">
        <v>1812</v>
      </c>
      <c r="E43" s="826" t="s">
        <v>1813</v>
      </c>
      <c r="F43" s="827">
        <f ca="1">INDIRECT("'数据-取费表'!k"&amp;$G$1)</f>
        <v>23770.38</v>
      </c>
      <c r="G43" s="2060"/>
      <c r="H43" s="1986"/>
      <c r="I43" s="846" t="s">
        <v>1823</v>
      </c>
      <c r="J43" s="847">
        <f ca="1">1-J42</f>
        <v>0.77700000000000002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-65057</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70</v>
      </c>
      <c r="M47" s="1603" t="str">
        <f>IF(ISNUMBER(FIND("住宅",C1)),"住宅","非住宅")</f>
        <v>住宅</v>
      </c>
      <c r="O47" s="2393" t="s">
        <v>2373</v>
      </c>
      <c r="P47" s="2394" t="s">
        <v>2374</v>
      </c>
      <c r="Q47" s="2395" t="s">
        <v>2375</v>
      </c>
      <c r="R47" s="2394" t="s">
        <v>2376</v>
      </c>
    </row>
    <row r="48" spans="1:18" s="2057" customFormat="1" ht="18" customHeight="1" thickBot="1">
      <c r="A48" s="2640" t="s">
        <v>2535</v>
      </c>
      <c r="B48" s="2641" t="s">
        <v>2536</v>
      </c>
      <c r="C48" s="2372">
        <f ca="1">ROUND(F48*F50*F49*(1-F51)/10000,0)</f>
        <v>0</v>
      </c>
      <c r="D48" s="2373" t="s">
        <v>636</v>
      </c>
      <c r="E48" s="2374" t="s">
        <v>2296</v>
      </c>
      <c r="F48" s="2375"/>
      <c r="G48" s="2088"/>
      <c r="I48" s="3121" t="s">
        <v>2343</v>
      </c>
      <c r="J48" s="2380" t="s">
        <v>2348</v>
      </c>
      <c r="K48" s="3153" t="s">
        <v>2349</v>
      </c>
      <c r="L48" s="1906">
        <f ca="1">INDIRECT("'数据-取费表'!f"&amp;$G$1)</f>
        <v>68.67</v>
      </c>
      <c r="O48" s="2396" t="s">
        <v>2377</v>
      </c>
      <c r="P48" s="2397" t="s">
        <v>2403</v>
      </c>
      <c r="Q48" s="2398">
        <f ca="1">C40+J29</f>
        <v>60731</v>
      </c>
      <c r="R48" s="2397" t="s">
        <v>2378</v>
      </c>
    </row>
    <row r="49" spans="1:18" s="2057" customFormat="1" ht="18" customHeight="1" thickBot="1">
      <c r="A49" s="785"/>
      <c r="B49" s="786"/>
      <c r="C49" s="787"/>
      <c r="D49" s="788"/>
      <c r="E49" s="783" t="s">
        <v>1740</v>
      </c>
      <c r="F49" s="784">
        <f ca="1">F7</f>
        <v>23770.38</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1741</v>
      </c>
      <c r="F50" s="784">
        <f ca="1">F8</f>
        <v>365</v>
      </c>
      <c r="G50" s="2093"/>
      <c r="H50" s="2091"/>
      <c r="I50" s="3121" t="s">
        <v>2345</v>
      </c>
      <c r="J50" s="3149">
        <f>SUMPRODUCT((I63:I65=J47)*(J62:L62=J48)*(J63:L65))</f>
        <v>60</v>
      </c>
      <c r="K50" s="3154" t="s">
        <v>2351</v>
      </c>
      <c r="L50" s="2382"/>
      <c r="O50" s="2399" t="s">
        <v>2381</v>
      </c>
      <c r="P50" s="2397" t="s">
        <v>2405</v>
      </c>
      <c r="Q50" s="2398">
        <f ca="1">C29</f>
        <v>13573</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11147</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66.67</v>
      </c>
      <c r="K53" s="3587" t="s">
        <v>2954</v>
      </c>
      <c r="L53" s="3588"/>
      <c r="O53" s="2399" t="s">
        <v>2386</v>
      </c>
      <c r="P53" s="2397" t="s">
        <v>2387</v>
      </c>
      <c r="Q53" s="2398">
        <f ca="1">J53</f>
        <v>66.67</v>
      </c>
      <c r="R53" s="2397" t="s">
        <v>2388</v>
      </c>
    </row>
    <row r="54" spans="1:18" s="2057" customFormat="1" ht="18" customHeight="1" thickBot="1">
      <c r="A54" s="2535" t="s">
        <v>2465</v>
      </c>
      <c r="B54" s="2536" t="s">
        <v>2458</v>
      </c>
      <c r="C54" s="2537"/>
      <c r="D54" s="2499"/>
      <c r="E54" s="2496"/>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396" t="s">
        <v>2389</v>
      </c>
      <c r="P54" s="2397" t="s">
        <v>2406</v>
      </c>
      <c r="Q54" s="2398">
        <f ca="1">Q48+Q49</f>
        <v>60731</v>
      </c>
      <c r="R54" s="2401" t="s">
        <v>2390</v>
      </c>
    </row>
    <row r="55" spans="1:18" s="2057" customFormat="1" ht="18" customHeight="1" thickTop="1" thickBot="1">
      <c r="A55" s="796">
        <v>2</v>
      </c>
      <c r="B55" s="797" t="s">
        <v>644</v>
      </c>
      <c r="C55" s="798">
        <f ca="1">C13</f>
        <v>13573</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2302</v>
      </c>
      <c r="C56" s="53">
        <f ca="1">C29</f>
        <v>13573</v>
      </c>
      <c r="D56" s="2637"/>
      <c r="E56" s="783"/>
      <c r="F56" s="808"/>
      <c r="I56" s="3162" t="s">
        <v>2355</v>
      </c>
      <c r="J56" s="3172" t="s">
        <v>1679</v>
      </c>
      <c r="K56" s="3121" t="s">
        <v>2360</v>
      </c>
      <c r="L56" s="1906">
        <f ca="1">IF(L48&lt;J51,"——",L48-J51)</f>
        <v>6.6700000000000017</v>
      </c>
      <c r="O56" s="2393" t="s">
        <v>2373</v>
      </c>
      <c r="P56" s="2394" t="s">
        <v>2374</v>
      </c>
      <c r="Q56" s="2395" t="s">
        <v>2375</v>
      </c>
      <c r="R56" s="2394" t="s">
        <v>2376</v>
      </c>
    </row>
    <row r="57" spans="1:18" s="2057" customFormat="1" ht="28.5" customHeight="1" thickBot="1">
      <c r="A57" s="796" t="s">
        <v>1749</v>
      </c>
      <c r="B57" s="797" t="s">
        <v>651</v>
      </c>
      <c r="C57" s="798">
        <f ca="1">ROUND(C58+C63+C64+C65,0)</f>
        <v>225</v>
      </c>
      <c r="D57" s="26" t="s">
        <v>1751</v>
      </c>
      <c r="E57" s="2638"/>
      <c r="F57" s="56"/>
      <c r="I57" s="3163" t="s">
        <v>2356</v>
      </c>
      <c r="J57" s="3164" t="str">
        <f ca="1">IF(OR(M47="住宅",J51&lt;L48,J56="是"),"——",J51-L48)</f>
        <v>——</v>
      </c>
      <c r="K57" s="3121" t="s">
        <v>2361</v>
      </c>
      <c r="L57" s="1906">
        <f ca="1">IF(L48&lt;J51,"——",IF(L55="比较法",L49,IF(L55="基准地价",L50,L51)))</f>
        <v>11147</v>
      </c>
      <c r="O57" s="2396" t="s">
        <v>2377</v>
      </c>
      <c r="P57" s="2397" t="s">
        <v>2407</v>
      </c>
      <c r="Q57" s="2398">
        <f ca="1">C40+J29</f>
        <v>60731</v>
      </c>
      <c r="R57" s="2397" t="s">
        <v>2378</v>
      </c>
    </row>
    <row r="58" spans="1:18" s="2057" customFormat="1" ht="28.5" customHeight="1" thickBot="1">
      <c r="A58" s="1648" t="s">
        <v>1825</v>
      </c>
      <c r="B58" s="783" t="s">
        <v>656</v>
      </c>
      <c r="C58" s="53">
        <f ca="1">ROUND(IF(项目基本情况!B11="自然人",C47*F58,C59+C60+C61),1)</f>
        <v>1.4</v>
      </c>
      <c r="D58" s="2636" t="s">
        <v>657</v>
      </c>
      <c r="E58" s="2637"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2637" t="s">
        <v>1757</v>
      </c>
      <c r="E59" s="783" t="s">
        <v>1748</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1759</v>
      </c>
      <c r="C60" s="53">
        <f ca="1">IF(D60="按租金收入计税",ROUND(C47*F60,1),IF(D60="按房产原值计税",ROUND(C56*F60*0.7,1),INDIRECT("'数据-取费表'!Aj"&amp;$G$1)))</f>
        <v>0</v>
      </c>
      <c r="D60" s="2637" t="str">
        <f>D33</f>
        <v>按租金收入计税</v>
      </c>
      <c r="E60" s="783" t="s">
        <v>1748</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1.4</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9604.5</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203.6</v>
      </c>
      <c r="D63" s="2637" t="s">
        <v>1804</v>
      </c>
      <c r="E63" s="783" t="s">
        <v>1748</v>
      </c>
      <c r="F63" s="816">
        <f t="shared" ca="1" si="0"/>
        <v>1.4999999999999999E-2</v>
      </c>
      <c r="I63" s="3168" t="s">
        <v>2368</v>
      </c>
      <c r="J63" s="3169">
        <v>70</v>
      </c>
      <c r="K63" s="3169">
        <v>50</v>
      </c>
      <c r="L63" s="3169">
        <v>80</v>
      </c>
      <c r="M63" s="3171">
        <v>0.02</v>
      </c>
      <c r="O63" s="2396" t="s">
        <v>2389</v>
      </c>
      <c r="P63" s="2397" t="s">
        <v>2406</v>
      </c>
      <c r="Q63" s="2398">
        <f ca="1">Q57+Q58</f>
        <v>60731</v>
      </c>
      <c r="R63" s="2401" t="s">
        <v>2390</v>
      </c>
    </row>
    <row r="64" spans="1:18" s="2057" customFormat="1" ht="16.5" thickBot="1">
      <c r="A64" s="1648" t="s">
        <v>1891</v>
      </c>
      <c r="B64" s="783" t="s">
        <v>679</v>
      </c>
      <c r="C64" s="53">
        <f ca="1">ROUND(C55*F64,1)</f>
        <v>20.399999999999999</v>
      </c>
      <c r="D64" s="2637" t="s">
        <v>680</v>
      </c>
      <c r="E64" s="783" t="s">
        <v>1748</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2637" t="s">
        <v>683</v>
      </c>
      <c r="E65" s="783" t="s">
        <v>1748</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-225</v>
      </c>
      <c r="D66" s="2636" t="s">
        <v>700</v>
      </c>
      <c r="E66" s="2635"/>
      <c r="F66" s="819"/>
      <c r="K66" s="2084"/>
      <c r="O66" s="2396" t="s">
        <v>2377</v>
      </c>
      <c r="P66" s="2397" t="s">
        <v>2407</v>
      </c>
      <c r="Q66" s="2398">
        <f ca="1">C40+J29</f>
        <v>60731</v>
      </c>
      <c r="R66" s="2397" t="s">
        <v>2378</v>
      </c>
    </row>
    <row r="67" spans="1:18" s="2057" customFormat="1" ht="20.25" thickBot="1">
      <c r="A67" s="780" t="s">
        <v>1781</v>
      </c>
      <c r="B67" s="2230" t="s">
        <v>2301</v>
      </c>
      <c r="C67" s="782">
        <f ca="1">ROUND(C66*(1-((1+F69)/(1+F67))^F68)/(F67-F69),0)</f>
        <v>-4326</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1785</v>
      </c>
      <c r="F68" s="821">
        <f ca="1">F41</f>
        <v>66.67</v>
      </c>
      <c r="O68" s="2399" t="s">
        <v>2381</v>
      </c>
      <c r="P68" s="2397" t="s">
        <v>2411</v>
      </c>
      <c r="Q68" s="2403">
        <f ca="1">L51</f>
        <v>11147</v>
      </c>
      <c r="R68" s="2404" t="s">
        <v>2414</v>
      </c>
    </row>
    <row r="69" spans="1:18" ht="20.25" thickBot="1">
      <c r="A69" s="789"/>
      <c r="B69" s="790"/>
      <c r="C69" s="791"/>
      <c r="D69" s="815"/>
      <c r="E69" s="783" t="s">
        <v>710</v>
      </c>
      <c r="F69" s="2369"/>
      <c r="O69" s="2399" t="s">
        <v>2382</v>
      </c>
      <c r="P69" s="2405" t="s">
        <v>2396</v>
      </c>
      <c r="Q69" s="2398">
        <f ca="1">ROUND(Q70-Q71*Q72,0)</f>
        <v>527</v>
      </c>
      <c r="R69" s="2401"/>
    </row>
    <row r="70" spans="1:18" ht="15.75" thickBot="1">
      <c r="A70" s="822" t="s">
        <v>1788</v>
      </c>
      <c r="B70" s="823" t="s">
        <v>1811</v>
      </c>
      <c r="C70" s="824">
        <f ca="1">ROUND(C67*10000/F70,0)</f>
        <v>-1820</v>
      </c>
      <c r="D70" s="825" t="s">
        <v>1812</v>
      </c>
      <c r="E70" s="826" t="s">
        <v>1813</v>
      </c>
      <c r="F70" s="827">
        <f ca="1">F43</f>
        <v>23770.38</v>
      </c>
      <c r="O70" s="2399" t="s">
        <v>2397</v>
      </c>
      <c r="P70" s="2405" t="s">
        <v>2398</v>
      </c>
      <c r="Q70" s="2398">
        <f ca="1">C39</f>
        <v>1681</v>
      </c>
      <c r="R70" s="2397" t="s">
        <v>2378</v>
      </c>
    </row>
    <row r="71" spans="1:18" ht="15.75" thickBot="1">
      <c r="O71" s="2399" t="s">
        <v>2399</v>
      </c>
      <c r="P71" s="2405" t="s">
        <v>2400</v>
      </c>
      <c r="Q71" s="2398">
        <f ca="1">C13</f>
        <v>13573</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60731</v>
      </c>
      <c r="R76" s="2401" t="s">
        <v>2390</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5" priority="7">
      <formula>$L$48&gt;$J$51</formula>
    </cfRule>
  </conditionalFormatting>
  <conditionalFormatting sqref="I55">
    <cfRule type="expression" dxfId="104" priority="8">
      <formula>$J$51&gt;$L$48</formula>
    </cfRule>
  </conditionalFormatting>
  <conditionalFormatting sqref="I60">
    <cfRule type="expression" dxfId="103" priority="6">
      <formula>$J$51&gt;$L$48</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90" t="s">
        <v>2469</v>
      </c>
      <c r="B1" s="3591"/>
      <c r="C1" s="3592"/>
      <c r="D1" s="3593">
        <f>SUM(I10,I15,I20,I21,I23)</f>
        <v>0</v>
      </c>
      <c r="E1" s="3593"/>
      <c r="F1" s="3593"/>
      <c r="G1" s="3593"/>
      <c r="H1" s="3593"/>
      <c r="I1" s="3594"/>
    </row>
    <row r="2" spans="1:9">
      <c r="A2" s="3595" t="s">
        <v>2470</v>
      </c>
      <c r="B2" s="3596" t="s">
        <v>2471</v>
      </c>
      <c r="C2" s="3596"/>
      <c r="D2" s="2505" t="s">
        <v>2472</v>
      </c>
      <c r="E2" s="2505" t="s">
        <v>2473</v>
      </c>
      <c r="F2" s="2505" t="s">
        <v>2474</v>
      </c>
      <c r="G2" s="2505" t="s">
        <v>2475</v>
      </c>
      <c r="H2" s="2505" t="s">
        <v>2476</v>
      </c>
      <c r="I2" s="2506" t="s">
        <v>2477</v>
      </c>
    </row>
    <row r="3" spans="1:9">
      <c r="A3" s="3595"/>
      <c r="B3" s="3596" t="s">
        <v>2478</v>
      </c>
      <c r="C3" s="3596"/>
      <c r="D3" s="2507"/>
      <c r="E3" s="2505"/>
      <c r="F3" s="2508"/>
      <c r="G3" s="2508"/>
      <c r="H3" s="2509"/>
      <c r="I3" s="2510">
        <f>ROUND(D3*E3*F3*G3*H3/10000,0)</f>
        <v>0</v>
      </c>
    </row>
    <row r="4" spans="1:9">
      <c r="A4" s="3595"/>
      <c r="B4" s="3596" t="s">
        <v>2479</v>
      </c>
      <c r="C4" s="3596"/>
      <c r="D4" s="2507"/>
      <c r="E4" s="2505"/>
      <c r="F4" s="2508"/>
      <c r="G4" s="2508"/>
      <c r="H4" s="2509"/>
      <c r="I4" s="2510">
        <f t="shared" ref="I4:I9" si="0">ROUND(D4*E4*F4*G4*H4/10000,0)</f>
        <v>0</v>
      </c>
    </row>
    <row r="5" spans="1:9">
      <c r="A5" s="3595"/>
      <c r="B5" s="3596" t="s">
        <v>2480</v>
      </c>
      <c r="C5" s="3596"/>
      <c r="D5" s="2507"/>
      <c r="E5" s="2505"/>
      <c r="F5" s="2508"/>
      <c r="G5" s="2508"/>
      <c r="H5" s="2509"/>
      <c r="I5" s="2510">
        <f t="shared" si="0"/>
        <v>0</v>
      </c>
    </row>
    <row r="6" spans="1:9">
      <c r="A6" s="3595"/>
      <c r="B6" s="3596" t="s">
        <v>2481</v>
      </c>
      <c r="C6" s="3596"/>
      <c r="D6" s="2507"/>
      <c r="E6" s="2505"/>
      <c r="F6" s="2508"/>
      <c r="G6" s="2508"/>
      <c r="H6" s="2509"/>
      <c r="I6" s="2510">
        <f t="shared" si="0"/>
        <v>0</v>
      </c>
    </row>
    <row r="7" spans="1:9">
      <c r="A7" s="3595"/>
      <c r="B7" s="3596" t="s">
        <v>2482</v>
      </c>
      <c r="C7" s="3596"/>
      <c r="D7" s="2507"/>
      <c r="E7" s="2505"/>
      <c r="F7" s="2508"/>
      <c r="G7" s="2508"/>
      <c r="H7" s="2509"/>
      <c r="I7" s="2510">
        <f t="shared" si="0"/>
        <v>0</v>
      </c>
    </row>
    <row r="8" spans="1:9">
      <c r="A8" s="3595"/>
      <c r="B8" s="3596" t="s">
        <v>2483</v>
      </c>
      <c r="C8" s="3596"/>
      <c r="D8" s="2507"/>
      <c r="E8" s="2505"/>
      <c r="F8" s="2508"/>
      <c r="G8" s="2508"/>
      <c r="H8" s="2509"/>
      <c r="I8" s="2510">
        <f t="shared" si="0"/>
        <v>0</v>
      </c>
    </row>
    <row r="9" spans="1:9">
      <c r="A9" s="3595"/>
      <c r="B9" s="3596" t="s">
        <v>2484</v>
      </c>
      <c r="C9" s="3596"/>
      <c r="D9" s="2507"/>
      <c r="E9" s="2505"/>
      <c r="F9" s="2508"/>
      <c r="G9" s="2508"/>
      <c r="H9" s="2509"/>
      <c r="I9" s="2510">
        <f t="shared" si="0"/>
        <v>0</v>
      </c>
    </row>
    <row r="10" spans="1:9">
      <c r="A10" s="3595"/>
      <c r="B10" s="3597" t="s">
        <v>2485</v>
      </c>
      <c r="C10" s="3597"/>
      <c r="D10" s="2511">
        <v>527</v>
      </c>
      <c r="E10" s="2511" t="e">
        <f>ROUND(D1*10000/D10/H9,0)</f>
        <v>#DIV/0!</v>
      </c>
      <c r="F10" s="2512"/>
      <c r="G10" s="2512"/>
      <c r="H10" s="2513"/>
      <c r="I10" s="2514">
        <f>SUM(I3:I9)</f>
        <v>0</v>
      </c>
    </row>
    <row r="11" spans="1:9" ht="14.25">
      <c r="A11" s="3595" t="s">
        <v>2486</v>
      </c>
      <c r="B11" s="3596" t="s">
        <v>2487</v>
      </c>
      <c r="C11" s="3596"/>
      <c r="D11" s="2507" t="s">
        <v>2488</v>
      </c>
      <c r="E11" s="2507" t="s">
        <v>2489</v>
      </c>
      <c r="F11" s="2508" t="s">
        <v>2490</v>
      </c>
      <c r="G11" s="2508" t="s">
        <v>2491</v>
      </c>
      <c r="H11" s="2515" t="s">
        <v>2492</v>
      </c>
      <c r="I11" s="2506" t="s">
        <v>2493</v>
      </c>
    </row>
    <row r="12" spans="1:9">
      <c r="A12" s="3595"/>
      <c r="B12" s="3596" t="s">
        <v>2494</v>
      </c>
      <c r="C12" s="3596"/>
      <c r="D12" s="2507"/>
      <c r="E12" s="2507"/>
      <c r="F12" s="2508"/>
      <c r="G12" s="2509"/>
      <c r="H12" s="2516"/>
      <c r="I12" s="2506">
        <f>ROUND(D12*E12*F12*G12/10000,0)</f>
        <v>0</v>
      </c>
    </row>
    <row r="13" spans="1:9">
      <c r="A13" s="3595"/>
      <c r="B13" s="3596" t="s">
        <v>2495</v>
      </c>
      <c r="C13" s="3596"/>
      <c r="D13" s="2507"/>
      <c r="E13" s="2507"/>
      <c r="F13" s="2508"/>
      <c r="G13" s="2509"/>
      <c r="H13" s="2516"/>
      <c r="I13" s="2506">
        <f>ROUND(D13*E13*F13*G13/10000,0)</f>
        <v>0</v>
      </c>
    </row>
    <row r="14" spans="1:9">
      <c r="A14" s="3595"/>
      <c r="B14" s="3596" t="s">
        <v>2496</v>
      </c>
      <c r="C14" s="3596"/>
      <c r="D14" s="2507"/>
      <c r="E14" s="2507"/>
      <c r="F14" s="2508"/>
      <c r="G14" s="2509"/>
      <c r="H14" s="2516"/>
      <c r="I14" s="2506">
        <f>ROUND(D14*E14*F14*G14/10000,0)</f>
        <v>0</v>
      </c>
    </row>
    <row r="15" spans="1:9">
      <c r="A15" s="3595"/>
      <c r="B15" s="3597" t="s">
        <v>2485</v>
      </c>
      <c r="C15" s="3597"/>
      <c r="D15" s="2511"/>
      <c r="E15" s="2511">
        <f>SUM(E12:E14)</f>
        <v>0</v>
      </c>
      <c r="F15" s="2512"/>
      <c r="G15" s="2509"/>
      <c r="H15" s="2516"/>
      <c r="I15" s="2517">
        <f>SUM(I12:I14)</f>
        <v>0</v>
      </c>
    </row>
    <row r="16" spans="1:9" ht="24">
      <c r="A16" s="3595" t="s">
        <v>2497</v>
      </c>
      <c r="B16" s="3596" t="s">
        <v>2498</v>
      </c>
      <c r="C16" s="3596"/>
      <c r="D16" s="2507" t="s">
        <v>2499</v>
      </c>
      <c r="E16" s="2518" t="s">
        <v>2500</v>
      </c>
      <c r="F16" s="2508" t="s">
        <v>2501</v>
      </c>
      <c r="G16" s="2509" t="s">
        <v>2491</v>
      </c>
      <c r="H16" s="2515" t="s">
        <v>2492</v>
      </c>
      <c r="I16" s="2506" t="s">
        <v>2493</v>
      </c>
    </row>
    <row r="17" spans="1:9" ht="14.25">
      <c r="A17" s="3595"/>
      <c r="B17" s="3596" t="s">
        <v>2502</v>
      </c>
      <c r="C17" s="3596"/>
      <c r="D17" s="2507"/>
      <c r="E17" s="2507"/>
      <c r="F17" s="2508"/>
      <c r="G17" s="2509"/>
      <c r="H17" s="2519"/>
      <c r="I17" s="2520">
        <f>ROUND(D17*E17*F17*G17/10000,0)</f>
        <v>0</v>
      </c>
    </row>
    <row r="18" spans="1:9" ht="14.25">
      <c r="A18" s="3595"/>
      <c r="B18" s="3596" t="s">
        <v>2503</v>
      </c>
      <c r="C18" s="3596"/>
      <c r="D18" s="2507"/>
      <c r="E18" s="2507"/>
      <c r="F18" s="2508"/>
      <c r="G18" s="2509"/>
      <c r="H18" s="2519"/>
      <c r="I18" s="2520">
        <f>ROUND(D18*E18*F18*G18/10000,0)</f>
        <v>0</v>
      </c>
    </row>
    <row r="19" spans="1:9" ht="14.25">
      <c r="A19" s="3595"/>
      <c r="B19" s="3596" t="s">
        <v>2504</v>
      </c>
      <c r="C19" s="3596"/>
      <c r="D19" s="2507"/>
      <c r="E19" s="2507"/>
      <c r="F19" s="2508"/>
      <c r="G19" s="2509"/>
      <c r="H19" s="2519"/>
      <c r="I19" s="2520">
        <f>ROUND(D19*E19*F19*G19/10000,0)</f>
        <v>0</v>
      </c>
    </row>
    <row r="20" spans="1:9">
      <c r="A20" s="3595"/>
      <c r="B20" s="3597" t="s">
        <v>2485</v>
      </c>
      <c r="C20" s="3597"/>
      <c r="D20" s="2511">
        <f>SUM(D17:D19)</f>
        <v>0</v>
      </c>
      <c r="E20" s="2511"/>
      <c r="F20" s="2512"/>
      <c r="G20" s="2509"/>
      <c r="H20" s="2516"/>
      <c r="I20" s="2517">
        <f>SUM(I17:I19)</f>
        <v>0</v>
      </c>
    </row>
    <row r="21" spans="1:9">
      <c r="A21" s="3595" t="s">
        <v>2505</v>
      </c>
      <c r="B21" s="3599"/>
      <c r="C21" s="3599"/>
      <c r="D21" s="3599"/>
      <c r="E21" s="3599"/>
      <c r="F21" s="3599"/>
      <c r="G21" s="3599"/>
      <c r="H21" s="2521">
        <v>0.1</v>
      </c>
      <c r="I21" s="2514">
        <f>ROUND(I10*H21,0)</f>
        <v>0</v>
      </c>
    </row>
    <row r="22" spans="1:9" ht="14.25">
      <c r="A22" s="3600" t="s">
        <v>2506</v>
      </c>
      <c r="B22" s="3601"/>
      <c r="C22" s="3602"/>
      <c r="D22" s="2522" t="s">
        <v>2507</v>
      </c>
      <c r="E22" s="2522" t="s">
        <v>2508</v>
      </c>
      <c r="F22" s="2523" t="s">
        <v>2509</v>
      </c>
      <c r="G22" s="2523" t="s">
        <v>2510</v>
      </c>
      <c r="H22" s="2515" t="s">
        <v>2511</v>
      </c>
      <c r="I22" s="2506" t="s">
        <v>2512</v>
      </c>
    </row>
    <row r="23" spans="1:9" ht="14.25" thickBot="1">
      <c r="A23" s="3603"/>
      <c r="B23" s="3604"/>
      <c r="C23" s="3605"/>
      <c r="D23" s="2524"/>
      <c r="E23" s="2524"/>
      <c r="F23" s="2524"/>
      <c r="G23" s="2525"/>
      <c r="H23" s="2526"/>
      <c r="I23" s="2527">
        <f>ROUND(E23*D23*F23*(1-G23)/10000,0)</f>
        <v>0</v>
      </c>
    </row>
    <row r="26" spans="1:9">
      <c r="A26" s="2528" t="s">
        <v>2513</v>
      </c>
      <c r="B26" s="2528"/>
      <c r="C26" s="2528"/>
      <c r="D26" s="2528"/>
      <c r="E26" s="3606">
        <f>C27-C30-C31-C32</f>
        <v>0</v>
      </c>
      <c r="F26" s="3606"/>
      <c r="G26" s="3606"/>
      <c r="H26" s="3041" t="s">
        <v>2840</v>
      </c>
    </row>
    <row r="27" spans="1:9">
      <c r="A27" s="2529">
        <v>1</v>
      </c>
      <c r="B27" s="2530" t="s">
        <v>2514</v>
      </c>
      <c r="C27" s="2530"/>
      <c r="D27" s="2530"/>
      <c r="E27" s="3607"/>
      <c r="F27" s="3607"/>
      <c r="G27" s="3607"/>
    </row>
    <row r="28" spans="1:9">
      <c r="A28" s="2531" t="s">
        <v>2515</v>
      </c>
      <c r="B28" s="2530" t="s">
        <v>2516</v>
      </c>
      <c r="C28" s="2530"/>
      <c r="D28" s="2530"/>
      <c r="E28" s="3607"/>
      <c r="F28" s="3607"/>
      <c r="G28" s="3607"/>
    </row>
    <row r="29" spans="1:9">
      <c r="A29" s="2531" t="s">
        <v>2517</v>
      </c>
      <c r="B29" s="2530" t="s">
        <v>2458</v>
      </c>
      <c r="C29" s="2530"/>
      <c r="D29" s="2530"/>
      <c r="E29" s="2530" t="s">
        <v>2518</v>
      </c>
      <c r="F29" s="2530"/>
      <c r="G29" s="2530"/>
    </row>
    <row r="30" spans="1:9">
      <c r="A30" s="2529">
        <v>2</v>
      </c>
      <c r="B30" s="2530" t="s">
        <v>2519</v>
      </c>
      <c r="C30" s="2530">
        <f>C27*D30</f>
        <v>0</v>
      </c>
      <c r="D30" s="2532">
        <v>0.2</v>
      </c>
      <c r="E30" s="2530" t="s">
        <v>2520</v>
      </c>
      <c r="F30" s="2530"/>
      <c r="G30" s="2530"/>
    </row>
    <row r="31" spans="1:9">
      <c r="A31" s="2529">
        <v>3</v>
      </c>
      <c r="B31" s="2530" t="s">
        <v>2521</v>
      </c>
      <c r="C31" s="2530">
        <f>C25*D31</f>
        <v>0</v>
      </c>
      <c r="D31" s="2532">
        <v>0.15</v>
      </c>
      <c r="E31" s="2530" t="s">
        <v>2522</v>
      </c>
      <c r="F31" s="2530"/>
      <c r="G31" s="2530"/>
    </row>
    <row r="32" spans="1:9">
      <c r="A32" s="2529">
        <v>4</v>
      </c>
      <c r="B32" s="2530" t="s">
        <v>2523</v>
      </c>
      <c r="C32" s="2530">
        <f>C27*D32</f>
        <v>0</v>
      </c>
      <c r="D32" s="2532">
        <v>0.05</v>
      </c>
      <c r="E32" s="3598"/>
      <c r="F32" s="3598"/>
      <c r="G32" s="3598"/>
    </row>
    <row r="33" spans="1:7" hidden="1">
      <c r="A33" s="3608" t="s">
        <v>2524</v>
      </c>
      <c r="B33" s="3609"/>
      <c r="C33" s="3609"/>
      <c r="D33" s="3610"/>
      <c r="E33" s="3606"/>
      <c r="F33" s="3606"/>
      <c r="G33" s="3606"/>
    </row>
    <row r="34" spans="1:7" hidden="1">
      <c r="A34" s="2533">
        <v>1</v>
      </c>
      <c r="B34" s="2530" t="s">
        <v>2525</v>
      </c>
      <c r="C34" s="2530"/>
      <c r="D34" s="2530"/>
      <c r="E34" s="3607"/>
      <c r="F34" s="3607"/>
      <c r="G34" s="3607"/>
    </row>
    <row r="35" spans="1:7" hidden="1">
      <c r="A35" s="2533">
        <v>2</v>
      </c>
      <c r="B35" s="2530" t="s">
        <v>2526</v>
      </c>
      <c r="C35" s="2530"/>
      <c r="D35" s="2530"/>
      <c r="E35" s="3607"/>
      <c r="F35" s="3607"/>
      <c r="G35" s="3607"/>
    </row>
    <row r="36" spans="1:7" hidden="1">
      <c r="A36" s="2533">
        <v>3</v>
      </c>
      <c r="B36" s="2530" t="s">
        <v>2527</v>
      </c>
      <c r="C36" s="2530"/>
      <c r="D36" s="2530"/>
      <c r="E36" s="3607"/>
      <c r="F36" s="3607"/>
      <c r="G36" s="3607"/>
    </row>
    <row r="37" spans="1:7" hidden="1">
      <c r="A37" s="2533">
        <v>4</v>
      </c>
      <c r="B37" s="2530" t="s">
        <v>2528</v>
      </c>
      <c r="C37" s="2530"/>
      <c r="D37" s="2530"/>
      <c r="E37" s="3607"/>
      <c r="F37" s="3607"/>
      <c r="G37" s="3607"/>
    </row>
    <row r="38" spans="1:7" hidden="1">
      <c r="A38" s="3608" t="s">
        <v>2529</v>
      </c>
      <c r="B38" s="3609"/>
      <c r="C38" s="3609"/>
      <c r="D38" s="3610"/>
      <c r="E38" s="3606"/>
      <c r="F38" s="3606"/>
      <c r="G38" s="36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8"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67">
        <v>1</v>
      </c>
      <c r="B7" s="747" t="s">
        <v>609</v>
      </c>
      <c r="C7" s="748">
        <f>C8+C9</f>
        <v>0</v>
      </c>
      <c r="D7" s="748"/>
      <c r="E7" s="749"/>
      <c r="F7" s="749"/>
      <c r="G7" s="2477"/>
    </row>
    <row r="8" spans="1:25" s="2181" customFormat="1" ht="13.5" customHeight="1">
      <c r="A8" s="2467" t="s">
        <v>2438</v>
      </c>
      <c r="B8" s="2470" t="s">
        <v>2440</v>
      </c>
      <c r="C8" s="2471"/>
      <c r="D8" s="748"/>
      <c r="E8" s="749"/>
      <c r="F8" s="749"/>
      <c r="G8" s="750"/>
    </row>
    <row r="9" spans="1:25" s="2181" customFormat="1" ht="13.5" customHeight="1">
      <c r="A9" s="2467" t="s">
        <v>2439</v>
      </c>
      <c r="B9" s="2470" t="s">
        <v>2441</v>
      </c>
      <c r="C9" s="2471"/>
      <c r="D9" s="748"/>
      <c r="E9" s="749"/>
      <c r="F9" s="749"/>
      <c r="G9" s="750"/>
    </row>
    <row r="10" spans="1:25" s="2181" customFormat="1" ht="36">
      <c r="A10" s="2467">
        <v>2</v>
      </c>
      <c r="B10" s="747" t="s">
        <v>613</v>
      </c>
      <c r="C10" s="748">
        <f>C11+C14+C15</f>
        <v>0</v>
      </c>
      <c r="D10" s="759">
        <f>'数据-汇总表'!E3</f>
        <v>169816</v>
      </c>
      <c r="E10" s="748">
        <f>'数据-取费表'!B31</f>
        <v>100</v>
      </c>
      <c r="F10" s="760"/>
      <c r="G10" s="758" t="s">
        <v>614</v>
      </c>
    </row>
    <row r="11" spans="1:25" s="2181" customFormat="1" ht="13.5" customHeight="1">
      <c r="A11" s="2467" t="s">
        <v>2438</v>
      </c>
      <c r="B11" s="751" t="s">
        <v>610</v>
      </c>
      <c r="C11" s="752">
        <f>'数据-取费表'!B29</f>
        <v>0</v>
      </c>
      <c r="D11" s="753"/>
      <c r="E11" s="752"/>
      <c r="F11" s="754"/>
      <c r="G11" s="2476" t="s">
        <v>2449</v>
      </c>
    </row>
    <row r="12" spans="1:25" s="2181" customFormat="1" ht="13.5" customHeight="1">
      <c r="A12" s="2474" t="s">
        <v>2446</v>
      </c>
      <c r="B12" s="755" t="s">
        <v>611</v>
      </c>
      <c r="C12" s="756">
        <f>ROUND(D12*E12/10000,0)</f>
        <v>0</v>
      </c>
      <c r="D12" s="757">
        <f>'数据-汇总表'!E5</f>
        <v>64609.999999999985</v>
      </c>
      <c r="E12" s="756">
        <f>'数据-取费表'!B27</f>
        <v>0</v>
      </c>
      <c r="F12" s="754"/>
      <c r="G12" s="758"/>
    </row>
    <row r="13" spans="1:25" s="2181" customFormat="1" ht="13.5" customHeight="1">
      <c r="A13" s="2474" t="s">
        <v>2445</v>
      </c>
      <c r="B13" s="755" t="s">
        <v>612</v>
      </c>
      <c r="C13" s="756">
        <f>ROUND(D13*E13/10000,0)</f>
        <v>0</v>
      </c>
      <c r="D13" s="757">
        <f>'数据-汇总表'!E6</f>
        <v>105206.00000000001</v>
      </c>
      <c r="E13" s="756">
        <f>'数据-取费表'!B28</f>
        <v>0</v>
      </c>
      <c r="F13" s="754"/>
      <c r="G13" s="758"/>
    </row>
    <row r="14" spans="1:25" s="2181" customFormat="1" ht="13.5" customHeight="1">
      <c r="A14" s="2467" t="s">
        <v>2439</v>
      </c>
      <c r="B14" s="2473" t="s">
        <v>2442</v>
      </c>
      <c r="C14" s="2471"/>
      <c r="D14" s="757"/>
      <c r="E14" s="756"/>
      <c r="F14" s="2472"/>
      <c r="G14" s="2475" t="s">
        <v>2447</v>
      </c>
    </row>
    <row r="15" spans="1:25" s="2181" customFormat="1" ht="13.5" customHeight="1">
      <c r="A15" s="2467" t="s">
        <v>2444</v>
      </c>
      <c r="B15" s="2473" t="s">
        <v>2443</v>
      </c>
      <c r="C15" s="2471"/>
      <c r="D15" s="757"/>
      <c r="E15" s="756"/>
      <c r="F15" s="2472"/>
      <c r="G15" s="2475" t="s">
        <v>2448</v>
      </c>
    </row>
    <row r="16" spans="1:25" s="2182" customFormat="1" ht="48">
      <c r="A16" s="2467">
        <v>3</v>
      </c>
      <c r="B16" s="747" t="s">
        <v>615</v>
      </c>
      <c r="C16" s="2471"/>
      <c r="D16" s="759"/>
      <c r="E16" s="748"/>
      <c r="F16" s="760"/>
      <c r="G16" s="758"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616</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617</v>
      </c>
      <c r="C18" s="748">
        <f>ROUND((C7+C10+C16)*F18,0)</f>
        <v>0</v>
      </c>
      <c r="D18" s="761"/>
      <c r="E18" s="762"/>
      <c r="F18" s="760">
        <f>'数据-取费表'!Q16</f>
        <v>0.08</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625</v>
      </c>
      <c r="C22" s="748">
        <f ca="1">ROUND(C21*F22,0)</f>
        <v>0</v>
      </c>
      <c r="D22" s="759"/>
      <c r="E22" s="748"/>
      <c r="F22" s="765">
        <f>'数据-取费表'!AP16</f>
        <v>0.91100000000000003</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1" t="s">
        <v>719</v>
      </c>
      <c r="C1" s="2622" t="s">
        <v>720</v>
      </c>
      <c r="D1" s="2623"/>
      <c r="E1" s="2624"/>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0" t="e">
        <f>ROUND(B3*D3/10000,0)</f>
        <v>#DIV/0!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521</v>
      </c>
      <c r="B4" s="512"/>
      <c r="C4" s="3500" t="s">
        <v>522</v>
      </c>
      <c r="D4" s="3501"/>
      <c r="E4" s="3538" t="s">
        <v>523</v>
      </c>
      <c r="F4" s="3539"/>
      <c r="G4" s="3500" t="s">
        <v>524</v>
      </c>
      <c r="H4" s="3501"/>
      <c r="I4" s="3500" t="s">
        <v>525</v>
      </c>
      <c r="J4" s="3501"/>
      <c r="K4" s="852" t="s">
        <v>526</v>
      </c>
      <c r="L4" s="2131"/>
      <c r="M4" s="2132"/>
      <c r="N4" s="2132"/>
      <c r="O4" s="2132"/>
      <c r="P4" s="3502" t="s">
        <v>527</v>
      </c>
      <c r="Q4" s="3503"/>
      <c r="R4" s="3508" t="s">
        <v>523</v>
      </c>
      <c r="S4" s="3509"/>
      <c r="T4" s="3508" t="s">
        <v>524</v>
      </c>
      <c r="U4" s="3509"/>
      <c r="V4" s="3495" t="s">
        <v>525</v>
      </c>
      <c r="W4" s="3495"/>
      <c r="X4" s="1566"/>
      <c r="Y4" s="3508" t="s">
        <v>527</v>
      </c>
      <c r="Z4" s="3509"/>
      <c r="AA4" s="3497" t="s">
        <v>523</v>
      </c>
      <c r="AB4" s="3497" t="s">
        <v>524</v>
      </c>
      <c r="AC4" s="3497" t="s">
        <v>525</v>
      </c>
    </row>
    <row r="5" spans="1:29" ht="15">
      <c r="A5" s="514"/>
      <c r="B5" s="515"/>
      <c r="C5" s="3532" t="s">
        <v>2915</v>
      </c>
      <c r="D5" s="3533"/>
      <c r="E5" s="3540" t="s">
        <v>2916</v>
      </c>
      <c r="F5" s="3541"/>
      <c r="G5" s="3532" t="s">
        <v>2917</v>
      </c>
      <c r="H5" s="3533"/>
      <c r="I5" s="3532" t="s">
        <v>2918</v>
      </c>
      <c r="J5" s="3533"/>
      <c r="K5" s="853"/>
      <c r="L5" s="2131"/>
      <c r="M5" s="2132"/>
      <c r="N5" s="2132"/>
      <c r="O5" s="2132"/>
      <c r="P5" s="3504"/>
      <c r="Q5" s="3505"/>
      <c r="R5" s="3510"/>
      <c r="S5" s="3511"/>
      <c r="T5" s="3510"/>
      <c r="U5" s="3511"/>
      <c r="V5" s="3495"/>
      <c r="W5" s="3495"/>
      <c r="X5" s="1566"/>
      <c r="Y5" s="3510"/>
      <c r="Z5" s="3511"/>
      <c r="AA5" s="3498"/>
      <c r="AB5" s="3498"/>
      <c r="AC5" s="3498"/>
    </row>
    <row r="6" spans="1:29" ht="15.75" thickBot="1">
      <c r="A6" s="516"/>
      <c r="B6" s="517"/>
      <c r="C6" s="3534" t="s">
        <v>2919</v>
      </c>
      <c r="D6" s="3535"/>
      <c r="E6" s="3536" t="s">
        <v>2919</v>
      </c>
      <c r="F6" s="3537"/>
      <c r="G6" s="3534" t="s">
        <v>2919</v>
      </c>
      <c r="H6" s="3535"/>
      <c r="I6" s="3534" t="s">
        <v>2919</v>
      </c>
      <c r="J6" s="3535"/>
      <c r="K6" s="853" t="s">
        <v>528</v>
      </c>
      <c r="L6" s="2131"/>
      <c r="M6" s="2132"/>
      <c r="N6" s="2132"/>
      <c r="O6" s="2132"/>
      <c r="P6" s="3506"/>
      <c r="Q6" s="3507"/>
      <c r="R6" s="3510"/>
      <c r="S6" s="3511"/>
      <c r="T6" s="3512"/>
      <c r="U6" s="3513"/>
      <c r="V6" s="3495"/>
      <c r="W6" s="3495"/>
      <c r="X6" s="1566"/>
      <c r="Y6" s="3512"/>
      <c r="Z6" s="3513"/>
      <c r="AA6" s="3499"/>
      <c r="AB6" s="3499"/>
      <c r="AC6" s="3499"/>
    </row>
    <row r="7" spans="1:29" s="1219" customFormat="1" ht="15.75" thickBot="1">
      <c r="A7" s="2909"/>
      <c r="B7" s="2916" t="s">
        <v>529</v>
      </c>
      <c r="C7" s="518">
        <f>'数据-取费表'!B2</f>
        <v>43444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525" t="s">
        <v>530</v>
      </c>
      <c r="Q7" s="3527"/>
      <c r="R7" s="1567" t="s">
        <v>13</v>
      </c>
      <c r="S7" s="1568">
        <f t="shared" ref="S7:S15" si="0">F7</f>
        <v>0</v>
      </c>
      <c r="T7" s="1567" t="s">
        <v>13</v>
      </c>
      <c r="U7" s="1568">
        <f t="shared" ref="U7:U15" si="1">H7</f>
        <v>0</v>
      </c>
      <c r="V7" s="1567" t="s">
        <v>13</v>
      </c>
      <c r="W7" s="1568">
        <f t="shared" ref="W7:W15"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525" t="s">
        <v>533</v>
      </c>
      <c r="Q8" s="3526"/>
      <c r="R8" s="1567" t="s">
        <v>13</v>
      </c>
      <c r="S8" s="1568">
        <f t="shared" si="0"/>
        <v>0</v>
      </c>
      <c r="T8" s="1567" t="s">
        <v>13</v>
      </c>
      <c r="U8" s="1568">
        <f t="shared" si="1"/>
        <v>0</v>
      </c>
      <c r="V8" s="1567" t="s">
        <v>13</v>
      </c>
      <c r="W8" s="1568">
        <f t="shared" si="2"/>
        <v>0</v>
      </c>
      <c r="X8" s="1569"/>
      <c r="Y8" s="3525" t="s">
        <v>533</v>
      </c>
      <c r="Z8" s="3526"/>
      <c r="AA8" s="1570" t="e">
        <f t="shared" ref="AA8:AA46" si="3">D8/F8</f>
        <v>#DIV/0!</v>
      </c>
      <c r="AB8" s="1570" t="e">
        <f t="shared" ref="AB8:AB46" si="4">D8/H8</f>
        <v>#DIV/0!</v>
      </c>
      <c r="AC8" s="1570" t="e">
        <f t="shared" ref="AC8:AC46" si="5">D8/J8</f>
        <v>#DIV/0!</v>
      </c>
    </row>
    <row r="9" spans="1:29" s="1219" customFormat="1" ht="15">
      <c r="A9" s="2911"/>
      <c r="B9" s="2918" t="s">
        <v>2753</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494" t="s">
        <v>535</v>
      </c>
      <c r="Q9" s="1150" t="str">
        <f t="shared" ref="Q9:Q15" si="6">B9</f>
        <v>用途</v>
      </c>
      <c r="R9" s="1567" t="s">
        <v>8</v>
      </c>
      <c r="S9" s="1568">
        <f t="shared" si="0"/>
        <v>100</v>
      </c>
      <c r="T9" s="1567" t="s">
        <v>8</v>
      </c>
      <c r="U9" s="1568">
        <f t="shared" si="1"/>
        <v>100</v>
      </c>
      <c r="V9" s="1567" t="s">
        <v>8</v>
      </c>
      <c r="W9" s="1568">
        <f t="shared" si="2"/>
        <v>100</v>
      </c>
      <c r="X9" s="1569"/>
      <c r="Y9" s="3440"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3"/>
      <c r="B11" s="2917"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494"/>
      <c r="Q11" s="1150" t="str">
        <f t="shared" si="6"/>
        <v>容积率</v>
      </c>
      <c r="R11" s="1567" t="s">
        <v>11</v>
      </c>
      <c r="S11" s="1568" t="e">
        <f t="shared" si="0"/>
        <v>#N/A</v>
      </c>
      <c r="T11" s="1567" t="s">
        <v>11</v>
      </c>
      <c r="U11" s="1568" t="e">
        <f t="shared" si="1"/>
        <v>#N/A</v>
      </c>
      <c r="V11" s="1567" t="s">
        <v>11</v>
      </c>
      <c r="W11" s="1568" t="e">
        <f t="shared" si="2"/>
        <v>#N/A</v>
      </c>
      <c r="X11" s="1569"/>
      <c r="Y11" s="3440"/>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94"/>
      <c r="Q12" s="1150">
        <f t="shared" si="6"/>
        <v>111</v>
      </c>
      <c r="R12" s="1567" t="s">
        <v>11</v>
      </c>
      <c r="S12" s="1568">
        <f t="shared" si="0"/>
        <v>100</v>
      </c>
      <c r="T12" s="1567" t="s">
        <v>11</v>
      </c>
      <c r="U12" s="1568">
        <f t="shared" si="1"/>
        <v>100</v>
      </c>
      <c r="V12" s="1567" t="s">
        <v>11</v>
      </c>
      <c r="W12" s="1568">
        <f t="shared" si="2"/>
        <v>100</v>
      </c>
      <c r="X12" s="1569"/>
      <c r="Y12" s="3440"/>
      <c r="Z12" s="1149">
        <f t="shared" si="7"/>
        <v>111</v>
      </c>
      <c r="AA12" s="1570">
        <f>D12/F12</f>
        <v>1</v>
      </c>
      <c r="AB12" s="1570">
        <f>D12/H12</f>
        <v>1</v>
      </c>
      <c r="AC12" s="1570">
        <f>D12/J12</f>
        <v>1</v>
      </c>
    </row>
    <row r="13" spans="1:29" ht="15">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94"/>
      <c r="Q13" s="1150">
        <f t="shared" si="6"/>
        <v>111</v>
      </c>
      <c r="R13" s="1567" t="s">
        <v>11</v>
      </c>
      <c r="S13" s="1568">
        <f t="shared" si="0"/>
        <v>100</v>
      </c>
      <c r="T13" s="1567" t="s">
        <v>11</v>
      </c>
      <c r="U13" s="1568">
        <f t="shared" si="1"/>
        <v>100</v>
      </c>
      <c r="V13" s="1567" t="s">
        <v>11</v>
      </c>
      <c r="W13" s="1568">
        <f t="shared" si="2"/>
        <v>100</v>
      </c>
      <c r="X13" s="1569"/>
      <c r="Y13" s="3440"/>
      <c r="Z13" s="1149">
        <f t="shared" si="7"/>
        <v>111</v>
      </c>
      <c r="AA13" s="1570">
        <f t="shared" si="3"/>
        <v>1</v>
      </c>
      <c r="AB13" s="1570">
        <f t="shared" si="4"/>
        <v>1</v>
      </c>
      <c r="AC13" s="1570">
        <f t="shared" si="5"/>
        <v>1</v>
      </c>
    </row>
    <row r="14" spans="1:29" ht="15.75"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94"/>
      <c r="Q14" s="1150">
        <f t="shared" si="6"/>
        <v>111</v>
      </c>
      <c r="R14" s="1567" t="s">
        <v>11</v>
      </c>
      <c r="S14" s="1568">
        <f t="shared" si="0"/>
        <v>100</v>
      </c>
      <c r="T14" s="1567" t="s">
        <v>11</v>
      </c>
      <c r="U14" s="1568">
        <f t="shared" si="1"/>
        <v>100</v>
      </c>
      <c r="V14" s="1567" t="s">
        <v>11</v>
      </c>
      <c r="W14" s="1568">
        <f t="shared" si="2"/>
        <v>100</v>
      </c>
      <c r="X14" s="1569"/>
      <c r="Y14" s="3440"/>
      <c r="Z14" s="1149">
        <f t="shared" si="7"/>
        <v>111</v>
      </c>
      <c r="AA14" s="1570">
        <f t="shared" si="3"/>
        <v>1</v>
      </c>
      <c r="AB14" s="1570">
        <f t="shared" si="4"/>
        <v>1</v>
      </c>
      <c r="AC14" s="1570">
        <f t="shared" si="5"/>
        <v>1</v>
      </c>
    </row>
    <row r="15" spans="1:29" ht="15">
      <c r="A15" s="2907" t="s">
        <v>2751</v>
      </c>
      <c r="B15" s="165" t="s">
        <v>295</v>
      </c>
      <c r="C15" s="866" t="str">
        <f>估价对象房地状况!C3</f>
        <v>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528" t="s">
        <v>540</v>
      </c>
      <c r="Q15" s="1571" t="str">
        <f t="shared" si="6"/>
        <v>居住社区成熟度</v>
      </c>
      <c r="R15" s="1572" t="s">
        <v>11</v>
      </c>
      <c r="S15" s="1573">
        <f t="shared" si="0"/>
        <v>100</v>
      </c>
      <c r="T15" s="1572" t="s">
        <v>11</v>
      </c>
      <c r="U15" s="1573">
        <f t="shared" si="1"/>
        <v>100</v>
      </c>
      <c r="V15" s="1572" t="s">
        <v>11</v>
      </c>
      <c r="W15" s="1573">
        <f t="shared" si="2"/>
        <v>100</v>
      </c>
      <c r="X15" s="1566"/>
      <c r="Y15" s="3528"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0"/>
      <c r="M16" s="2132"/>
      <c r="N16" s="2132"/>
      <c r="O16" s="2139"/>
      <c r="P16" s="3529"/>
      <c r="Q16" s="1571"/>
      <c r="R16" s="1572"/>
      <c r="S16" s="1573"/>
      <c r="T16" s="1572"/>
      <c r="U16" s="1573"/>
      <c r="V16" s="1572"/>
      <c r="W16" s="1573"/>
      <c r="X16" s="1566"/>
      <c r="Y16" s="3529"/>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529"/>
      <c r="Q17" s="1571" t="str">
        <f>B17</f>
        <v>交通便捷度</v>
      </c>
      <c r="R17" s="1572" t="s">
        <v>11</v>
      </c>
      <c r="S17" s="1573">
        <f>F17</f>
        <v>100</v>
      </c>
      <c r="T17" s="1572" t="s">
        <v>11</v>
      </c>
      <c r="U17" s="1573">
        <f>H17</f>
        <v>100</v>
      </c>
      <c r="V17" s="1572" t="s">
        <v>11</v>
      </c>
      <c r="W17" s="1573">
        <f>J17</f>
        <v>100</v>
      </c>
      <c r="X17" s="1566"/>
      <c r="Y17" s="352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0"/>
      <c r="M18" s="2132"/>
      <c r="N18" s="2132"/>
      <c r="O18" s="2139"/>
      <c r="P18" s="3529"/>
      <c r="Q18" s="1571"/>
      <c r="R18" s="1572"/>
      <c r="S18" s="1573"/>
      <c r="T18" s="1572"/>
      <c r="U18" s="1573"/>
      <c r="V18" s="1572"/>
      <c r="W18" s="1573"/>
      <c r="X18" s="1566"/>
      <c r="Y18" s="3529"/>
      <c r="Z18" s="1574"/>
      <c r="AA18" s="1575">
        <v>1</v>
      </c>
      <c r="AB18" s="1575">
        <v>1</v>
      </c>
      <c r="AC18" s="1575">
        <v>1</v>
      </c>
    </row>
    <row r="19" spans="1:29" ht="15">
      <c r="A19" s="531"/>
      <c r="B19" s="2598" t="s">
        <v>2544</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529"/>
      <c r="Q19" s="1571" t="str">
        <f>B19</f>
        <v>公共配套设施</v>
      </c>
      <c r="R19" s="1572" t="s">
        <v>11</v>
      </c>
      <c r="S19" s="1573">
        <f>F19</f>
        <v>100</v>
      </c>
      <c r="T19" s="1572" t="s">
        <v>11</v>
      </c>
      <c r="U19" s="1573">
        <f>H19</f>
        <v>100</v>
      </c>
      <c r="V19" s="1572" t="s">
        <v>11</v>
      </c>
      <c r="W19" s="1573">
        <f>J19</f>
        <v>100</v>
      </c>
      <c r="X19" s="1566"/>
      <c r="Y19" s="3529"/>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0"/>
      <c r="M20" s="2132"/>
      <c r="N20" s="2132"/>
      <c r="O20" s="2139"/>
      <c r="P20" s="3529"/>
      <c r="Q20" s="1571"/>
      <c r="R20" s="1572"/>
      <c r="S20" s="1573"/>
      <c r="T20" s="1572"/>
      <c r="U20" s="1573"/>
      <c r="V20" s="1572"/>
      <c r="W20" s="1573"/>
      <c r="X20" s="1566"/>
      <c r="Y20" s="3529"/>
      <c r="Z20" s="1574"/>
      <c r="AA20" s="1575">
        <v>1</v>
      </c>
      <c r="AB20" s="1575">
        <v>1</v>
      </c>
      <c r="AC20" s="1575">
        <v>1</v>
      </c>
    </row>
    <row r="21" spans="1:29" ht="15">
      <c r="A21" s="531"/>
      <c r="B21" s="2591" t="s">
        <v>2556</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529"/>
      <c r="Q21" s="2577" t="str">
        <f>B21</f>
        <v>基础设施水平</v>
      </c>
      <c r="R21" s="1572" t="s">
        <v>11</v>
      </c>
      <c r="S21" s="1573">
        <f>F21</f>
        <v>100</v>
      </c>
      <c r="T21" s="1572" t="s">
        <v>11</v>
      </c>
      <c r="U21" s="1573">
        <f>H21</f>
        <v>100</v>
      </c>
      <c r="V21" s="1572" t="s">
        <v>11</v>
      </c>
      <c r="W21" s="1573">
        <f>J21</f>
        <v>100</v>
      </c>
      <c r="X21" s="2579"/>
      <c r="Y21" s="3529"/>
      <c r="Z21" s="2578" t="str">
        <f>Q21</f>
        <v>基础设施水平</v>
      </c>
      <c r="AA21" s="1575">
        <f>D21/F21</f>
        <v>1</v>
      </c>
      <c r="AB21" s="1575">
        <f>D21/H21</f>
        <v>1</v>
      </c>
      <c r="AC21" s="1575">
        <f>D21/J21</f>
        <v>1</v>
      </c>
    </row>
    <row r="22" spans="1:29" ht="15">
      <c r="A22" s="531"/>
      <c r="B22" s="921"/>
      <c r="C22" s="872"/>
      <c r="D22" s="554"/>
      <c r="E22" s="575"/>
      <c r="F22" s="556"/>
      <c r="G22" s="575"/>
      <c r="H22" s="554"/>
      <c r="I22" s="575"/>
      <c r="J22" s="554"/>
      <c r="K22" s="2597"/>
      <c r="L22" s="2140"/>
      <c r="M22" s="2132"/>
      <c r="N22" s="2132"/>
      <c r="O22" s="2139"/>
      <c r="P22" s="3529"/>
      <c r="Q22" s="2577"/>
      <c r="R22" s="1572"/>
      <c r="S22" s="1573"/>
      <c r="T22" s="1572"/>
      <c r="U22" s="1573"/>
      <c r="V22" s="1572"/>
      <c r="W22" s="1573"/>
      <c r="X22" s="2579"/>
      <c r="Y22" s="3529"/>
      <c r="Z22" s="2578"/>
      <c r="AA22" s="1575">
        <v>1</v>
      </c>
      <c r="AB22" s="1575">
        <v>1</v>
      </c>
      <c r="AC22" s="1575">
        <v>1</v>
      </c>
    </row>
    <row r="23" spans="1:29" ht="15">
      <c r="A23" s="531"/>
      <c r="B23" s="870" t="s">
        <v>297</v>
      </c>
      <c r="C23" s="871"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529"/>
      <c r="Q23" s="1571" t="str">
        <f>B23</f>
        <v>自然及人文环境</v>
      </c>
      <c r="R23" s="1572" t="s">
        <v>11</v>
      </c>
      <c r="S23" s="1573">
        <f>F23</f>
        <v>100</v>
      </c>
      <c r="T23" s="1572" t="s">
        <v>11</v>
      </c>
      <c r="U23" s="1573">
        <f>H23</f>
        <v>100</v>
      </c>
      <c r="V23" s="1572" t="s">
        <v>11</v>
      </c>
      <c r="W23" s="1573">
        <f>J23</f>
        <v>100</v>
      </c>
      <c r="X23" s="1566"/>
      <c r="Y23" s="3529"/>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0"/>
      <c r="M24" s="2132"/>
      <c r="N24" s="2132"/>
      <c r="O24" s="2139"/>
      <c r="P24" s="3529"/>
      <c r="Q24" s="1571"/>
      <c r="R24" s="1572"/>
      <c r="S24" s="1573"/>
      <c r="T24" s="1572"/>
      <c r="U24" s="1573"/>
      <c r="V24" s="1572"/>
      <c r="W24" s="1573"/>
      <c r="X24" s="1566"/>
      <c r="Y24" s="3529"/>
      <c r="Z24" s="1574"/>
      <c r="AA24" s="1575">
        <v>1</v>
      </c>
      <c r="AB24" s="1575">
        <v>1</v>
      </c>
      <c r="AC24" s="1575">
        <v>1</v>
      </c>
    </row>
    <row r="25" spans="1:29" ht="15">
      <c r="A25" s="531"/>
      <c r="B25" s="1893" t="s">
        <v>2256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529"/>
      <c r="Q25" s="1571" t="str">
        <f t="shared" ref="Q25:Q46" si="8">B25</f>
        <v>楼层-1</v>
      </c>
      <c r="R25" s="1572" t="s">
        <v>11</v>
      </c>
      <c r="S25" s="1573">
        <f>F25</f>
        <v>100</v>
      </c>
      <c r="T25" s="1572" t="s">
        <v>11</v>
      </c>
      <c r="U25" s="1573">
        <f>H25</f>
        <v>100</v>
      </c>
      <c r="V25" s="1572" t="s">
        <v>11</v>
      </c>
      <c r="W25" s="1573">
        <f>J25</f>
        <v>100</v>
      </c>
      <c r="X25" s="1566"/>
      <c r="Y25" s="3529"/>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529"/>
      <c r="Q26" s="1571" t="str">
        <f t="shared" si="8"/>
        <v>朝向</v>
      </c>
      <c r="R26" s="1572" t="s">
        <v>11</v>
      </c>
      <c r="S26" s="1573">
        <f>F26</f>
        <v>100</v>
      </c>
      <c r="T26" s="1572" t="s">
        <v>11</v>
      </c>
      <c r="U26" s="1573">
        <f>H26</f>
        <v>100</v>
      </c>
      <c r="V26" s="1572" t="s">
        <v>11</v>
      </c>
      <c r="W26" s="1573">
        <f>J26</f>
        <v>100</v>
      </c>
      <c r="X26" s="1566"/>
      <c r="Y26" s="3529"/>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529"/>
      <c r="Q27" s="1150" t="str">
        <f t="shared" si="8"/>
        <v>道路级别</v>
      </c>
      <c r="R27" s="1567" t="s">
        <v>11</v>
      </c>
      <c r="S27" s="1568">
        <f>F27</f>
        <v>100</v>
      </c>
      <c r="T27" s="1567" t="s">
        <v>11</v>
      </c>
      <c r="U27" s="1568">
        <f>H27</f>
        <v>100</v>
      </c>
      <c r="V27" s="1567" t="s">
        <v>11</v>
      </c>
      <c r="W27" s="1568">
        <f>J27</f>
        <v>100</v>
      </c>
      <c r="X27" s="1569"/>
      <c r="Y27" s="3529"/>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529"/>
      <c r="Q28" s="1571">
        <f t="shared" si="8"/>
        <v>111</v>
      </c>
      <c r="R28" s="1572" t="s">
        <v>11</v>
      </c>
      <c r="S28" s="1573">
        <f t="shared" ref="S28:S46" si="9">F28</f>
        <v>100</v>
      </c>
      <c r="T28" s="1572" t="s">
        <v>11</v>
      </c>
      <c r="U28" s="1573">
        <f t="shared" ref="U28:U46" si="10">H28</f>
        <v>100</v>
      </c>
      <c r="V28" s="1572" t="s">
        <v>11</v>
      </c>
      <c r="W28" s="1573">
        <f t="shared" ref="W28:W46" si="11">J28</f>
        <v>100</v>
      </c>
      <c r="X28" s="1566"/>
      <c r="Y28" s="3529"/>
      <c r="Z28" s="1574">
        <f t="shared" ref="Z28:Z46" si="12">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529"/>
      <c r="Q29" s="1571">
        <f t="shared" si="8"/>
        <v>111</v>
      </c>
      <c r="R29" s="1572" t="s">
        <v>11</v>
      </c>
      <c r="S29" s="1573">
        <f t="shared" si="9"/>
        <v>100</v>
      </c>
      <c r="T29" s="1572" t="s">
        <v>11</v>
      </c>
      <c r="U29" s="1573">
        <f t="shared" si="10"/>
        <v>100</v>
      </c>
      <c r="V29" s="1572" t="s">
        <v>11</v>
      </c>
      <c r="W29" s="1573">
        <f t="shared" si="11"/>
        <v>100</v>
      </c>
      <c r="X29" s="1566"/>
      <c r="Y29" s="3529"/>
      <c r="Z29" s="1574">
        <f t="shared" si="12"/>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529"/>
      <c r="Q30" s="1571">
        <f t="shared" si="8"/>
        <v>111</v>
      </c>
      <c r="R30" s="1572" t="s">
        <v>11</v>
      </c>
      <c r="S30" s="1573">
        <f t="shared" si="9"/>
        <v>100</v>
      </c>
      <c r="T30" s="1572" t="s">
        <v>11</v>
      </c>
      <c r="U30" s="1573">
        <f t="shared" si="10"/>
        <v>100</v>
      </c>
      <c r="V30" s="1572" t="s">
        <v>11</v>
      </c>
      <c r="W30" s="1573">
        <f t="shared" si="11"/>
        <v>100</v>
      </c>
      <c r="X30" s="1566"/>
      <c r="Y30" s="3529"/>
      <c r="Z30" s="1574">
        <f t="shared" si="12"/>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529"/>
      <c r="Q31" s="1571">
        <f t="shared" si="8"/>
        <v>111</v>
      </c>
      <c r="R31" s="1572" t="s">
        <v>11</v>
      </c>
      <c r="S31" s="1573">
        <f t="shared" si="9"/>
        <v>100</v>
      </c>
      <c r="T31" s="1572" t="s">
        <v>11</v>
      </c>
      <c r="U31" s="1573">
        <f t="shared" si="10"/>
        <v>100</v>
      </c>
      <c r="V31" s="1572" t="s">
        <v>11</v>
      </c>
      <c r="W31" s="1573">
        <f t="shared" si="11"/>
        <v>100</v>
      </c>
      <c r="X31" s="1566"/>
      <c r="Y31" s="3529"/>
      <c r="Z31" s="1574">
        <f t="shared" si="12"/>
        <v>111</v>
      </c>
      <c r="AA31" s="1575">
        <f t="shared" si="3"/>
        <v>1</v>
      </c>
      <c r="AB31" s="1575">
        <f t="shared" si="4"/>
        <v>1</v>
      </c>
      <c r="AC31" s="1575">
        <f t="shared" si="5"/>
        <v>1</v>
      </c>
    </row>
    <row r="32" spans="1:29" ht="15">
      <c r="A32" s="2905" t="s">
        <v>2752</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530" t="s">
        <v>550</v>
      </c>
      <c r="Q32" s="1571" t="str">
        <f t="shared" si="8"/>
        <v>建筑类型</v>
      </c>
      <c r="R32" s="1572" t="s">
        <v>11</v>
      </c>
      <c r="S32" s="1573">
        <f t="shared" si="9"/>
        <v>100</v>
      </c>
      <c r="T32" s="1572" t="s">
        <v>11</v>
      </c>
      <c r="U32" s="1573">
        <f t="shared" si="10"/>
        <v>100</v>
      </c>
      <c r="V32" s="1572" t="s">
        <v>11</v>
      </c>
      <c r="W32" s="1573">
        <f t="shared" si="11"/>
        <v>100</v>
      </c>
      <c r="X32" s="1566"/>
      <c r="Y32" s="3531" t="s">
        <v>550</v>
      </c>
      <c r="Z32" s="1574" t="str">
        <f t="shared" si="12"/>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531"/>
      <c r="Q33" s="1604" t="str">
        <f t="shared" si="8"/>
        <v>项目建筑规模</v>
      </c>
      <c r="R33" s="1576" t="s">
        <v>11</v>
      </c>
      <c r="S33" s="1577" t="e">
        <f t="shared" si="9"/>
        <v>#N/A</v>
      </c>
      <c r="T33" s="1576" t="s">
        <v>11</v>
      </c>
      <c r="U33" s="1577" t="e">
        <f t="shared" si="10"/>
        <v>#N/A</v>
      </c>
      <c r="V33" s="1576" t="s">
        <v>11</v>
      </c>
      <c r="W33" s="1577" t="e">
        <f t="shared" si="11"/>
        <v>#N/A</v>
      </c>
      <c r="X33" s="1578"/>
      <c r="Y33" s="3531"/>
      <c r="Z33" s="1579" t="str">
        <f t="shared" si="12"/>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531"/>
      <c r="Q34" s="1571" t="str">
        <f t="shared" si="8"/>
        <v>建筑结构</v>
      </c>
      <c r="R34" s="1572" t="s">
        <v>11</v>
      </c>
      <c r="S34" s="1573">
        <f t="shared" si="9"/>
        <v>100</v>
      </c>
      <c r="T34" s="1572" t="s">
        <v>11</v>
      </c>
      <c r="U34" s="1573">
        <f t="shared" si="10"/>
        <v>100</v>
      </c>
      <c r="V34" s="1572" t="s">
        <v>11</v>
      </c>
      <c r="W34" s="1573">
        <f t="shared" si="11"/>
        <v>100</v>
      </c>
      <c r="X34" s="1566"/>
      <c r="Y34" s="3531"/>
      <c r="Z34" s="1574" t="str">
        <f t="shared" si="12"/>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531"/>
      <c r="Q35" s="1571" t="str">
        <f t="shared" si="8"/>
        <v>建筑品质</v>
      </c>
      <c r="R35" s="1572" t="s">
        <v>11</v>
      </c>
      <c r="S35" s="1573">
        <f t="shared" si="9"/>
        <v>100</v>
      </c>
      <c r="T35" s="1572" t="s">
        <v>11</v>
      </c>
      <c r="U35" s="1573">
        <f t="shared" si="10"/>
        <v>100</v>
      </c>
      <c r="V35" s="1572" t="s">
        <v>11</v>
      </c>
      <c r="W35" s="1573">
        <f t="shared" si="11"/>
        <v>100</v>
      </c>
      <c r="X35" s="1566"/>
      <c r="Y35" s="3531"/>
      <c r="Z35" s="1574" t="str">
        <f t="shared" si="12"/>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531"/>
      <c r="Q36" s="1571" t="str">
        <f t="shared" si="8"/>
        <v>公共部分装修</v>
      </c>
      <c r="R36" s="1572" t="s">
        <v>11</v>
      </c>
      <c r="S36" s="1573">
        <f t="shared" si="9"/>
        <v>100</v>
      </c>
      <c r="T36" s="1572" t="s">
        <v>11</v>
      </c>
      <c r="U36" s="1573">
        <f t="shared" si="10"/>
        <v>100</v>
      </c>
      <c r="V36" s="1572" t="s">
        <v>11</v>
      </c>
      <c r="W36" s="1573">
        <f t="shared" si="11"/>
        <v>100</v>
      </c>
      <c r="X36" s="1566"/>
      <c r="Y36" s="3531"/>
      <c r="Z36" s="1574" t="str">
        <f t="shared" si="12"/>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531"/>
      <c r="Q37" s="1150" t="str">
        <f t="shared" si="8"/>
        <v>成新度</v>
      </c>
      <c r="R37" s="1567" t="s">
        <v>11</v>
      </c>
      <c r="S37" s="1568" t="e">
        <f t="shared" si="9"/>
        <v>#N/A</v>
      </c>
      <c r="T37" s="1567" t="s">
        <v>11</v>
      </c>
      <c r="U37" s="1568" t="e">
        <f t="shared" si="10"/>
        <v>#N/A</v>
      </c>
      <c r="V37" s="1567" t="s">
        <v>11</v>
      </c>
      <c r="W37" s="1568" t="e">
        <f t="shared" si="11"/>
        <v>#N/A</v>
      </c>
      <c r="X37" s="1569"/>
      <c r="Y37" s="3531"/>
      <c r="Z37" s="1149" t="str">
        <f t="shared" si="12"/>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531" t="s">
        <v>550</v>
      </c>
      <c r="Q38" s="1571" t="str">
        <f t="shared" si="8"/>
        <v>物业管理</v>
      </c>
      <c r="R38" s="1572" t="s">
        <v>11</v>
      </c>
      <c r="S38" s="1573">
        <f t="shared" si="9"/>
        <v>100</v>
      </c>
      <c r="T38" s="1572" t="s">
        <v>11</v>
      </c>
      <c r="U38" s="1573">
        <f t="shared" si="10"/>
        <v>100</v>
      </c>
      <c r="V38" s="1572" t="s">
        <v>11</v>
      </c>
      <c r="W38" s="1573">
        <f t="shared" si="11"/>
        <v>100</v>
      </c>
      <c r="X38" s="1566"/>
      <c r="Y38" s="3531" t="s">
        <v>550</v>
      </c>
      <c r="Z38" s="1574" t="str">
        <f t="shared" si="12"/>
        <v>物业管理</v>
      </c>
      <c r="AA38" s="1575">
        <f t="shared" si="3"/>
        <v>1</v>
      </c>
      <c r="AB38" s="1575">
        <f t="shared" si="4"/>
        <v>1</v>
      </c>
      <c r="AC38" s="1575">
        <f t="shared" si="5"/>
        <v>1</v>
      </c>
    </row>
    <row r="39" spans="1:29" ht="15">
      <c r="A39" s="593"/>
      <c r="B39" s="1893" t="s">
        <v>2562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531"/>
      <c r="Q39" s="1571" t="str">
        <f t="shared" si="8"/>
        <v>市政基础设施</v>
      </c>
      <c r="R39" s="1572" t="s">
        <v>11</v>
      </c>
      <c r="S39" s="1573">
        <f t="shared" si="9"/>
        <v>100</v>
      </c>
      <c r="T39" s="1572" t="s">
        <v>11</v>
      </c>
      <c r="U39" s="1573">
        <f t="shared" si="10"/>
        <v>100</v>
      </c>
      <c r="V39" s="1572" t="s">
        <v>11</v>
      </c>
      <c r="W39" s="1573">
        <f t="shared" si="11"/>
        <v>100</v>
      </c>
      <c r="X39" s="1566"/>
      <c r="Y39" s="3531"/>
      <c r="Z39" s="1574" t="str">
        <f t="shared" si="12"/>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531"/>
      <c r="Q40" s="1571" t="str">
        <f t="shared" si="8"/>
        <v>房型</v>
      </c>
      <c r="R40" s="1572" t="s">
        <v>11</v>
      </c>
      <c r="S40" s="1573">
        <f t="shared" si="9"/>
        <v>100</v>
      </c>
      <c r="T40" s="1572" t="s">
        <v>11</v>
      </c>
      <c r="U40" s="1573">
        <f t="shared" si="10"/>
        <v>100</v>
      </c>
      <c r="V40" s="1572" t="s">
        <v>11</v>
      </c>
      <c r="W40" s="1573">
        <f t="shared" si="11"/>
        <v>100</v>
      </c>
      <c r="X40" s="1566"/>
      <c r="Y40" s="3531"/>
      <c r="Z40" s="1574" t="str">
        <f t="shared" si="12"/>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531"/>
      <c r="Q41" s="1604" t="str">
        <f t="shared" si="8"/>
        <v>单套/主力户型建筑面积</v>
      </c>
      <c r="R41" s="1576" t="s">
        <v>11</v>
      </c>
      <c r="S41" s="1577">
        <f t="shared" si="9"/>
        <v>100</v>
      </c>
      <c r="T41" s="1576" t="s">
        <v>11</v>
      </c>
      <c r="U41" s="1577">
        <f t="shared" si="10"/>
        <v>100</v>
      </c>
      <c r="V41" s="1576" t="s">
        <v>11</v>
      </c>
      <c r="W41" s="1577">
        <f t="shared" si="11"/>
        <v>100</v>
      </c>
      <c r="X41" s="1578"/>
      <c r="Y41" s="3531"/>
      <c r="Z41" s="1579" t="str">
        <f t="shared" si="12"/>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531"/>
      <c r="Q42" s="1571" t="str">
        <f t="shared" si="8"/>
        <v>内部装修</v>
      </c>
      <c r="R42" s="1572" t="s">
        <v>11</v>
      </c>
      <c r="S42" s="1573">
        <f t="shared" si="9"/>
        <v>100</v>
      </c>
      <c r="T42" s="1572" t="s">
        <v>11</v>
      </c>
      <c r="U42" s="1573">
        <f t="shared" si="10"/>
        <v>100</v>
      </c>
      <c r="V42" s="1572" t="s">
        <v>11</v>
      </c>
      <c r="W42" s="1573">
        <f t="shared" si="11"/>
        <v>100</v>
      </c>
      <c r="X42" s="1566"/>
      <c r="Y42" s="3531"/>
      <c r="Z42" s="1574" t="str">
        <f t="shared" si="12"/>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531"/>
      <c r="Q43" s="1571" t="str">
        <f t="shared" si="8"/>
        <v>内部装修维护情况</v>
      </c>
      <c r="R43" s="1572" t="s">
        <v>11</v>
      </c>
      <c r="S43" s="1573">
        <f t="shared" si="9"/>
        <v>100</v>
      </c>
      <c r="T43" s="1572" t="s">
        <v>11</v>
      </c>
      <c r="U43" s="1573">
        <f t="shared" si="10"/>
        <v>100</v>
      </c>
      <c r="V43" s="1572" t="s">
        <v>11</v>
      </c>
      <c r="W43" s="1573">
        <f t="shared" si="11"/>
        <v>100</v>
      </c>
      <c r="X43" s="1566"/>
      <c r="Y43" s="3531"/>
      <c r="Z43" s="1574" t="str">
        <f t="shared" si="12"/>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531"/>
      <c r="Q44" s="1150">
        <f t="shared" si="8"/>
        <v>111</v>
      </c>
      <c r="R44" s="1567" t="s">
        <v>11</v>
      </c>
      <c r="S44" s="1568">
        <f t="shared" si="9"/>
        <v>100</v>
      </c>
      <c r="T44" s="1567" t="s">
        <v>11</v>
      </c>
      <c r="U44" s="1568">
        <f t="shared" si="10"/>
        <v>100</v>
      </c>
      <c r="V44" s="1567" t="s">
        <v>11</v>
      </c>
      <c r="W44" s="1568">
        <f t="shared" si="11"/>
        <v>100</v>
      </c>
      <c r="X44" s="1569"/>
      <c r="Y44" s="3531"/>
      <c r="Z44" s="1149">
        <f t="shared" si="12"/>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531"/>
      <c r="Q45" s="1571">
        <f t="shared" si="8"/>
        <v>111</v>
      </c>
      <c r="R45" s="1572" t="s">
        <v>11</v>
      </c>
      <c r="S45" s="1573">
        <f t="shared" si="9"/>
        <v>100</v>
      </c>
      <c r="T45" s="1572" t="s">
        <v>11</v>
      </c>
      <c r="U45" s="1573">
        <f t="shared" si="10"/>
        <v>100</v>
      </c>
      <c r="V45" s="1572" t="s">
        <v>11</v>
      </c>
      <c r="W45" s="1573">
        <f t="shared" si="11"/>
        <v>100</v>
      </c>
      <c r="X45" s="1566"/>
      <c r="Y45" s="3531"/>
      <c r="Z45" s="1574">
        <f t="shared" si="12"/>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613"/>
      <c r="Q46" s="1571">
        <f t="shared" si="8"/>
        <v>111</v>
      </c>
      <c r="R46" s="1572" t="s">
        <v>10</v>
      </c>
      <c r="S46" s="1573">
        <f t="shared" si="9"/>
        <v>100</v>
      </c>
      <c r="T46" s="1572" t="s">
        <v>10</v>
      </c>
      <c r="U46" s="1573">
        <f t="shared" si="10"/>
        <v>100</v>
      </c>
      <c r="V46" s="1572" t="s">
        <v>10</v>
      </c>
      <c r="W46" s="1573">
        <f t="shared" si="11"/>
        <v>100</v>
      </c>
      <c r="X46" s="1566"/>
      <c r="Y46" s="3613"/>
      <c r="Z46" s="1574">
        <f t="shared" si="12"/>
        <v>111</v>
      </c>
      <c r="AA46" s="1575">
        <f t="shared" si="3"/>
        <v>1</v>
      </c>
      <c r="AB46" s="1575">
        <f t="shared" si="4"/>
        <v>1</v>
      </c>
      <c r="AC46" s="1575">
        <f t="shared" si="5"/>
        <v>1</v>
      </c>
    </row>
    <row r="47" spans="1:29" ht="15">
      <c r="A47" s="606" t="s">
        <v>736</v>
      </c>
      <c r="B47" s="886"/>
      <c r="C47" s="2625" t="s">
        <v>9</v>
      </c>
      <c r="D47" s="2626"/>
      <c r="E47" s="2627"/>
      <c r="F47" s="2628"/>
      <c r="G47" s="2629"/>
      <c r="H47" s="2630"/>
      <c r="I47" s="2627"/>
      <c r="J47" s="2630"/>
      <c r="K47" s="1605"/>
      <c r="L47" s="2142"/>
      <c r="M47" s="2143"/>
      <c r="N47" s="2132"/>
      <c r="O47" s="2143"/>
      <c r="P47" s="3494" t="str">
        <f>A47</f>
        <v>成交单价（元/平方米）</v>
      </c>
      <c r="Q47" s="3494"/>
      <c r="R47" s="3612">
        <f>E47</f>
        <v>0</v>
      </c>
      <c r="S47" s="3612"/>
      <c r="T47" s="3612">
        <f>G47</f>
        <v>0</v>
      </c>
      <c r="U47" s="3612"/>
      <c r="V47" s="3612">
        <f>I47</f>
        <v>0</v>
      </c>
      <c r="W47" s="3612"/>
      <c r="X47" s="1558"/>
      <c r="Y47" s="1580"/>
      <c r="Z47" s="1558"/>
      <c r="AA47" s="1558"/>
      <c r="AB47" s="1558"/>
      <c r="AC47" s="1558"/>
    </row>
    <row r="48" spans="1:29" ht="15.75" thickBot="1">
      <c r="A48" s="614" t="s">
        <v>2757</v>
      </c>
      <c r="B48" s="887"/>
      <c r="C48" s="2631" t="e">
        <f>R49</f>
        <v>#DIV/0!</v>
      </c>
      <c r="D48" s="2632"/>
      <c r="E48" s="2633" t="e">
        <f>R48</f>
        <v>#DIV/0!</v>
      </c>
      <c r="F48" s="2633"/>
      <c r="G48" s="2631" t="e">
        <f>T48</f>
        <v>#DIV/0!</v>
      </c>
      <c r="H48" s="2632"/>
      <c r="I48" s="2633" t="e">
        <f>V48</f>
        <v>#DIV/0!</v>
      </c>
      <c r="J48" s="2632"/>
      <c r="K48" s="1606"/>
      <c r="L48" s="2142"/>
      <c r="M48" s="2143"/>
      <c r="N48" s="2143"/>
      <c r="O48" s="2143"/>
      <c r="P48" s="3494" t="str">
        <f>A48</f>
        <v>比较价格（元/平方米）</v>
      </c>
      <c r="Q48" s="3494"/>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1558"/>
      <c r="Y48" s="1558"/>
      <c r="Z48" s="1558"/>
      <c r="AA48" s="1558"/>
      <c r="AB48" s="1558"/>
      <c r="AC48" s="1558"/>
    </row>
    <row r="49" spans="1:29" ht="15.75" thickBot="1">
      <c r="A49" s="620" t="s">
        <v>2921</v>
      </c>
      <c r="B49" s="621"/>
      <c r="C49" s="2634" t="e">
        <f>R49</f>
        <v>#DIV/0!</v>
      </c>
      <c r="D49" s="2634"/>
      <c r="E49" s="2634"/>
      <c r="F49" s="2634"/>
      <c r="G49" s="2634"/>
      <c r="H49" s="2634"/>
      <c r="I49" s="2634"/>
      <c r="J49" s="2634"/>
      <c r="K49" s="1607"/>
      <c r="L49" s="2142"/>
      <c r="M49" s="2143"/>
      <c r="N49" s="2143"/>
      <c r="O49" s="2143"/>
      <c r="P49" s="3491" t="str">
        <f>A49</f>
        <v>估价对象XX用房的比较价格（楼面单价，元/平方米）</v>
      </c>
      <c r="Q49" s="3492"/>
      <c r="R49" s="3611" t="e">
        <f>IF(F1="售价",ROUND(AVERAGE(R48:V48),0),ROUND(AVERAGE(R48:V48),1))</f>
        <v>#DIV/0!</v>
      </c>
      <c r="S49" s="3611"/>
      <c r="T49" s="3611"/>
      <c r="U49" s="3611"/>
      <c r="V49" s="3611"/>
      <c r="W49" s="3611"/>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529</v>
      </c>
      <c r="B58" s="645"/>
      <c r="C58" s="2802" t="str">
        <f>YEAR(C7)&amp;"-"&amp;MONTH(C7)</f>
        <v>2018-12</v>
      </c>
      <c r="D58" s="2802">
        <f>EDATE(C58,-1)</f>
        <v>43405</v>
      </c>
      <c r="E58" s="2802">
        <f t="shared" ref="E58:O58" si="13">EDATE(D58,-1)</f>
        <v>43374</v>
      </c>
      <c r="F58" s="2802">
        <f t="shared" si="13"/>
        <v>43344</v>
      </c>
      <c r="G58" s="2802">
        <f t="shared" si="13"/>
        <v>43313</v>
      </c>
      <c r="H58" s="2802">
        <f t="shared" si="13"/>
        <v>43282</v>
      </c>
      <c r="I58" s="2802">
        <f t="shared" si="13"/>
        <v>43252</v>
      </c>
      <c r="J58" s="2802">
        <f t="shared" si="13"/>
        <v>43221</v>
      </c>
      <c r="K58" s="2802">
        <f t="shared" si="13"/>
        <v>43191</v>
      </c>
      <c r="L58" s="2802">
        <f t="shared" si="13"/>
        <v>43160</v>
      </c>
      <c r="M58" s="2802">
        <f t="shared" si="13"/>
        <v>43132</v>
      </c>
      <c r="N58" s="2802">
        <f t="shared" si="13"/>
        <v>43101</v>
      </c>
      <c r="O58" s="2802">
        <f t="shared" si="13"/>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4">C66-$K10</f>
        <v>100</v>
      </c>
      <c r="E66" s="678">
        <f t="shared" si="14"/>
        <v>100</v>
      </c>
      <c r="F66" s="678">
        <f t="shared" si="14"/>
        <v>100</v>
      </c>
      <c r="G66" s="678">
        <f t="shared" si="14"/>
        <v>100</v>
      </c>
      <c r="H66" s="678">
        <f t="shared" si="14"/>
        <v>100</v>
      </c>
      <c r="I66" s="678">
        <f t="shared" si="14"/>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5">D68&amp;"（含）"&amp;"-"&amp;E68</f>
        <v>（含）-</v>
      </c>
      <c r="E67" s="681" t="str">
        <f t="shared" si="15"/>
        <v>（含）-</v>
      </c>
      <c r="F67" s="681" t="str">
        <f t="shared" si="15"/>
        <v>（含）-</v>
      </c>
      <c r="G67" s="681" t="str">
        <f t="shared" si="15"/>
        <v>（含）-</v>
      </c>
      <c r="H67" s="681" t="str">
        <f t="shared" si="15"/>
        <v>（含）-</v>
      </c>
      <c r="I67" s="681" t="str">
        <f t="shared" si="15"/>
        <v>（含）-</v>
      </c>
      <c r="J67" s="681" t="str">
        <f t="shared" si="15"/>
        <v>（含）-</v>
      </c>
      <c r="K67" s="681" t="str">
        <f t="shared" si="15"/>
        <v>（含）-</v>
      </c>
      <c r="L67" s="681" t="str">
        <f t="shared" si="15"/>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6">C69-$K11</f>
        <v>100</v>
      </c>
      <c r="E69" s="678">
        <f t="shared" si="16"/>
        <v>100</v>
      </c>
      <c r="F69" s="678">
        <f t="shared" si="16"/>
        <v>100</v>
      </c>
      <c r="G69" s="678">
        <f t="shared" si="16"/>
        <v>100</v>
      </c>
      <c r="H69" s="678">
        <f t="shared" si="16"/>
        <v>100</v>
      </c>
      <c r="I69" s="678">
        <f t="shared" si="16"/>
        <v>100</v>
      </c>
      <c r="J69" s="678">
        <f t="shared" si="16"/>
        <v>100</v>
      </c>
      <c r="K69" s="678">
        <f t="shared" si="16"/>
        <v>100</v>
      </c>
      <c r="L69" s="678">
        <f t="shared" si="16"/>
        <v>100</v>
      </c>
      <c r="M69" s="679">
        <f t="shared" si="16"/>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2556</v>
      </c>
      <c r="C82" s="2596" t="s">
        <v>2557</v>
      </c>
      <c r="D82" s="2596" t="s">
        <v>2558</v>
      </c>
      <c r="E82" s="2596" t="s">
        <v>2559</v>
      </c>
      <c r="F82" s="2596" t="s">
        <v>2560</v>
      </c>
      <c r="G82" s="2596" t="s">
        <v>2561</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18">C89-$K26</f>
        <v>100</v>
      </c>
      <c r="E89" s="678">
        <f t="shared" si="18"/>
        <v>100</v>
      </c>
      <c r="F89" s="678">
        <f t="shared" si="18"/>
        <v>100</v>
      </c>
      <c r="G89" s="678">
        <f t="shared" si="18"/>
        <v>100</v>
      </c>
      <c r="H89" s="678">
        <f t="shared" si="18"/>
        <v>100</v>
      </c>
      <c r="I89" s="678">
        <f t="shared" si="18"/>
        <v>100</v>
      </c>
      <c r="J89" s="678">
        <f t="shared" si="18"/>
        <v>100</v>
      </c>
      <c r="K89" s="678">
        <f t="shared" si="18"/>
        <v>100</v>
      </c>
      <c r="L89" s="678">
        <f t="shared" si="18"/>
        <v>100</v>
      </c>
      <c r="M89" s="678">
        <f t="shared" si="18"/>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19">C101-$K32</f>
        <v>100</v>
      </c>
      <c r="E101" s="678">
        <f t="shared" si="19"/>
        <v>100</v>
      </c>
      <c r="F101" s="678">
        <f t="shared" si="19"/>
        <v>100</v>
      </c>
      <c r="G101" s="678">
        <f t="shared" si="19"/>
        <v>100</v>
      </c>
      <c r="H101" s="678">
        <f t="shared" si="19"/>
        <v>100</v>
      </c>
      <c r="I101" s="678">
        <f t="shared" si="19"/>
        <v>100</v>
      </c>
      <c r="J101" s="678">
        <f t="shared" si="19"/>
        <v>100</v>
      </c>
      <c r="K101" s="678">
        <f t="shared" si="19"/>
        <v>100</v>
      </c>
      <c r="L101" s="678">
        <f t="shared" si="19"/>
        <v>100</v>
      </c>
      <c r="M101" s="678">
        <f t="shared" si="19"/>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0">D103&amp;"(含)"&amp;"-"&amp;E103</f>
        <v>(含)-</v>
      </c>
      <c r="E102" s="707" t="str">
        <f t="shared" si="20"/>
        <v>(含)-</v>
      </c>
      <c r="F102" s="707" t="str">
        <f t="shared" si="20"/>
        <v>(含)-</v>
      </c>
      <c r="G102" s="707" t="str">
        <f t="shared" si="20"/>
        <v>(含)-</v>
      </c>
      <c r="H102" s="707" t="str">
        <f t="shared" si="20"/>
        <v>(含)-</v>
      </c>
      <c r="I102" s="707" t="str">
        <f t="shared" si="20"/>
        <v>(含)-</v>
      </c>
      <c r="J102" s="707" t="str">
        <f t="shared" si="20"/>
        <v>(含)-</v>
      </c>
      <c r="K102" s="707" t="str">
        <f t="shared" si="20"/>
        <v>(含)-</v>
      </c>
      <c r="L102" s="707" t="str">
        <f t="shared" si="20"/>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1">C106-$K34</f>
        <v>100</v>
      </c>
      <c r="E106" s="678">
        <f t="shared" si="21"/>
        <v>100</v>
      </c>
      <c r="F106" s="678">
        <f t="shared" si="21"/>
        <v>100</v>
      </c>
      <c r="G106" s="678">
        <f t="shared" si="21"/>
        <v>100</v>
      </c>
      <c r="H106" s="678">
        <f t="shared" si="21"/>
        <v>100</v>
      </c>
      <c r="I106" s="678">
        <f t="shared" si="21"/>
        <v>100</v>
      </c>
      <c r="J106" s="678">
        <f t="shared" si="21"/>
        <v>100</v>
      </c>
      <c r="K106" s="678">
        <f t="shared" si="21"/>
        <v>100</v>
      </c>
      <c r="L106" s="678">
        <f t="shared" si="21"/>
        <v>100</v>
      </c>
      <c r="M106" s="678">
        <f t="shared" si="21"/>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2">C108-$K35</f>
        <v>100</v>
      </c>
      <c r="E108" s="678">
        <f t="shared" si="22"/>
        <v>100</v>
      </c>
      <c r="F108" s="678">
        <f t="shared" si="22"/>
        <v>100</v>
      </c>
      <c r="G108" s="678">
        <f t="shared" si="22"/>
        <v>100</v>
      </c>
      <c r="H108" s="678">
        <f t="shared" si="22"/>
        <v>100</v>
      </c>
      <c r="I108" s="678">
        <f t="shared" si="22"/>
        <v>100</v>
      </c>
      <c r="J108" s="678">
        <f t="shared" si="22"/>
        <v>100</v>
      </c>
      <c r="K108" s="678">
        <f t="shared" si="22"/>
        <v>100</v>
      </c>
      <c r="L108" s="678">
        <f t="shared" si="22"/>
        <v>100</v>
      </c>
      <c r="M108" s="678">
        <f t="shared" si="22"/>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3">C110-$K36</f>
        <v>100</v>
      </c>
      <c r="E110" s="678">
        <f t="shared" si="23"/>
        <v>100</v>
      </c>
      <c r="F110" s="678">
        <f t="shared" si="23"/>
        <v>100</v>
      </c>
      <c r="G110" s="678">
        <f t="shared" si="23"/>
        <v>100</v>
      </c>
      <c r="H110" s="678">
        <f t="shared" si="23"/>
        <v>100</v>
      </c>
      <c r="I110" s="678">
        <f t="shared" si="23"/>
        <v>100</v>
      </c>
      <c r="J110" s="678">
        <f t="shared" si="23"/>
        <v>100</v>
      </c>
      <c r="K110" s="678">
        <f t="shared" si="23"/>
        <v>100</v>
      </c>
      <c r="L110" s="678">
        <f t="shared" si="23"/>
        <v>100</v>
      </c>
      <c r="M110" s="678">
        <f t="shared" si="23"/>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8">
        <f t="shared" si="24"/>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5">C119-$K40</f>
        <v>100</v>
      </c>
      <c r="E119" s="678">
        <f t="shared" si="25"/>
        <v>100</v>
      </c>
      <c r="F119" s="678">
        <f t="shared" si="25"/>
        <v>100</v>
      </c>
      <c r="G119" s="678">
        <f t="shared" si="25"/>
        <v>100</v>
      </c>
      <c r="H119" s="678">
        <f t="shared" si="25"/>
        <v>100</v>
      </c>
      <c r="I119" s="678">
        <f t="shared" si="25"/>
        <v>100</v>
      </c>
      <c r="J119" s="678">
        <f t="shared" si="25"/>
        <v>100</v>
      </c>
      <c r="K119" s="678">
        <f t="shared" si="25"/>
        <v>100</v>
      </c>
      <c r="L119" s="678">
        <f t="shared" si="25"/>
        <v>100</v>
      </c>
      <c r="M119" s="678">
        <f t="shared" si="25"/>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8">
        <f t="shared" si="26"/>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68"/>
      <c r="E1" s="505"/>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500" t="s">
        <v>522</v>
      </c>
      <c r="D4" s="3501"/>
      <c r="E4" s="3538" t="s">
        <v>523</v>
      </c>
      <c r="F4" s="3539"/>
      <c r="G4" s="3500" t="s">
        <v>524</v>
      </c>
      <c r="H4" s="3501"/>
      <c r="I4" s="3500" t="s">
        <v>525</v>
      </c>
      <c r="J4" s="3501"/>
      <c r="K4" s="513" t="s">
        <v>526</v>
      </c>
      <c r="L4" s="2131"/>
      <c r="M4" s="2132"/>
      <c r="N4" s="2132"/>
      <c r="O4" s="2132"/>
      <c r="P4" s="3502" t="s">
        <v>527</v>
      </c>
      <c r="Q4" s="3503"/>
      <c r="R4" s="3508" t="s">
        <v>523</v>
      </c>
      <c r="S4" s="3509"/>
      <c r="T4" s="3508" t="s">
        <v>524</v>
      </c>
      <c r="U4" s="3509"/>
      <c r="V4" s="3495" t="s">
        <v>525</v>
      </c>
      <c r="W4" s="3495"/>
      <c r="X4" s="1566"/>
      <c r="Y4" s="3508" t="s">
        <v>527</v>
      </c>
      <c r="Z4" s="3509"/>
      <c r="AA4" s="3497" t="s">
        <v>523</v>
      </c>
      <c r="AB4" s="3495" t="s">
        <v>524</v>
      </c>
      <c r="AC4" s="3497" t="s">
        <v>525</v>
      </c>
    </row>
    <row r="5" spans="1:29" ht="15">
      <c r="A5" s="514"/>
      <c r="B5" s="515"/>
      <c r="C5" s="3532" t="s">
        <v>2915</v>
      </c>
      <c r="D5" s="3533"/>
      <c r="E5" s="3540" t="s">
        <v>2916</v>
      </c>
      <c r="F5" s="3541"/>
      <c r="G5" s="3532" t="s">
        <v>2917</v>
      </c>
      <c r="H5" s="3533"/>
      <c r="I5" s="3532" t="s">
        <v>2918</v>
      </c>
      <c r="J5" s="3533"/>
      <c r="K5" s="513"/>
      <c r="L5" s="2131"/>
      <c r="M5" s="2132"/>
      <c r="N5" s="2132"/>
      <c r="O5" s="2132"/>
      <c r="P5" s="3504"/>
      <c r="Q5" s="3505"/>
      <c r="R5" s="3510"/>
      <c r="S5" s="3511"/>
      <c r="T5" s="3510"/>
      <c r="U5" s="3511"/>
      <c r="V5" s="3495"/>
      <c r="W5" s="3495"/>
      <c r="X5" s="1566"/>
      <c r="Y5" s="3510"/>
      <c r="Z5" s="3511"/>
      <c r="AA5" s="3498"/>
      <c r="AB5" s="3495"/>
      <c r="AC5" s="3498"/>
    </row>
    <row r="6" spans="1:29" ht="15.75" thickBot="1">
      <c r="A6" s="516"/>
      <c r="B6" s="517"/>
      <c r="C6" s="3534" t="s">
        <v>2919</v>
      </c>
      <c r="D6" s="3535"/>
      <c r="E6" s="3536" t="s">
        <v>2919</v>
      </c>
      <c r="F6" s="3537"/>
      <c r="G6" s="3534" t="s">
        <v>2919</v>
      </c>
      <c r="H6" s="3535"/>
      <c r="I6" s="3534" t="s">
        <v>2919</v>
      </c>
      <c r="J6" s="3535"/>
      <c r="K6" s="513" t="s">
        <v>528</v>
      </c>
      <c r="L6" s="2131"/>
      <c r="M6" s="2132"/>
      <c r="N6" s="2132"/>
      <c r="O6" s="2132"/>
      <c r="P6" s="3506"/>
      <c r="Q6" s="3507"/>
      <c r="R6" s="3510"/>
      <c r="S6" s="3511"/>
      <c r="T6" s="3512"/>
      <c r="U6" s="3513"/>
      <c r="V6" s="3495"/>
      <c r="W6" s="3495"/>
      <c r="X6" s="1566"/>
      <c r="Y6" s="3512"/>
      <c r="Z6" s="3513"/>
      <c r="AA6" s="3499"/>
      <c r="AB6" s="3495"/>
      <c r="AC6" s="3499"/>
    </row>
    <row r="7" spans="1:29" s="1219" customFormat="1" ht="15.75" thickBot="1">
      <c r="A7" s="2909"/>
      <c r="B7" s="2916" t="s">
        <v>529</v>
      </c>
      <c r="C7" s="518">
        <f>'数据-取费表'!B2</f>
        <v>43444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525" t="s">
        <v>530</v>
      </c>
      <c r="Q7" s="3527"/>
      <c r="R7" s="1567" t="s">
        <v>8</v>
      </c>
      <c r="S7" s="1568">
        <f t="shared" ref="S7:S15" si="0">F7</f>
        <v>0</v>
      </c>
      <c r="T7" s="1567" t="s">
        <v>8</v>
      </c>
      <c r="U7" s="1568">
        <f t="shared" ref="U7:U15" si="1">H7</f>
        <v>0</v>
      </c>
      <c r="V7" s="1567" t="s">
        <v>8</v>
      </c>
      <c r="W7" s="1568">
        <f t="shared" ref="W7:W15"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525" t="s">
        <v>533</v>
      </c>
      <c r="Q8" s="3526"/>
      <c r="R8" s="1567" t="s">
        <v>8</v>
      </c>
      <c r="S8" s="1568">
        <f t="shared" si="0"/>
        <v>0</v>
      </c>
      <c r="T8" s="1567" t="s">
        <v>8</v>
      </c>
      <c r="U8" s="1568">
        <f t="shared" si="1"/>
        <v>0</v>
      </c>
      <c r="V8" s="1567" t="s">
        <v>8</v>
      </c>
      <c r="W8" s="1568">
        <f t="shared" si="2"/>
        <v>0</v>
      </c>
      <c r="X8" s="1569"/>
      <c r="Y8" s="3525" t="s">
        <v>533</v>
      </c>
      <c r="Z8" s="3526"/>
      <c r="AA8" s="1570" t="e">
        <f t="shared" ref="AA8:AA46" si="3">D8/F8</f>
        <v>#DIV/0!</v>
      </c>
      <c r="AB8" s="1570" t="e">
        <f t="shared" ref="AB8:AB46" si="4">D8/H8</f>
        <v>#DIV/0!</v>
      </c>
      <c r="AC8" s="1570" t="e">
        <f t="shared" ref="AC8:AC46" si="5">D8/J8</f>
        <v>#DIV/0!</v>
      </c>
    </row>
    <row r="9" spans="1:29" s="1219" customFormat="1" ht="15">
      <c r="A9" s="2911"/>
      <c r="B9" s="2918" t="s">
        <v>2753</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94" t="s">
        <v>535</v>
      </c>
      <c r="Q9" s="1150" t="str">
        <f t="shared" ref="Q9:Q15" si="6">B9</f>
        <v>用途</v>
      </c>
      <c r="R9" s="1567" t="s">
        <v>8</v>
      </c>
      <c r="S9" s="1568">
        <f t="shared" si="0"/>
        <v>100</v>
      </c>
      <c r="T9" s="1567" t="s">
        <v>8</v>
      </c>
      <c r="U9" s="1568">
        <f t="shared" si="1"/>
        <v>100</v>
      </c>
      <c r="V9" s="1567" t="s">
        <v>8</v>
      </c>
      <c r="W9" s="1568">
        <f t="shared" si="2"/>
        <v>100</v>
      </c>
      <c r="X9" s="1569"/>
      <c r="Y9" s="3440"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3"/>
      <c r="B11" s="2917"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94"/>
      <c r="Q11" s="1150" t="str">
        <f t="shared" si="6"/>
        <v>容积率</v>
      </c>
      <c r="R11" s="1567" t="s">
        <v>8</v>
      </c>
      <c r="S11" s="1568" t="e">
        <f t="shared" si="0"/>
        <v>#N/A</v>
      </c>
      <c r="T11" s="1567" t="s">
        <v>8</v>
      </c>
      <c r="U11" s="1568" t="e">
        <f t="shared" si="1"/>
        <v>#N/A</v>
      </c>
      <c r="V11" s="1567" t="s">
        <v>8</v>
      </c>
      <c r="W11" s="1568" t="e">
        <f t="shared" si="2"/>
        <v>#N/A</v>
      </c>
      <c r="X11" s="1569"/>
      <c r="Y11" s="3440"/>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94"/>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
      <c r="A13" s="2914"/>
      <c r="B13" s="292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94"/>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75" thickBot="1">
      <c r="A14" s="2915"/>
      <c r="B14" s="292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94"/>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 t="shared" si="3"/>
        <v>1</v>
      </c>
      <c r="AB14" s="1570">
        <f t="shared" si="4"/>
        <v>1</v>
      </c>
      <c r="AC14" s="1570">
        <f t="shared" si="5"/>
        <v>1</v>
      </c>
    </row>
    <row r="15" spans="1:29" ht="15">
      <c r="A15" s="2907" t="s">
        <v>2751</v>
      </c>
      <c r="B15" s="165" t="s">
        <v>541</v>
      </c>
      <c r="C15" s="866" t="str">
        <f>估价对象房地状况!C4</f>
        <v>较差</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528" t="s">
        <v>540</v>
      </c>
      <c r="Q15" s="1571" t="str">
        <f t="shared" si="6"/>
        <v>商业繁华度</v>
      </c>
      <c r="R15" s="1572" t="s">
        <v>8</v>
      </c>
      <c r="S15" s="1573">
        <f t="shared" si="0"/>
        <v>100</v>
      </c>
      <c r="T15" s="1572" t="s">
        <v>8</v>
      </c>
      <c r="U15" s="1573">
        <f t="shared" si="1"/>
        <v>100</v>
      </c>
      <c r="V15" s="1572" t="s">
        <v>8</v>
      </c>
      <c r="W15" s="1573">
        <f t="shared" si="2"/>
        <v>100</v>
      </c>
      <c r="X15" s="1566"/>
      <c r="Y15" s="3528"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529"/>
      <c r="Q16" s="1571"/>
      <c r="R16" s="1572"/>
      <c r="S16" s="1573"/>
      <c r="T16" s="1572"/>
      <c r="U16" s="1573"/>
      <c r="V16" s="1572"/>
      <c r="W16" s="1573"/>
      <c r="X16" s="1566"/>
      <c r="Y16" s="3529"/>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529"/>
      <c r="Q17" s="1571" t="str">
        <f>B17</f>
        <v>交通便捷度</v>
      </c>
      <c r="R17" s="1572" t="s">
        <v>8</v>
      </c>
      <c r="S17" s="1573">
        <f>F17</f>
        <v>100</v>
      </c>
      <c r="T17" s="1572" t="s">
        <v>8</v>
      </c>
      <c r="U17" s="1573">
        <f>H17</f>
        <v>100</v>
      </c>
      <c r="V17" s="1572" t="s">
        <v>8</v>
      </c>
      <c r="W17" s="1573">
        <f>J17</f>
        <v>100</v>
      </c>
      <c r="X17" s="1566"/>
      <c r="Y17" s="352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529"/>
      <c r="Q18" s="1571"/>
      <c r="R18" s="1572"/>
      <c r="S18" s="1573"/>
      <c r="T18" s="1572"/>
      <c r="U18" s="1573"/>
      <c r="V18" s="1572"/>
      <c r="W18" s="1573"/>
      <c r="X18" s="1566"/>
      <c r="Y18" s="3529"/>
      <c r="Z18" s="1574"/>
      <c r="AA18" s="1575">
        <v>1</v>
      </c>
      <c r="AB18" s="1575">
        <v>1</v>
      </c>
      <c r="AC18" s="1575">
        <v>1</v>
      </c>
    </row>
    <row r="19" spans="1:29" ht="15">
      <c r="A19" s="531"/>
      <c r="B19" s="2598" t="s">
        <v>2544</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529"/>
      <c r="Q19" s="1571" t="str">
        <f>B19</f>
        <v>公共配套设施</v>
      </c>
      <c r="R19" s="1572" t="s">
        <v>8</v>
      </c>
      <c r="S19" s="1573">
        <f>F19</f>
        <v>100</v>
      </c>
      <c r="T19" s="1572" t="s">
        <v>8</v>
      </c>
      <c r="U19" s="1573">
        <f>H19</f>
        <v>100</v>
      </c>
      <c r="V19" s="1572" t="s">
        <v>8</v>
      </c>
      <c r="W19" s="1573">
        <f>J19</f>
        <v>100</v>
      </c>
      <c r="X19" s="1566"/>
      <c r="Y19" s="3529"/>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0"/>
      <c r="M20" s="2132"/>
      <c r="N20" s="2132"/>
      <c r="O20" s="2139"/>
      <c r="P20" s="3529"/>
      <c r="Q20" s="1571"/>
      <c r="R20" s="1572"/>
      <c r="S20" s="1573"/>
      <c r="T20" s="1572"/>
      <c r="U20" s="1573"/>
      <c r="V20" s="1572"/>
      <c r="W20" s="1573"/>
      <c r="X20" s="1566"/>
      <c r="Y20" s="3529"/>
      <c r="Z20" s="1574"/>
      <c r="AA20" s="1575">
        <v>1</v>
      </c>
      <c r="AB20" s="1575">
        <v>1</v>
      </c>
      <c r="AC20" s="1575">
        <v>1</v>
      </c>
    </row>
    <row r="21" spans="1:29" ht="15">
      <c r="A21" s="531"/>
      <c r="B21" s="2591" t="s">
        <v>2556</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529"/>
      <c r="Q21" s="2577" t="str">
        <f>B21</f>
        <v>基础设施水平</v>
      </c>
      <c r="R21" s="1572" t="s">
        <v>8</v>
      </c>
      <c r="S21" s="1573">
        <f>F21</f>
        <v>100</v>
      </c>
      <c r="T21" s="1572" t="s">
        <v>8</v>
      </c>
      <c r="U21" s="1573">
        <f>H21</f>
        <v>100</v>
      </c>
      <c r="V21" s="1572" t="s">
        <v>8</v>
      </c>
      <c r="W21" s="1573">
        <f>J21</f>
        <v>100</v>
      </c>
      <c r="X21" s="2579"/>
      <c r="Y21" s="3529"/>
      <c r="Z21" s="2578" t="str">
        <f>Q21</f>
        <v>基础设施水平</v>
      </c>
      <c r="AA21" s="1575">
        <f>D21/F21</f>
        <v>1</v>
      </c>
      <c r="AB21" s="1575">
        <f>D21/H21</f>
        <v>1</v>
      </c>
      <c r="AC21" s="1575">
        <f>D21/J21</f>
        <v>1</v>
      </c>
    </row>
    <row r="22" spans="1:29" ht="15">
      <c r="A22" s="531"/>
      <c r="B22" s="921"/>
      <c r="C22" s="872"/>
      <c r="D22" s="554"/>
      <c r="E22" s="575"/>
      <c r="F22" s="556"/>
      <c r="G22" s="575"/>
      <c r="H22" s="554"/>
      <c r="I22" s="575"/>
      <c r="J22" s="554"/>
      <c r="K22" s="2600"/>
      <c r="L22" s="2140"/>
      <c r="M22" s="2132"/>
      <c r="N22" s="2132"/>
      <c r="O22" s="2139"/>
      <c r="P22" s="3529"/>
      <c r="Q22" s="2577"/>
      <c r="R22" s="1572"/>
      <c r="S22" s="1573"/>
      <c r="T22" s="1572"/>
      <c r="U22" s="1573"/>
      <c r="V22" s="1572"/>
      <c r="W22" s="1573"/>
      <c r="X22" s="2579"/>
      <c r="Y22" s="3529"/>
      <c r="Z22" s="2578"/>
      <c r="AA22" s="1575">
        <v>1</v>
      </c>
      <c r="AB22" s="1575">
        <v>1</v>
      </c>
      <c r="AC22" s="1575">
        <v>1</v>
      </c>
    </row>
    <row r="23" spans="1:29" ht="15">
      <c r="A23" s="531"/>
      <c r="B23" s="870" t="s">
        <v>297</v>
      </c>
      <c r="C23" s="899"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529"/>
      <c r="Q23" s="1571" t="str">
        <f>B23</f>
        <v>自然及人文环境</v>
      </c>
      <c r="R23" s="1572" t="s">
        <v>8</v>
      </c>
      <c r="S23" s="1573">
        <f>F23</f>
        <v>100</v>
      </c>
      <c r="T23" s="1572" t="s">
        <v>8</v>
      </c>
      <c r="U23" s="1573">
        <f>H23</f>
        <v>100</v>
      </c>
      <c r="V23" s="1572" t="s">
        <v>8</v>
      </c>
      <c r="W23" s="1573">
        <f>J23</f>
        <v>100</v>
      </c>
      <c r="X23" s="1566"/>
      <c r="Y23" s="3529"/>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0"/>
      <c r="M24" s="2132"/>
      <c r="N24" s="2132"/>
      <c r="O24" s="2139"/>
      <c r="P24" s="3529"/>
      <c r="Q24" s="1571"/>
      <c r="R24" s="1572"/>
      <c r="S24" s="1573"/>
      <c r="T24" s="1572"/>
      <c r="U24" s="1573"/>
      <c r="V24" s="1572"/>
      <c r="W24" s="1573"/>
      <c r="X24" s="1566"/>
      <c r="Y24" s="3529"/>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529"/>
      <c r="Q25" s="1571" t="str">
        <f t="shared" ref="Q25:Q46" si="8">B25</f>
        <v>临街状况</v>
      </c>
      <c r="R25" s="1572" t="s">
        <v>8</v>
      </c>
      <c r="S25" s="1573">
        <f>F25</f>
        <v>100</v>
      </c>
      <c r="T25" s="1572" t="s">
        <v>8</v>
      </c>
      <c r="U25" s="1573">
        <f>H25</f>
        <v>100</v>
      </c>
      <c r="V25" s="1572" t="s">
        <v>8</v>
      </c>
      <c r="W25" s="1573">
        <f>J25</f>
        <v>100</v>
      </c>
      <c r="X25" s="1566"/>
      <c r="Y25" s="3529"/>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529"/>
      <c r="Q26" s="1571" t="str">
        <f t="shared" si="8"/>
        <v>平面位置/可视性</v>
      </c>
      <c r="R26" s="1572" t="s">
        <v>8</v>
      </c>
      <c r="S26" s="1573">
        <f>F26</f>
        <v>100</v>
      </c>
      <c r="T26" s="1572" t="s">
        <v>8</v>
      </c>
      <c r="U26" s="1573">
        <f>H26</f>
        <v>100</v>
      </c>
      <c r="V26" s="1572" t="s">
        <v>8</v>
      </c>
      <c r="W26" s="1573">
        <f>J26</f>
        <v>100</v>
      </c>
      <c r="X26" s="1566"/>
      <c r="Y26" s="3529"/>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529"/>
      <c r="Q27" s="1150" t="str">
        <f t="shared" si="8"/>
        <v>人流量</v>
      </c>
      <c r="R27" s="1567" t="s">
        <v>8</v>
      </c>
      <c r="S27" s="1568">
        <f>F27</f>
        <v>100</v>
      </c>
      <c r="T27" s="1567" t="s">
        <v>8</v>
      </c>
      <c r="U27" s="1568">
        <f>H27</f>
        <v>100</v>
      </c>
      <c r="V27" s="1567" t="s">
        <v>8</v>
      </c>
      <c r="W27" s="1568">
        <f>J27</f>
        <v>100</v>
      </c>
      <c r="X27" s="1569"/>
      <c r="Y27" s="3529"/>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529"/>
      <c r="Q28" s="1571" t="str">
        <f t="shared" si="8"/>
        <v>楼层</v>
      </c>
      <c r="R28" s="1572" t="s">
        <v>8</v>
      </c>
      <c r="S28" s="1573">
        <f t="shared" ref="S28:S46" si="9">F28</f>
        <v>100</v>
      </c>
      <c r="T28" s="1572" t="s">
        <v>8</v>
      </c>
      <c r="U28" s="1573">
        <f t="shared" ref="U28:U46" si="10">H28</f>
        <v>100</v>
      </c>
      <c r="V28" s="1572" t="s">
        <v>8</v>
      </c>
      <c r="W28" s="1573">
        <f t="shared" ref="W28:W46" si="11">J28</f>
        <v>100</v>
      </c>
      <c r="X28" s="1566"/>
      <c r="Y28" s="3529"/>
      <c r="Z28" s="1574" t="str">
        <f t="shared" ref="Z28:Z46" si="12">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529"/>
      <c r="Q29" s="1571">
        <f t="shared" si="8"/>
        <v>111</v>
      </c>
      <c r="R29" s="1572" t="s">
        <v>8</v>
      </c>
      <c r="S29" s="1573">
        <f t="shared" si="9"/>
        <v>100</v>
      </c>
      <c r="T29" s="1572" t="s">
        <v>8</v>
      </c>
      <c r="U29" s="1573">
        <f t="shared" si="10"/>
        <v>100</v>
      </c>
      <c r="V29" s="1572" t="s">
        <v>8</v>
      </c>
      <c r="W29" s="1573">
        <f t="shared" si="11"/>
        <v>100</v>
      </c>
      <c r="X29" s="1566"/>
      <c r="Y29" s="3529"/>
      <c r="Z29" s="1574">
        <f t="shared" si="12"/>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529"/>
      <c r="Q30" s="1571">
        <f t="shared" si="8"/>
        <v>111</v>
      </c>
      <c r="R30" s="1572" t="s">
        <v>8</v>
      </c>
      <c r="S30" s="1573">
        <f t="shared" si="9"/>
        <v>100</v>
      </c>
      <c r="T30" s="1572" t="s">
        <v>8</v>
      </c>
      <c r="U30" s="1573">
        <f t="shared" si="10"/>
        <v>100</v>
      </c>
      <c r="V30" s="1572" t="s">
        <v>8</v>
      </c>
      <c r="W30" s="1573">
        <f t="shared" si="11"/>
        <v>100</v>
      </c>
      <c r="X30" s="1566"/>
      <c r="Y30" s="3529"/>
      <c r="Z30" s="1574">
        <f t="shared" si="12"/>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529"/>
      <c r="Q31" s="1571">
        <f t="shared" si="8"/>
        <v>111</v>
      </c>
      <c r="R31" s="1572" t="s">
        <v>8</v>
      </c>
      <c r="S31" s="1573">
        <f t="shared" si="9"/>
        <v>100</v>
      </c>
      <c r="T31" s="1572" t="s">
        <v>8</v>
      </c>
      <c r="U31" s="1573">
        <f t="shared" si="10"/>
        <v>100</v>
      </c>
      <c r="V31" s="1572" t="s">
        <v>8</v>
      </c>
      <c r="W31" s="1573">
        <f t="shared" si="11"/>
        <v>100</v>
      </c>
      <c r="X31" s="1566"/>
      <c r="Y31" s="3529"/>
      <c r="Z31" s="1574">
        <f t="shared" si="12"/>
        <v>111</v>
      </c>
      <c r="AA31" s="1575">
        <f t="shared" si="3"/>
        <v>1</v>
      </c>
      <c r="AB31" s="1575">
        <f t="shared" si="4"/>
        <v>1</v>
      </c>
      <c r="AC31" s="1575">
        <f t="shared" si="5"/>
        <v>1</v>
      </c>
    </row>
    <row r="32" spans="1:29" ht="15">
      <c r="A32" s="2905" t="s">
        <v>2752</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530" t="s">
        <v>550</v>
      </c>
      <c r="Q32" s="1571" t="str">
        <f t="shared" si="8"/>
        <v>商业类型</v>
      </c>
      <c r="R32" s="1572" t="s">
        <v>8</v>
      </c>
      <c r="S32" s="1573">
        <f t="shared" si="9"/>
        <v>100</v>
      </c>
      <c r="T32" s="1572" t="s">
        <v>8</v>
      </c>
      <c r="U32" s="1573">
        <f t="shared" si="10"/>
        <v>100</v>
      </c>
      <c r="V32" s="1572" t="s">
        <v>8</v>
      </c>
      <c r="W32" s="1573">
        <f t="shared" si="11"/>
        <v>100</v>
      </c>
      <c r="X32" s="1566"/>
      <c r="Y32" s="3531" t="s">
        <v>550</v>
      </c>
      <c r="Z32" s="1574" t="str">
        <f t="shared" si="12"/>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531"/>
      <c r="Q33" s="1604" t="str">
        <f t="shared" si="8"/>
        <v>项目建筑规模</v>
      </c>
      <c r="R33" s="1576" t="s">
        <v>8</v>
      </c>
      <c r="S33" s="1577" t="e">
        <f t="shared" si="9"/>
        <v>#N/A</v>
      </c>
      <c r="T33" s="1576" t="s">
        <v>8</v>
      </c>
      <c r="U33" s="1577" t="e">
        <f t="shared" si="10"/>
        <v>#N/A</v>
      </c>
      <c r="V33" s="1576" t="s">
        <v>8</v>
      </c>
      <c r="W33" s="1577" t="e">
        <f t="shared" si="11"/>
        <v>#N/A</v>
      </c>
      <c r="X33" s="1578"/>
      <c r="Y33" s="3531"/>
      <c r="Z33" s="1579" t="str">
        <f t="shared" si="12"/>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531"/>
      <c r="Q34" s="1571" t="str">
        <f t="shared" si="8"/>
        <v>建筑结构</v>
      </c>
      <c r="R34" s="1572" t="s">
        <v>8</v>
      </c>
      <c r="S34" s="1573">
        <f t="shared" si="9"/>
        <v>100</v>
      </c>
      <c r="T34" s="1572" t="s">
        <v>8</v>
      </c>
      <c r="U34" s="1573">
        <f t="shared" si="10"/>
        <v>100</v>
      </c>
      <c r="V34" s="1572" t="s">
        <v>8</v>
      </c>
      <c r="W34" s="1573">
        <f t="shared" si="11"/>
        <v>100</v>
      </c>
      <c r="X34" s="1566"/>
      <c r="Y34" s="3531"/>
      <c r="Z34" s="1574" t="str">
        <f t="shared" si="12"/>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531"/>
      <c r="Q35" s="1571" t="str">
        <f t="shared" si="8"/>
        <v>公共部分装修</v>
      </c>
      <c r="R35" s="1572" t="s">
        <v>8</v>
      </c>
      <c r="S35" s="1573">
        <f t="shared" si="9"/>
        <v>100</v>
      </c>
      <c r="T35" s="1572" t="s">
        <v>8</v>
      </c>
      <c r="U35" s="1573">
        <f t="shared" si="10"/>
        <v>100</v>
      </c>
      <c r="V35" s="1572" t="s">
        <v>8</v>
      </c>
      <c r="W35" s="1573">
        <f t="shared" si="11"/>
        <v>100</v>
      </c>
      <c r="X35" s="1566"/>
      <c r="Y35" s="3531"/>
      <c r="Z35" s="1574" t="str">
        <f t="shared" si="12"/>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531"/>
      <c r="Q36" s="1571" t="str">
        <f t="shared" si="8"/>
        <v>成新度</v>
      </c>
      <c r="R36" s="1572" t="s">
        <v>8</v>
      </c>
      <c r="S36" s="1573" t="e">
        <f t="shared" si="9"/>
        <v>#N/A</v>
      </c>
      <c r="T36" s="1572" t="s">
        <v>8</v>
      </c>
      <c r="U36" s="1573" t="e">
        <f t="shared" si="10"/>
        <v>#N/A</v>
      </c>
      <c r="V36" s="1572" t="s">
        <v>8</v>
      </c>
      <c r="W36" s="1573" t="e">
        <f t="shared" si="11"/>
        <v>#N/A</v>
      </c>
      <c r="X36" s="1566"/>
      <c r="Y36" s="3531"/>
      <c r="Z36" s="1574" t="str">
        <f t="shared" si="12"/>
        <v>成新度</v>
      </c>
      <c r="AA36" s="1575" t="e">
        <f t="shared" si="3"/>
        <v>#N/A</v>
      </c>
      <c r="AB36" s="1575" t="e">
        <f t="shared" si="4"/>
        <v>#N/A</v>
      </c>
      <c r="AC36" s="1575" t="e">
        <f t="shared" si="5"/>
        <v>#N/A</v>
      </c>
    </row>
    <row r="37" spans="1:29" s="1219" customFormat="1" ht="15">
      <c r="A37" s="599"/>
      <c r="B37" s="1893"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531"/>
      <c r="Q37" s="1150" t="str">
        <f t="shared" si="8"/>
        <v>市政基础设施</v>
      </c>
      <c r="R37" s="1567" t="s">
        <v>8</v>
      </c>
      <c r="S37" s="1568">
        <f t="shared" si="9"/>
        <v>100</v>
      </c>
      <c r="T37" s="1567" t="s">
        <v>8</v>
      </c>
      <c r="U37" s="1568">
        <f t="shared" si="10"/>
        <v>100</v>
      </c>
      <c r="V37" s="1567" t="s">
        <v>8</v>
      </c>
      <c r="W37" s="1568">
        <f t="shared" si="11"/>
        <v>100</v>
      </c>
      <c r="X37" s="1569"/>
      <c r="Y37" s="3531"/>
      <c r="Z37" s="1149" t="str">
        <f t="shared" si="12"/>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531" t="s">
        <v>766</v>
      </c>
      <c r="Q38" s="1571" t="str">
        <f t="shared" si="8"/>
        <v>业态</v>
      </c>
      <c r="R38" s="1572" t="s">
        <v>8</v>
      </c>
      <c r="S38" s="1573">
        <f t="shared" si="9"/>
        <v>100</v>
      </c>
      <c r="T38" s="1572" t="s">
        <v>8</v>
      </c>
      <c r="U38" s="1573">
        <f t="shared" si="10"/>
        <v>100</v>
      </c>
      <c r="V38" s="1572" t="s">
        <v>8</v>
      </c>
      <c r="W38" s="1573">
        <f t="shared" si="11"/>
        <v>100</v>
      </c>
      <c r="X38" s="1566"/>
      <c r="Y38" s="3531" t="s">
        <v>766</v>
      </c>
      <c r="Z38" s="1574" t="str">
        <f t="shared" si="12"/>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531"/>
      <c r="Q39" s="1571" t="str">
        <f t="shared" si="8"/>
        <v>层高</v>
      </c>
      <c r="R39" s="1572" t="s">
        <v>8</v>
      </c>
      <c r="S39" s="1573">
        <f t="shared" si="9"/>
        <v>100</v>
      </c>
      <c r="T39" s="1572" t="s">
        <v>8</v>
      </c>
      <c r="U39" s="1573">
        <f t="shared" si="10"/>
        <v>100</v>
      </c>
      <c r="V39" s="1572" t="s">
        <v>8</v>
      </c>
      <c r="W39" s="1573">
        <f t="shared" si="11"/>
        <v>100</v>
      </c>
      <c r="X39" s="1566"/>
      <c r="Y39" s="3531"/>
      <c r="Z39" s="1574" t="str">
        <f t="shared" si="12"/>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531"/>
      <c r="Q40" s="1571" t="str">
        <f t="shared" si="8"/>
        <v>单套建筑面积</v>
      </c>
      <c r="R40" s="1572" t="s">
        <v>8</v>
      </c>
      <c r="S40" s="1573">
        <f t="shared" si="9"/>
        <v>100</v>
      </c>
      <c r="T40" s="1572" t="s">
        <v>8</v>
      </c>
      <c r="U40" s="1573">
        <f t="shared" si="10"/>
        <v>100</v>
      </c>
      <c r="V40" s="1572" t="s">
        <v>8</v>
      </c>
      <c r="W40" s="1573">
        <f t="shared" si="11"/>
        <v>100</v>
      </c>
      <c r="X40" s="1566"/>
      <c r="Y40" s="3531"/>
      <c r="Z40" s="1574" t="str">
        <f t="shared" si="12"/>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531"/>
      <c r="Q41" s="1604" t="str">
        <f t="shared" si="8"/>
        <v>进深比</v>
      </c>
      <c r="R41" s="1576" t="s">
        <v>8</v>
      </c>
      <c r="S41" s="1577">
        <f t="shared" si="9"/>
        <v>100</v>
      </c>
      <c r="T41" s="1576" t="s">
        <v>8</v>
      </c>
      <c r="U41" s="1577">
        <f t="shared" si="10"/>
        <v>100</v>
      </c>
      <c r="V41" s="1576" t="s">
        <v>8</v>
      </c>
      <c r="W41" s="1577">
        <f t="shared" si="11"/>
        <v>100</v>
      </c>
      <c r="X41" s="1578"/>
      <c r="Y41" s="3531"/>
      <c r="Z41" s="1579" t="str">
        <f t="shared" si="12"/>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531"/>
      <c r="Q42" s="1571" t="str">
        <f t="shared" si="8"/>
        <v>内部装修</v>
      </c>
      <c r="R42" s="1572" t="s">
        <v>8</v>
      </c>
      <c r="S42" s="1573">
        <f t="shared" si="9"/>
        <v>100</v>
      </c>
      <c r="T42" s="1572" t="s">
        <v>8</v>
      </c>
      <c r="U42" s="1573">
        <f t="shared" si="10"/>
        <v>100</v>
      </c>
      <c r="V42" s="1572" t="s">
        <v>8</v>
      </c>
      <c r="W42" s="1573">
        <f t="shared" si="11"/>
        <v>100</v>
      </c>
      <c r="X42" s="1566"/>
      <c r="Y42" s="3531"/>
      <c r="Z42" s="1574" t="str">
        <f t="shared" si="12"/>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531"/>
      <c r="Q43" s="1571" t="str">
        <f t="shared" si="8"/>
        <v>内部装修维护情况</v>
      </c>
      <c r="R43" s="1572" t="s">
        <v>8</v>
      </c>
      <c r="S43" s="1573">
        <f t="shared" si="9"/>
        <v>100</v>
      </c>
      <c r="T43" s="1572" t="s">
        <v>8</v>
      </c>
      <c r="U43" s="1573">
        <f t="shared" si="10"/>
        <v>100</v>
      </c>
      <c r="V43" s="1572" t="s">
        <v>8</v>
      </c>
      <c r="W43" s="1573">
        <f t="shared" si="11"/>
        <v>100</v>
      </c>
      <c r="X43" s="1566"/>
      <c r="Y43" s="3531"/>
      <c r="Z43" s="1574" t="str">
        <f t="shared" si="12"/>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531"/>
      <c r="Q44" s="1150">
        <f t="shared" si="8"/>
        <v>111</v>
      </c>
      <c r="R44" s="1567" t="s">
        <v>8</v>
      </c>
      <c r="S44" s="1568">
        <f t="shared" si="9"/>
        <v>100</v>
      </c>
      <c r="T44" s="1567" t="s">
        <v>8</v>
      </c>
      <c r="U44" s="1568">
        <f t="shared" si="10"/>
        <v>100</v>
      </c>
      <c r="V44" s="1567" t="s">
        <v>8</v>
      </c>
      <c r="W44" s="1568">
        <f t="shared" si="11"/>
        <v>100</v>
      </c>
      <c r="X44" s="1569"/>
      <c r="Y44" s="3531"/>
      <c r="Z44" s="1149">
        <f t="shared" si="12"/>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531"/>
      <c r="Q45" s="1571">
        <f t="shared" si="8"/>
        <v>111</v>
      </c>
      <c r="R45" s="1572" t="s">
        <v>8</v>
      </c>
      <c r="S45" s="1573">
        <f t="shared" si="9"/>
        <v>100</v>
      </c>
      <c r="T45" s="1572" t="s">
        <v>8</v>
      </c>
      <c r="U45" s="1573">
        <f t="shared" si="10"/>
        <v>100</v>
      </c>
      <c r="V45" s="1572" t="s">
        <v>8</v>
      </c>
      <c r="W45" s="1573">
        <f t="shared" si="11"/>
        <v>100</v>
      </c>
      <c r="X45" s="1566"/>
      <c r="Y45" s="3531"/>
      <c r="Z45" s="1574">
        <f t="shared" si="12"/>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613"/>
      <c r="Q46" s="1571">
        <f t="shared" si="8"/>
        <v>111</v>
      </c>
      <c r="R46" s="1572" t="s">
        <v>8</v>
      </c>
      <c r="S46" s="1573">
        <f t="shared" si="9"/>
        <v>100</v>
      </c>
      <c r="T46" s="1572" t="s">
        <v>8</v>
      </c>
      <c r="U46" s="1573">
        <f t="shared" si="10"/>
        <v>100</v>
      </c>
      <c r="V46" s="1572" t="s">
        <v>8</v>
      </c>
      <c r="W46" s="1573">
        <f t="shared" si="11"/>
        <v>100</v>
      </c>
      <c r="X46" s="1566"/>
      <c r="Y46" s="3613"/>
      <c r="Z46" s="1574">
        <f t="shared" si="12"/>
        <v>111</v>
      </c>
      <c r="AA46" s="1575">
        <f t="shared" si="3"/>
        <v>1</v>
      </c>
      <c r="AB46" s="1575">
        <f t="shared" si="4"/>
        <v>1</v>
      </c>
      <c r="AC46" s="1575">
        <f t="shared" si="5"/>
        <v>1</v>
      </c>
    </row>
    <row r="47" spans="1:29" ht="15">
      <c r="A47" s="606" t="s">
        <v>736</v>
      </c>
      <c r="B47" s="886"/>
      <c r="C47" s="2625" t="s">
        <v>1</v>
      </c>
      <c r="D47" s="2626"/>
      <c r="E47" s="2627"/>
      <c r="F47" s="2628"/>
      <c r="G47" s="2629"/>
      <c r="H47" s="2630"/>
      <c r="I47" s="2627"/>
      <c r="J47" s="2630"/>
      <c r="K47" s="1610"/>
      <c r="L47" s="2142"/>
      <c r="M47" s="2143"/>
      <c r="N47" s="2132"/>
      <c r="O47" s="2143"/>
      <c r="P47" s="3494" t="str">
        <f>A47</f>
        <v>成交单价（元/平方米）</v>
      </c>
      <c r="Q47" s="3494"/>
      <c r="R47" s="3612">
        <f>E47</f>
        <v>0</v>
      </c>
      <c r="S47" s="3612"/>
      <c r="T47" s="3612">
        <f>G47</f>
        <v>0</v>
      </c>
      <c r="U47" s="3612"/>
      <c r="V47" s="3612">
        <f>I47</f>
        <v>0</v>
      </c>
      <c r="W47" s="3612"/>
      <c r="X47" s="1558"/>
      <c r="Y47" s="1580"/>
      <c r="Z47" s="1558"/>
      <c r="AA47" s="1558"/>
      <c r="AB47" s="1558"/>
      <c r="AC47" s="1558"/>
    </row>
    <row r="48" spans="1:29" ht="15.75" thickBot="1">
      <c r="A48" s="614" t="s">
        <v>2757</v>
      </c>
      <c r="B48" s="887"/>
      <c r="C48" s="2631" t="e">
        <f>R49</f>
        <v>#DIV/0!</v>
      </c>
      <c r="D48" s="2632"/>
      <c r="E48" s="2633" t="e">
        <f>R48</f>
        <v>#DIV/0!</v>
      </c>
      <c r="F48" s="2633"/>
      <c r="G48" s="2631" t="e">
        <f>T48</f>
        <v>#DIV/0!</v>
      </c>
      <c r="H48" s="2632"/>
      <c r="I48" s="2633" t="e">
        <f>V48</f>
        <v>#DIV/0!</v>
      </c>
      <c r="J48" s="2632"/>
      <c r="K48" s="1611"/>
      <c r="L48" s="2142"/>
      <c r="M48" s="2143"/>
      <c r="N48" s="2132"/>
      <c r="O48" s="2143"/>
      <c r="P48" s="3494" t="str">
        <f>A48</f>
        <v>比较价格（元/平方米）</v>
      </c>
      <c r="Q48" s="3494"/>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1558"/>
      <c r="Y48" s="1558"/>
      <c r="Z48" s="1558"/>
      <c r="AA48" s="1558"/>
      <c r="AB48" s="1558"/>
      <c r="AC48" s="1558"/>
    </row>
    <row r="49" spans="1:29" ht="15.75" thickBot="1">
      <c r="A49" s="620" t="s">
        <v>2921</v>
      </c>
      <c r="B49" s="621"/>
      <c r="C49" s="2634" t="e">
        <f>R49</f>
        <v>#DIV/0!</v>
      </c>
      <c r="D49" s="2634"/>
      <c r="E49" s="2634"/>
      <c r="F49" s="2634"/>
      <c r="G49" s="2634"/>
      <c r="H49" s="2634"/>
      <c r="I49" s="2634"/>
      <c r="J49" s="2634"/>
      <c r="K49" s="1612"/>
      <c r="L49" s="2142"/>
      <c r="M49" s="2143"/>
      <c r="N49" s="2132"/>
      <c r="O49" s="2143"/>
      <c r="P49" s="3491" t="str">
        <f>A49</f>
        <v>估价对象XX用房的比较价格（楼面单价，元/平方米）</v>
      </c>
      <c r="Q49" s="3492"/>
      <c r="R49" s="3611" t="e">
        <f>IF(F1="售价",ROUND(AVERAGE(R48:V48),0),ROUND(AVERAGE(R48:V48),1))</f>
        <v>#DIV/0!</v>
      </c>
      <c r="S49" s="3611"/>
      <c r="T49" s="3611"/>
      <c r="U49" s="3611"/>
      <c r="V49" s="3611"/>
      <c r="W49" s="3611"/>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529</v>
      </c>
      <c r="B58" s="645"/>
      <c r="C58" s="2800" t="str">
        <f>YEAR(C7)&amp;"-"&amp;MONTH(C7)</f>
        <v>2018-12</v>
      </c>
      <c r="D58" s="2802">
        <f>EDATE(C58,-1)</f>
        <v>43405</v>
      </c>
      <c r="E58" s="2802">
        <f t="shared" ref="E58:O58" si="13">EDATE(D58,-1)</f>
        <v>43374</v>
      </c>
      <c r="F58" s="2802">
        <f t="shared" si="13"/>
        <v>43344</v>
      </c>
      <c r="G58" s="2802">
        <f t="shared" si="13"/>
        <v>43313</v>
      </c>
      <c r="H58" s="2802">
        <f t="shared" si="13"/>
        <v>43282</v>
      </c>
      <c r="I58" s="2802">
        <f t="shared" si="13"/>
        <v>43252</v>
      </c>
      <c r="J58" s="2802">
        <f t="shared" si="13"/>
        <v>43221</v>
      </c>
      <c r="K58" s="2802">
        <f t="shared" si="13"/>
        <v>43191</v>
      </c>
      <c r="L58" s="2802">
        <f t="shared" si="13"/>
        <v>43160</v>
      </c>
      <c r="M58" s="2802">
        <f t="shared" si="13"/>
        <v>43132</v>
      </c>
      <c r="N58" s="2802">
        <f t="shared" si="13"/>
        <v>43101</v>
      </c>
      <c r="O58" s="2802">
        <f t="shared" si="13"/>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2556</v>
      </c>
      <c r="C82" s="2596" t="s">
        <v>2557</v>
      </c>
      <c r="D82" s="2596" t="s">
        <v>2558</v>
      </c>
      <c r="E82" s="2596" t="s">
        <v>2559</v>
      </c>
      <c r="F82" s="2596" t="s">
        <v>2560</v>
      </c>
      <c r="G82" s="2596" t="s">
        <v>2561</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5"/>
      <c r="G1" s="1600" t="s">
        <v>721</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521</v>
      </c>
      <c r="B4" s="512"/>
      <c r="C4" s="3500" t="s">
        <v>522</v>
      </c>
      <c r="D4" s="3501"/>
      <c r="E4" s="3538" t="s">
        <v>523</v>
      </c>
      <c r="F4" s="3539"/>
      <c r="G4" s="3500" t="s">
        <v>524</v>
      </c>
      <c r="H4" s="3501"/>
      <c r="I4" s="3500" t="s">
        <v>525</v>
      </c>
      <c r="J4" s="3501"/>
      <c r="K4" s="513" t="s">
        <v>526</v>
      </c>
      <c r="L4" s="2131"/>
      <c r="M4" s="2132"/>
      <c r="N4" s="2132"/>
      <c r="O4" s="2132"/>
      <c r="P4" s="3615" t="s">
        <v>527</v>
      </c>
      <c r="Q4" s="3503"/>
      <c r="R4" s="3508" t="s">
        <v>523</v>
      </c>
      <c r="S4" s="3509"/>
      <c r="T4" s="3508" t="s">
        <v>524</v>
      </c>
      <c r="U4" s="3509"/>
      <c r="V4" s="3495" t="s">
        <v>525</v>
      </c>
      <c r="W4" s="3495"/>
      <c r="X4" s="1566"/>
      <c r="Y4" s="3508" t="s">
        <v>527</v>
      </c>
      <c r="Z4" s="3509"/>
      <c r="AA4" s="3497" t="s">
        <v>523</v>
      </c>
      <c r="AB4" s="3497" t="s">
        <v>524</v>
      </c>
      <c r="AC4" s="3497" t="s">
        <v>525</v>
      </c>
    </row>
    <row r="5" spans="1:29" ht="15">
      <c r="A5" s="514"/>
      <c r="B5" s="515"/>
      <c r="C5" s="3532" t="s">
        <v>2915</v>
      </c>
      <c r="D5" s="3533"/>
      <c r="E5" s="3540" t="s">
        <v>2916</v>
      </c>
      <c r="F5" s="3541"/>
      <c r="G5" s="3532" t="s">
        <v>2917</v>
      </c>
      <c r="H5" s="3533"/>
      <c r="I5" s="3532" t="s">
        <v>2918</v>
      </c>
      <c r="J5" s="3533"/>
      <c r="K5" s="513"/>
      <c r="L5" s="2131"/>
      <c r="M5" s="2132"/>
      <c r="N5" s="2132"/>
      <c r="O5" s="2132"/>
      <c r="P5" s="3616"/>
      <c r="Q5" s="3505"/>
      <c r="R5" s="3510"/>
      <c r="S5" s="3511"/>
      <c r="T5" s="3510"/>
      <c r="U5" s="3511"/>
      <c r="V5" s="3495"/>
      <c r="W5" s="3495"/>
      <c r="X5" s="1566"/>
      <c r="Y5" s="3510"/>
      <c r="Z5" s="3511"/>
      <c r="AA5" s="3498"/>
      <c r="AB5" s="3498"/>
      <c r="AC5" s="3498"/>
    </row>
    <row r="6" spans="1:29" ht="15.75" thickBot="1">
      <c r="A6" s="516"/>
      <c r="B6" s="517"/>
      <c r="C6" s="3534" t="s">
        <v>2919</v>
      </c>
      <c r="D6" s="3535"/>
      <c r="E6" s="3536" t="s">
        <v>2919</v>
      </c>
      <c r="F6" s="3537"/>
      <c r="G6" s="3534" t="s">
        <v>2919</v>
      </c>
      <c r="H6" s="3535"/>
      <c r="I6" s="3534" t="s">
        <v>2919</v>
      </c>
      <c r="J6" s="3535"/>
      <c r="K6" s="513" t="s">
        <v>528</v>
      </c>
      <c r="L6" s="2131"/>
      <c r="M6" s="2132"/>
      <c r="N6" s="2132"/>
      <c r="O6" s="2132"/>
      <c r="P6" s="3617"/>
      <c r="Q6" s="3507"/>
      <c r="R6" s="3510"/>
      <c r="S6" s="3511"/>
      <c r="T6" s="3512"/>
      <c r="U6" s="3513"/>
      <c r="V6" s="3495"/>
      <c r="W6" s="3495"/>
      <c r="X6" s="1566"/>
      <c r="Y6" s="3512"/>
      <c r="Z6" s="3513"/>
      <c r="AA6" s="3499"/>
      <c r="AB6" s="3499"/>
      <c r="AC6" s="3499"/>
    </row>
    <row r="7" spans="1:29" s="1219" customFormat="1" ht="15.75" thickBot="1">
      <c r="A7" s="2909"/>
      <c r="B7" s="2916" t="s">
        <v>529</v>
      </c>
      <c r="C7" s="518">
        <f>'数据-取费表'!B2</f>
        <v>43444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527" t="s">
        <v>530</v>
      </c>
      <c r="Q7" s="3527"/>
      <c r="R7" s="1567" t="s">
        <v>8</v>
      </c>
      <c r="S7" s="1568">
        <f t="shared" ref="S7:S15" si="0">F7</f>
        <v>0</v>
      </c>
      <c r="T7" s="1567" t="s">
        <v>8</v>
      </c>
      <c r="U7" s="1568">
        <f t="shared" ref="U7:U15" si="1">H7</f>
        <v>0</v>
      </c>
      <c r="V7" s="1567" t="s">
        <v>8</v>
      </c>
      <c r="W7" s="1568">
        <f t="shared" ref="W7:W15"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527" t="s">
        <v>533</v>
      </c>
      <c r="Q8" s="3526"/>
      <c r="R8" s="1567" t="s">
        <v>8</v>
      </c>
      <c r="S8" s="1568">
        <f t="shared" si="0"/>
        <v>0</v>
      </c>
      <c r="T8" s="1567" t="s">
        <v>8</v>
      </c>
      <c r="U8" s="1568">
        <f t="shared" si="1"/>
        <v>0</v>
      </c>
      <c r="V8" s="1567" t="s">
        <v>8</v>
      </c>
      <c r="W8" s="1568">
        <f t="shared" si="2"/>
        <v>0</v>
      </c>
      <c r="X8" s="1569"/>
      <c r="Y8" s="3525" t="s">
        <v>533</v>
      </c>
      <c r="Z8" s="3526"/>
      <c r="AA8" s="1570" t="e">
        <f t="shared" ref="AA8:AA47" si="3">D8/F8</f>
        <v>#DIV/0!</v>
      </c>
      <c r="AB8" s="1570" t="e">
        <f t="shared" ref="AB8:AB47" si="4">D8/H8</f>
        <v>#DIV/0!</v>
      </c>
      <c r="AC8" s="1570" t="e">
        <f t="shared" ref="AC8:AC47" si="5">D8/J8</f>
        <v>#DIV/0!</v>
      </c>
    </row>
    <row r="9" spans="1:29" s="1219" customFormat="1" ht="15">
      <c r="A9" s="2911"/>
      <c r="B9" s="2918" t="s">
        <v>2753</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94" t="s">
        <v>535</v>
      </c>
      <c r="Q9" s="1150" t="str">
        <f t="shared" ref="Q9:Q15" si="6">B9</f>
        <v>用途</v>
      </c>
      <c r="R9" s="1567" t="s">
        <v>8</v>
      </c>
      <c r="S9" s="1568">
        <f t="shared" si="0"/>
        <v>100</v>
      </c>
      <c r="T9" s="1567" t="s">
        <v>8</v>
      </c>
      <c r="U9" s="1568">
        <f t="shared" si="1"/>
        <v>100</v>
      </c>
      <c r="V9" s="1567" t="s">
        <v>8</v>
      </c>
      <c r="W9" s="1568">
        <f t="shared" si="2"/>
        <v>100</v>
      </c>
      <c r="X9" s="1569"/>
      <c r="Y9" s="3440"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3"/>
      <c r="B11" s="2917"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94"/>
      <c r="Q11" s="1150" t="str">
        <f t="shared" si="6"/>
        <v>容积率</v>
      </c>
      <c r="R11" s="1567" t="s">
        <v>8</v>
      </c>
      <c r="S11" s="1568" t="e">
        <f t="shared" si="0"/>
        <v>#N/A</v>
      </c>
      <c r="T11" s="1567" t="s">
        <v>8</v>
      </c>
      <c r="U11" s="1568" t="e">
        <f t="shared" si="1"/>
        <v>#N/A</v>
      </c>
      <c r="V11" s="1567" t="s">
        <v>8</v>
      </c>
      <c r="W11" s="1568" t="e">
        <f t="shared" si="2"/>
        <v>#N/A</v>
      </c>
      <c r="X11" s="1569"/>
      <c r="Y11" s="3440"/>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94"/>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
      <c r="A13" s="2914"/>
      <c r="B13" s="292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94"/>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75" thickBot="1">
      <c r="A14" s="2915"/>
      <c r="B14" s="292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94"/>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 t="shared" si="3"/>
        <v>1</v>
      </c>
      <c r="AB14" s="1570">
        <f t="shared" si="4"/>
        <v>1</v>
      </c>
      <c r="AC14" s="1570">
        <f t="shared" si="5"/>
        <v>1</v>
      </c>
    </row>
    <row r="15" spans="1:29" ht="15">
      <c r="A15" s="2907" t="s">
        <v>2751</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528" t="s">
        <v>540</v>
      </c>
      <c r="Q15" s="1571" t="str">
        <f t="shared" si="6"/>
        <v>办公集聚程度</v>
      </c>
      <c r="R15" s="1572" t="s">
        <v>8</v>
      </c>
      <c r="S15" s="1573">
        <f t="shared" si="0"/>
        <v>100</v>
      </c>
      <c r="T15" s="1572" t="s">
        <v>8</v>
      </c>
      <c r="U15" s="1573">
        <f t="shared" si="1"/>
        <v>100</v>
      </c>
      <c r="V15" s="1572" t="s">
        <v>8</v>
      </c>
      <c r="W15" s="1573">
        <f t="shared" si="2"/>
        <v>100</v>
      </c>
      <c r="X15" s="1566"/>
      <c r="Y15" s="3528"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0"/>
      <c r="M16" s="2132"/>
      <c r="N16" s="2132"/>
      <c r="O16" s="2132"/>
      <c r="P16" s="3529"/>
      <c r="Q16" s="1571"/>
      <c r="R16" s="1572"/>
      <c r="S16" s="1573"/>
      <c r="T16" s="1572"/>
      <c r="U16" s="1573"/>
      <c r="V16" s="1572"/>
      <c r="W16" s="1573"/>
      <c r="X16" s="1566"/>
      <c r="Y16" s="3529"/>
      <c r="Z16" s="1574"/>
      <c r="AA16" s="1575">
        <v>1</v>
      </c>
      <c r="AB16" s="1575">
        <v>1</v>
      </c>
      <c r="AC16" s="1575">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529"/>
      <c r="Q17" s="1571" t="str">
        <f>B17</f>
        <v>交通便捷度</v>
      </c>
      <c r="R17" s="1572" t="s">
        <v>8</v>
      </c>
      <c r="S17" s="1573">
        <f>F17</f>
        <v>100</v>
      </c>
      <c r="T17" s="1572" t="s">
        <v>8</v>
      </c>
      <c r="U17" s="1573">
        <f>H17</f>
        <v>100</v>
      </c>
      <c r="V17" s="1572" t="s">
        <v>8</v>
      </c>
      <c r="W17" s="1573">
        <f>J17</f>
        <v>100</v>
      </c>
      <c r="X17" s="1566"/>
      <c r="Y17" s="3529"/>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0"/>
      <c r="M18" s="2132"/>
      <c r="N18" s="2132"/>
      <c r="O18" s="2132"/>
      <c r="P18" s="3529"/>
      <c r="Q18" s="1571"/>
      <c r="R18" s="1572"/>
      <c r="S18" s="1573"/>
      <c r="T18" s="1572"/>
      <c r="U18" s="1573"/>
      <c r="V18" s="1572"/>
      <c r="W18" s="1573"/>
      <c r="X18" s="1566"/>
      <c r="Y18" s="3529"/>
      <c r="Z18" s="1574"/>
      <c r="AA18" s="1575">
        <v>1</v>
      </c>
      <c r="AB18" s="1575">
        <v>1</v>
      </c>
      <c r="AC18" s="1575">
        <v>1</v>
      </c>
    </row>
    <row r="19" spans="1:29" ht="15">
      <c r="A19" s="531"/>
      <c r="B19" s="2601" t="s">
        <v>2544</v>
      </c>
      <c r="C19" s="572" t="str">
        <f>估价对象房地状况!C7</f>
        <v>一般</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529"/>
      <c r="Q19" s="1571" t="str">
        <f>B19</f>
        <v>公共配套设施</v>
      </c>
      <c r="R19" s="1572" t="s">
        <v>8</v>
      </c>
      <c r="S19" s="1573">
        <f>F19</f>
        <v>100</v>
      </c>
      <c r="T19" s="1572" t="s">
        <v>8</v>
      </c>
      <c r="U19" s="1573">
        <f>H19</f>
        <v>100</v>
      </c>
      <c r="V19" s="1572" t="s">
        <v>8</v>
      </c>
      <c r="W19" s="1573">
        <f>J19</f>
        <v>100</v>
      </c>
      <c r="X19" s="1566"/>
      <c r="Y19" s="3529"/>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0"/>
      <c r="M20" s="2132"/>
      <c r="N20" s="2132"/>
      <c r="O20" s="2132"/>
      <c r="P20" s="3529"/>
      <c r="Q20" s="1571"/>
      <c r="R20" s="1572"/>
      <c r="S20" s="1573"/>
      <c r="T20" s="1572"/>
      <c r="U20" s="1573"/>
      <c r="V20" s="1572"/>
      <c r="W20" s="1573"/>
      <c r="X20" s="1566"/>
      <c r="Y20" s="3529"/>
      <c r="Z20" s="1574"/>
      <c r="AA20" s="1575">
        <v>1</v>
      </c>
      <c r="AB20" s="1575">
        <v>1</v>
      </c>
      <c r="AC20" s="1575">
        <v>1</v>
      </c>
    </row>
    <row r="21" spans="1:29" ht="15">
      <c r="A21" s="531"/>
      <c r="B21" s="2589" t="s">
        <v>2556</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529"/>
      <c r="Q21" s="2577" t="str">
        <f>B21</f>
        <v>基础设施水平</v>
      </c>
      <c r="R21" s="1572" t="s">
        <v>8</v>
      </c>
      <c r="S21" s="1573">
        <f>F21</f>
        <v>100</v>
      </c>
      <c r="T21" s="1572" t="s">
        <v>8</v>
      </c>
      <c r="U21" s="1573">
        <f>H21</f>
        <v>100</v>
      </c>
      <c r="V21" s="1572" t="s">
        <v>8</v>
      </c>
      <c r="W21" s="1573">
        <f>J21</f>
        <v>100</v>
      </c>
      <c r="X21" s="2579"/>
      <c r="Y21" s="3529"/>
      <c r="Z21" s="2578" t="str">
        <f>Q21</f>
        <v>基础设施水平</v>
      </c>
      <c r="AA21" s="1575">
        <f>D21/F21</f>
        <v>1</v>
      </c>
      <c r="AB21" s="1575">
        <f>D21/H21</f>
        <v>1</v>
      </c>
      <c r="AC21" s="1575">
        <f>D21/J21</f>
        <v>1</v>
      </c>
    </row>
    <row r="22" spans="1:29" ht="15">
      <c r="A22" s="531"/>
      <c r="B22" s="577"/>
      <c r="C22" s="566"/>
      <c r="D22" s="554"/>
      <c r="E22" s="575"/>
      <c r="F22" s="554"/>
      <c r="G22" s="553"/>
      <c r="H22" s="554"/>
      <c r="I22" s="553"/>
      <c r="J22" s="554"/>
      <c r="K22" s="2600"/>
      <c r="L22" s="2140"/>
      <c r="M22" s="2132"/>
      <c r="N22" s="2132"/>
      <c r="O22" s="2132"/>
      <c r="P22" s="3529"/>
      <c r="Q22" s="2577"/>
      <c r="R22" s="1572"/>
      <c r="S22" s="1573"/>
      <c r="T22" s="1572"/>
      <c r="U22" s="1573"/>
      <c r="V22" s="1572"/>
      <c r="W22" s="1573"/>
      <c r="X22" s="2579"/>
      <c r="Y22" s="3529"/>
      <c r="Z22" s="2578"/>
      <c r="AA22" s="1575">
        <v>1</v>
      </c>
      <c r="AB22" s="1575">
        <v>1</v>
      </c>
      <c r="AC22" s="1575">
        <v>1</v>
      </c>
    </row>
    <row r="23" spans="1:29" ht="15">
      <c r="A23" s="531"/>
      <c r="B23" s="559" t="s">
        <v>778</v>
      </c>
      <c r="C23" s="572" t="str">
        <f>估价对象房地状况!C9</f>
        <v>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529"/>
      <c r="Q23" s="1571" t="str">
        <f>B23</f>
        <v>环境质量</v>
      </c>
      <c r="R23" s="1572" t="s">
        <v>8</v>
      </c>
      <c r="S23" s="1573">
        <f>F23</f>
        <v>100</v>
      </c>
      <c r="T23" s="1572" t="s">
        <v>8</v>
      </c>
      <c r="U23" s="1573">
        <f>H23</f>
        <v>100</v>
      </c>
      <c r="V23" s="1572" t="s">
        <v>8</v>
      </c>
      <c r="W23" s="1573">
        <f>J23</f>
        <v>100</v>
      </c>
      <c r="X23" s="1566"/>
      <c r="Y23" s="3529"/>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0"/>
      <c r="M24" s="2132"/>
      <c r="N24" s="2132"/>
      <c r="O24" s="2132"/>
      <c r="P24" s="3529"/>
      <c r="Q24" s="1571"/>
      <c r="R24" s="1572"/>
      <c r="S24" s="1573"/>
      <c r="T24" s="1572"/>
      <c r="U24" s="1573"/>
      <c r="V24" s="1572"/>
      <c r="W24" s="1573"/>
      <c r="X24" s="1566"/>
      <c r="Y24" s="3529"/>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529"/>
      <c r="Q25" s="1571" t="str">
        <f>B25</f>
        <v>毗邻道路的类型与等级</v>
      </c>
      <c r="R25" s="1572" t="s">
        <v>8</v>
      </c>
      <c r="S25" s="1573">
        <f>F25</f>
        <v>100</v>
      </c>
      <c r="T25" s="1572" t="s">
        <v>8</v>
      </c>
      <c r="U25" s="1573">
        <f>H25</f>
        <v>100</v>
      </c>
      <c r="V25" s="1572" t="s">
        <v>8</v>
      </c>
      <c r="W25" s="1573">
        <f>J25</f>
        <v>100</v>
      </c>
      <c r="X25" s="1566"/>
      <c r="Y25" s="3529"/>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0"/>
      <c r="M26" s="2132"/>
      <c r="N26" s="2132"/>
      <c r="O26" s="2132"/>
      <c r="P26" s="3529"/>
      <c r="Q26" s="1571"/>
      <c r="R26" s="1572"/>
      <c r="S26" s="1573"/>
      <c r="T26" s="1572"/>
      <c r="U26" s="1573"/>
      <c r="V26" s="1572"/>
      <c r="W26" s="1573"/>
      <c r="X26" s="1566"/>
      <c r="Y26" s="3529"/>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529"/>
      <c r="Q27" s="1571" t="str">
        <f t="shared" ref="Q27:Q47" si="8">B27</f>
        <v>楼层</v>
      </c>
      <c r="R27" s="1572" t="s">
        <v>8</v>
      </c>
      <c r="S27" s="1573">
        <f>F27</f>
        <v>100</v>
      </c>
      <c r="T27" s="1572" t="s">
        <v>8</v>
      </c>
      <c r="U27" s="1573">
        <f>H27</f>
        <v>100</v>
      </c>
      <c r="V27" s="1572" t="s">
        <v>8</v>
      </c>
      <c r="W27" s="1573">
        <f>J27</f>
        <v>100</v>
      </c>
      <c r="X27" s="1566"/>
      <c r="Y27" s="3529"/>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529"/>
      <c r="Q28" s="1150" t="str">
        <f t="shared" si="8"/>
        <v>朝向</v>
      </c>
      <c r="R28" s="1567" t="s">
        <v>8</v>
      </c>
      <c r="S28" s="1568">
        <f>F28</f>
        <v>100</v>
      </c>
      <c r="T28" s="1567" t="s">
        <v>8</v>
      </c>
      <c r="U28" s="1568">
        <f>H28</f>
        <v>100</v>
      </c>
      <c r="V28" s="1567" t="s">
        <v>8</v>
      </c>
      <c r="W28" s="1568">
        <f>J28</f>
        <v>100</v>
      </c>
      <c r="X28" s="1569"/>
      <c r="Y28" s="3529"/>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529"/>
      <c r="Q29" s="1571">
        <f t="shared" si="8"/>
        <v>111</v>
      </c>
      <c r="R29" s="1572" t="s">
        <v>8</v>
      </c>
      <c r="S29" s="1573">
        <f t="shared" ref="S29:S47" si="9">F29</f>
        <v>100</v>
      </c>
      <c r="T29" s="1572" t="s">
        <v>8</v>
      </c>
      <c r="U29" s="1573">
        <f t="shared" ref="U29:U47" si="10">H29</f>
        <v>100</v>
      </c>
      <c r="V29" s="1572" t="s">
        <v>8</v>
      </c>
      <c r="W29" s="1573">
        <f t="shared" ref="W29:W47" si="11">J29</f>
        <v>100</v>
      </c>
      <c r="X29" s="1566"/>
      <c r="Y29" s="3529"/>
      <c r="Z29" s="1574">
        <f t="shared" ref="Z29:Z47" si="12">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529"/>
      <c r="Q30" s="1571">
        <f t="shared" si="8"/>
        <v>111</v>
      </c>
      <c r="R30" s="1572" t="s">
        <v>8</v>
      </c>
      <c r="S30" s="1573">
        <f t="shared" si="9"/>
        <v>100</v>
      </c>
      <c r="T30" s="1572" t="s">
        <v>8</v>
      </c>
      <c r="U30" s="1573">
        <f t="shared" si="10"/>
        <v>100</v>
      </c>
      <c r="V30" s="1572" t="s">
        <v>8</v>
      </c>
      <c r="W30" s="1573">
        <f t="shared" si="11"/>
        <v>100</v>
      </c>
      <c r="X30" s="1566"/>
      <c r="Y30" s="3529"/>
      <c r="Z30" s="1574">
        <f t="shared" si="12"/>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529"/>
      <c r="Q31" s="1571">
        <f t="shared" si="8"/>
        <v>111</v>
      </c>
      <c r="R31" s="1572" t="s">
        <v>8</v>
      </c>
      <c r="S31" s="1573">
        <f t="shared" si="9"/>
        <v>100</v>
      </c>
      <c r="T31" s="1572" t="s">
        <v>8</v>
      </c>
      <c r="U31" s="1573">
        <f t="shared" si="10"/>
        <v>100</v>
      </c>
      <c r="V31" s="1572" t="s">
        <v>8</v>
      </c>
      <c r="W31" s="1573">
        <f t="shared" si="11"/>
        <v>100</v>
      </c>
      <c r="X31" s="1566"/>
      <c r="Y31" s="3529"/>
      <c r="Z31" s="1574">
        <f t="shared" si="12"/>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529"/>
      <c r="Q32" s="1571">
        <f t="shared" si="8"/>
        <v>111</v>
      </c>
      <c r="R32" s="1572" t="s">
        <v>8</v>
      </c>
      <c r="S32" s="1573">
        <f t="shared" si="9"/>
        <v>100</v>
      </c>
      <c r="T32" s="1572" t="s">
        <v>8</v>
      </c>
      <c r="U32" s="1573">
        <f t="shared" si="10"/>
        <v>100</v>
      </c>
      <c r="V32" s="1572" t="s">
        <v>8</v>
      </c>
      <c r="W32" s="1573">
        <f t="shared" si="11"/>
        <v>100</v>
      </c>
      <c r="X32" s="1566"/>
      <c r="Y32" s="3529"/>
      <c r="Z32" s="1574">
        <f t="shared" si="12"/>
        <v>111</v>
      </c>
      <c r="AA32" s="1575">
        <f t="shared" si="3"/>
        <v>1</v>
      </c>
      <c r="AB32" s="1575">
        <f t="shared" si="4"/>
        <v>1</v>
      </c>
      <c r="AC32" s="1575">
        <f t="shared" si="5"/>
        <v>1</v>
      </c>
    </row>
    <row r="33" spans="1:29" ht="15">
      <c r="A33" s="2905" t="s">
        <v>2752</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530" t="s">
        <v>550</v>
      </c>
      <c r="Q33" s="1571" t="str">
        <f t="shared" si="8"/>
        <v>建筑类型</v>
      </c>
      <c r="R33" s="1572" t="s">
        <v>8</v>
      </c>
      <c r="S33" s="1573">
        <f t="shared" si="9"/>
        <v>100</v>
      </c>
      <c r="T33" s="1572" t="s">
        <v>8</v>
      </c>
      <c r="U33" s="1573">
        <f t="shared" si="10"/>
        <v>100</v>
      </c>
      <c r="V33" s="1572" t="s">
        <v>8</v>
      </c>
      <c r="W33" s="1573">
        <f t="shared" si="11"/>
        <v>100</v>
      </c>
      <c r="X33" s="1566"/>
      <c r="Y33" s="3531" t="s">
        <v>550</v>
      </c>
      <c r="Z33" s="1574" t="str">
        <f t="shared" si="12"/>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531"/>
      <c r="Q34" s="1604" t="str">
        <f t="shared" si="8"/>
        <v>项目建筑规模</v>
      </c>
      <c r="R34" s="1576" t="s">
        <v>8</v>
      </c>
      <c r="S34" s="1577" t="e">
        <f t="shared" si="9"/>
        <v>#N/A</v>
      </c>
      <c r="T34" s="1576" t="s">
        <v>8</v>
      </c>
      <c r="U34" s="1577" t="e">
        <f t="shared" si="10"/>
        <v>#N/A</v>
      </c>
      <c r="V34" s="1576" t="s">
        <v>8</v>
      </c>
      <c r="W34" s="1577" t="e">
        <f t="shared" si="11"/>
        <v>#N/A</v>
      </c>
      <c r="X34" s="1578"/>
      <c r="Y34" s="3531"/>
      <c r="Z34" s="1579" t="str">
        <f t="shared" si="12"/>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531"/>
      <c r="Q35" s="1571" t="str">
        <f t="shared" si="8"/>
        <v>建筑结构</v>
      </c>
      <c r="R35" s="1572" t="s">
        <v>8</v>
      </c>
      <c r="S35" s="1573">
        <f t="shared" si="9"/>
        <v>100</v>
      </c>
      <c r="T35" s="1572" t="s">
        <v>8</v>
      </c>
      <c r="U35" s="1573">
        <f t="shared" si="10"/>
        <v>100</v>
      </c>
      <c r="V35" s="1572" t="s">
        <v>8</v>
      </c>
      <c r="W35" s="1573">
        <f t="shared" si="11"/>
        <v>100</v>
      </c>
      <c r="X35" s="1566"/>
      <c r="Y35" s="3531"/>
      <c r="Z35" s="1574" t="str">
        <f t="shared" si="12"/>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531"/>
      <c r="Q36" s="1571" t="str">
        <f t="shared" si="8"/>
        <v>公共部分装修</v>
      </c>
      <c r="R36" s="1572" t="s">
        <v>8</v>
      </c>
      <c r="S36" s="1573">
        <f t="shared" si="9"/>
        <v>100</v>
      </c>
      <c r="T36" s="1572" t="s">
        <v>8</v>
      </c>
      <c r="U36" s="1573">
        <f t="shared" si="10"/>
        <v>100</v>
      </c>
      <c r="V36" s="1572" t="s">
        <v>8</v>
      </c>
      <c r="W36" s="1573">
        <f t="shared" si="11"/>
        <v>100</v>
      </c>
      <c r="X36" s="1566"/>
      <c r="Y36" s="3531"/>
      <c r="Z36" s="1574" t="str">
        <f t="shared" si="12"/>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531"/>
      <c r="Q37" s="1571" t="str">
        <f t="shared" si="8"/>
        <v>成新度</v>
      </c>
      <c r="R37" s="1572" t="s">
        <v>8</v>
      </c>
      <c r="S37" s="1573" t="e">
        <f t="shared" si="9"/>
        <v>#N/A</v>
      </c>
      <c r="T37" s="1572" t="s">
        <v>8</v>
      </c>
      <c r="U37" s="1573" t="e">
        <f t="shared" si="10"/>
        <v>#N/A</v>
      </c>
      <c r="V37" s="1572" t="s">
        <v>8</v>
      </c>
      <c r="W37" s="1573" t="e">
        <f t="shared" si="11"/>
        <v>#N/A</v>
      </c>
      <c r="X37" s="1566"/>
      <c r="Y37" s="3531"/>
      <c r="Z37" s="1574" t="str">
        <f t="shared" si="12"/>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531"/>
      <c r="Q38" s="1150" t="str">
        <f t="shared" si="8"/>
        <v>写字楼等级</v>
      </c>
      <c r="R38" s="1567" t="s">
        <v>8</v>
      </c>
      <c r="S38" s="1568">
        <f t="shared" si="9"/>
        <v>100</v>
      </c>
      <c r="T38" s="1567" t="s">
        <v>8</v>
      </c>
      <c r="U38" s="1568">
        <f t="shared" si="10"/>
        <v>100</v>
      </c>
      <c r="V38" s="1567" t="s">
        <v>8</v>
      </c>
      <c r="W38" s="1568">
        <f t="shared" si="11"/>
        <v>100</v>
      </c>
      <c r="X38" s="1569"/>
      <c r="Y38" s="3531"/>
      <c r="Z38" s="1149" t="str">
        <f t="shared" si="12"/>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531" t="s">
        <v>550</v>
      </c>
      <c r="Q39" s="1571" t="str">
        <f t="shared" si="8"/>
        <v>物业管理</v>
      </c>
      <c r="R39" s="1572" t="s">
        <v>8</v>
      </c>
      <c r="S39" s="1573">
        <f t="shared" si="9"/>
        <v>100</v>
      </c>
      <c r="T39" s="1572" t="s">
        <v>8</v>
      </c>
      <c r="U39" s="1573">
        <f t="shared" si="10"/>
        <v>100</v>
      </c>
      <c r="V39" s="1572" t="s">
        <v>8</v>
      </c>
      <c r="W39" s="1573">
        <f t="shared" si="11"/>
        <v>100</v>
      </c>
      <c r="X39" s="1566"/>
      <c r="Y39" s="3531" t="s">
        <v>550</v>
      </c>
      <c r="Z39" s="1574" t="str">
        <f t="shared" si="12"/>
        <v>物业管理</v>
      </c>
      <c r="AA39" s="1575">
        <f t="shared" si="3"/>
        <v>1</v>
      </c>
      <c r="AB39" s="1575">
        <f t="shared" si="4"/>
        <v>1</v>
      </c>
      <c r="AC39" s="1575">
        <f t="shared" si="5"/>
        <v>1</v>
      </c>
    </row>
    <row r="40" spans="1:29" ht="15">
      <c r="A40" s="593"/>
      <c r="B40" s="1893"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531"/>
      <c r="Q40" s="1571" t="str">
        <f t="shared" si="8"/>
        <v>市政基础设施</v>
      </c>
      <c r="R40" s="1572" t="s">
        <v>8</v>
      </c>
      <c r="S40" s="1573">
        <f t="shared" si="9"/>
        <v>100</v>
      </c>
      <c r="T40" s="1572" t="s">
        <v>8</v>
      </c>
      <c r="U40" s="1573">
        <f t="shared" si="10"/>
        <v>100</v>
      </c>
      <c r="V40" s="1572" t="s">
        <v>8</v>
      </c>
      <c r="W40" s="1573">
        <f t="shared" si="11"/>
        <v>100</v>
      </c>
      <c r="X40" s="1566"/>
      <c r="Y40" s="3531"/>
      <c r="Z40" s="1574" t="str">
        <f t="shared" si="12"/>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531"/>
      <c r="Q41" s="1571" t="str">
        <f t="shared" si="8"/>
        <v>层高</v>
      </c>
      <c r="R41" s="1572" t="s">
        <v>8</v>
      </c>
      <c r="S41" s="1573">
        <f t="shared" si="9"/>
        <v>100</v>
      </c>
      <c r="T41" s="1572" t="s">
        <v>8</v>
      </c>
      <c r="U41" s="1573">
        <f t="shared" si="10"/>
        <v>100</v>
      </c>
      <c r="V41" s="1572" t="s">
        <v>8</v>
      </c>
      <c r="W41" s="1573">
        <f t="shared" si="11"/>
        <v>100</v>
      </c>
      <c r="X41" s="1566"/>
      <c r="Y41" s="3531"/>
      <c r="Z41" s="1574" t="str">
        <f t="shared" si="12"/>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531"/>
      <c r="Q42" s="1604" t="str">
        <f t="shared" si="8"/>
        <v>单套建筑面积</v>
      </c>
      <c r="R42" s="1576" t="s">
        <v>8</v>
      </c>
      <c r="S42" s="1577">
        <f t="shared" si="9"/>
        <v>100</v>
      </c>
      <c r="T42" s="1576" t="s">
        <v>8</v>
      </c>
      <c r="U42" s="1577">
        <f t="shared" si="10"/>
        <v>100</v>
      </c>
      <c r="V42" s="1576" t="s">
        <v>8</v>
      </c>
      <c r="W42" s="1577">
        <f t="shared" si="11"/>
        <v>100</v>
      </c>
      <c r="X42" s="1578"/>
      <c r="Y42" s="3531"/>
      <c r="Z42" s="1579" t="str">
        <f t="shared" si="12"/>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531"/>
      <c r="Q43" s="1571" t="str">
        <f t="shared" si="8"/>
        <v>内部装修</v>
      </c>
      <c r="R43" s="1572" t="s">
        <v>8</v>
      </c>
      <c r="S43" s="1573">
        <f t="shared" si="9"/>
        <v>100</v>
      </c>
      <c r="T43" s="1572" t="s">
        <v>8</v>
      </c>
      <c r="U43" s="1573">
        <f t="shared" si="10"/>
        <v>100</v>
      </c>
      <c r="V43" s="1572" t="s">
        <v>8</v>
      </c>
      <c r="W43" s="1573">
        <f t="shared" si="11"/>
        <v>100</v>
      </c>
      <c r="X43" s="1566"/>
      <c r="Y43" s="3531"/>
      <c r="Z43" s="1574" t="str">
        <f t="shared" si="12"/>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531"/>
      <c r="Q44" s="1571" t="str">
        <f t="shared" si="8"/>
        <v>内部装修维护情况</v>
      </c>
      <c r="R44" s="1572" t="s">
        <v>8</v>
      </c>
      <c r="S44" s="1573">
        <f t="shared" si="9"/>
        <v>100</v>
      </c>
      <c r="T44" s="1572" t="s">
        <v>8</v>
      </c>
      <c r="U44" s="1573">
        <f t="shared" si="10"/>
        <v>100</v>
      </c>
      <c r="V44" s="1572" t="s">
        <v>8</v>
      </c>
      <c r="W44" s="1573">
        <f t="shared" si="11"/>
        <v>100</v>
      </c>
      <c r="X44" s="1566"/>
      <c r="Y44" s="3531"/>
      <c r="Z44" s="1574" t="str">
        <f t="shared" si="12"/>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531"/>
      <c r="Q45" s="1150">
        <f t="shared" si="8"/>
        <v>111</v>
      </c>
      <c r="R45" s="1567" t="s">
        <v>8</v>
      </c>
      <c r="S45" s="1568">
        <f t="shared" si="9"/>
        <v>100</v>
      </c>
      <c r="T45" s="1567" t="s">
        <v>8</v>
      </c>
      <c r="U45" s="1568">
        <f t="shared" si="10"/>
        <v>100</v>
      </c>
      <c r="V45" s="1567" t="s">
        <v>8</v>
      </c>
      <c r="W45" s="1568">
        <f t="shared" si="11"/>
        <v>100</v>
      </c>
      <c r="X45" s="1569"/>
      <c r="Y45" s="3531"/>
      <c r="Z45" s="1149">
        <f t="shared" si="12"/>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531"/>
      <c r="Q46" s="1571">
        <f t="shared" si="8"/>
        <v>111</v>
      </c>
      <c r="R46" s="1572" t="s">
        <v>8</v>
      </c>
      <c r="S46" s="1573">
        <f t="shared" si="9"/>
        <v>100</v>
      </c>
      <c r="T46" s="1572" t="s">
        <v>8</v>
      </c>
      <c r="U46" s="1573">
        <f t="shared" si="10"/>
        <v>100</v>
      </c>
      <c r="V46" s="1572" t="s">
        <v>8</v>
      </c>
      <c r="W46" s="1573">
        <f t="shared" si="11"/>
        <v>100</v>
      </c>
      <c r="X46" s="1566"/>
      <c r="Y46" s="3531"/>
      <c r="Z46" s="1574">
        <f t="shared" si="12"/>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613"/>
      <c r="Q47" s="1571">
        <f t="shared" si="8"/>
        <v>111</v>
      </c>
      <c r="R47" s="1572" t="s">
        <v>8</v>
      </c>
      <c r="S47" s="1573">
        <f t="shared" si="9"/>
        <v>100</v>
      </c>
      <c r="T47" s="1572" t="s">
        <v>8</v>
      </c>
      <c r="U47" s="1573">
        <f t="shared" si="10"/>
        <v>100</v>
      </c>
      <c r="V47" s="1572" t="s">
        <v>8</v>
      </c>
      <c r="W47" s="1573">
        <f t="shared" si="11"/>
        <v>100</v>
      </c>
      <c r="X47" s="1566"/>
      <c r="Y47" s="3613"/>
      <c r="Z47" s="1574">
        <f t="shared" si="12"/>
        <v>111</v>
      </c>
      <c r="AA47" s="1575">
        <f t="shared" si="3"/>
        <v>1</v>
      </c>
      <c r="AB47" s="1575">
        <f t="shared" si="4"/>
        <v>1</v>
      </c>
      <c r="AC47" s="1575">
        <f t="shared" si="5"/>
        <v>1</v>
      </c>
    </row>
    <row r="48" spans="1:29" ht="15">
      <c r="A48" s="606" t="s">
        <v>736</v>
      </c>
      <c r="B48" s="886"/>
      <c r="C48" s="2625" t="s">
        <v>1</v>
      </c>
      <c r="D48" s="2626"/>
      <c r="E48" s="2627"/>
      <c r="F48" s="2628"/>
      <c r="G48" s="2629"/>
      <c r="H48" s="2630"/>
      <c r="I48" s="2627"/>
      <c r="J48" s="2630"/>
      <c r="K48" s="1610"/>
      <c r="L48" s="2142"/>
      <c r="M48" s="2132"/>
      <c r="N48" s="2132"/>
      <c r="O48" s="2132"/>
      <c r="P48" s="3492" t="str">
        <f>A48</f>
        <v>成交单价（元/平方米）</v>
      </c>
      <c r="Q48" s="3494"/>
      <c r="R48" s="3612">
        <f>E48</f>
        <v>0</v>
      </c>
      <c r="S48" s="3612"/>
      <c r="T48" s="3612">
        <f>G48</f>
        <v>0</v>
      </c>
      <c r="U48" s="3612"/>
      <c r="V48" s="3612">
        <f>I48</f>
        <v>0</v>
      </c>
      <c r="W48" s="3612"/>
      <c r="X48" s="1558"/>
      <c r="Y48" s="1580"/>
      <c r="Z48" s="1558"/>
      <c r="AA48" s="1558"/>
      <c r="AB48" s="1558"/>
      <c r="AC48" s="1558"/>
    </row>
    <row r="49" spans="1:29" ht="15.75" thickBot="1">
      <c r="A49" s="614" t="s">
        <v>2757</v>
      </c>
      <c r="B49" s="887"/>
      <c r="C49" s="2631" t="e">
        <f>R50</f>
        <v>#DIV/0!</v>
      </c>
      <c r="D49" s="2632"/>
      <c r="E49" s="2633" t="e">
        <f>R49</f>
        <v>#DIV/0!</v>
      </c>
      <c r="F49" s="2633"/>
      <c r="G49" s="2631" t="e">
        <f>T49</f>
        <v>#DIV/0!</v>
      </c>
      <c r="H49" s="2632"/>
      <c r="I49" s="2633" t="e">
        <f>V49</f>
        <v>#DIV/0!</v>
      </c>
      <c r="J49" s="2632"/>
      <c r="K49" s="1611"/>
      <c r="L49" s="2142"/>
      <c r="M49" s="2132"/>
      <c r="N49" s="2132"/>
      <c r="O49" s="2132"/>
      <c r="P49" s="3492" t="str">
        <f>A49</f>
        <v>比较价格（元/平方米）</v>
      </c>
      <c r="Q49" s="3494"/>
      <c r="R49" s="3612" t="e">
        <f>IF(F1="售价",ROUND(PRODUCT(R48,AA7:AA47),0),ROUND(PRODUCT(R48,AA7:AA47),1))</f>
        <v>#DIV/0!</v>
      </c>
      <c r="S49" s="3612"/>
      <c r="T49" s="3612" t="e">
        <f>IF(F1="售价",ROUND(PRODUCT(T48,AB7:AB47),0),ROUND(PRODUCT(T48,AB7:AB47),1))</f>
        <v>#DIV/0!</v>
      </c>
      <c r="U49" s="3612"/>
      <c r="V49" s="3612" t="e">
        <f>IF(F1="售价",ROUND(PRODUCT(V48,AC7:AC47),0),ROUND(PRODUCT(V48,AC7:AC47),1))</f>
        <v>#DIV/0!</v>
      </c>
      <c r="W49" s="3612"/>
      <c r="X49" s="1558"/>
      <c r="Y49" s="1558"/>
      <c r="Z49" s="1558"/>
      <c r="AA49" s="1558"/>
      <c r="AB49" s="1558"/>
      <c r="AC49" s="1558"/>
    </row>
    <row r="50" spans="1:29" ht="15.75" thickBot="1">
      <c r="A50" s="620" t="s">
        <v>2921</v>
      </c>
      <c r="B50" s="621"/>
      <c r="C50" s="2634" t="e">
        <f>R50</f>
        <v>#DIV/0!</v>
      </c>
      <c r="D50" s="2634"/>
      <c r="E50" s="2634"/>
      <c r="F50" s="2634"/>
      <c r="G50" s="2634"/>
      <c r="H50" s="2634"/>
      <c r="I50" s="2634"/>
      <c r="J50" s="2634"/>
      <c r="K50" s="1612"/>
      <c r="L50" s="2142"/>
      <c r="M50" s="2132"/>
      <c r="N50" s="2132"/>
      <c r="O50" s="2132"/>
      <c r="P50" s="3614" t="str">
        <f>A50</f>
        <v>估价对象XX用房的比较价格（楼面单价，元/平方米）</v>
      </c>
      <c r="Q50" s="3492"/>
      <c r="R50" s="3611" t="e">
        <f>IF(F1="售价",ROUND(AVERAGE(R49:V49),0),ROUND(AVERAGE(R49:V49),1))</f>
        <v>#DIV/0!</v>
      </c>
      <c r="S50" s="3611"/>
      <c r="T50" s="3611"/>
      <c r="U50" s="3611"/>
      <c r="V50" s="3611"/>
      <c r="W50" s="3611"/>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6" customFormat="1" ht="15">
      <c r="A59" s="644" t="s">
        <v>529</v>
      </c>
      <c r="B59" s="645"/>
      <c r="C59" s="2800" t="str">
        <f>YEAR(C7)&amp;"-"&amp;MONTH(C7)</f>
        <v>2018-12</v>
      </c>
      <c r="D59" s="2802">
        <f>EDATE(C59,-1)</f>
        <v>43405</v>
      </c>
      <c r="E59" s="2802">
        <f t="shared" ref="E59:O59" si="13">EDATE(D59,-1)</f>
        <v>43374</v>
      </c>
      <c r="F59" s="2802">
        <f t="shared" si="13"/>
        <v>43344</v>
      </c>
      <c r="G59" s="2802">
        <f t="shared" si="13"/>
        <v>43313</v>
      </c>
      <c r="H59" s="2802">
        <f t="shared" si="13"/>
        <v>43282</v>
      </c>
      <c r="I59" s="2802">
        <f t="shared" si="13"/>
        <v>43252</v>
      </c>
      <c r="J59" s="2802">
        <f t="shared" si="13"/>
        <v>43221</v>
      </c>
      <c r="K59" s="2802">
        <f t="shared" si="13"/>
        <v>43191</v>
      </c>
      <c r="L59" s="2802">
        <f t="shared" si="13"/>
        <v>43160</v>
      </c>
      <c r="M59" s="2802">
        <f t="shared" si="13"/>
        <v>43132</v>
      </c>
      <c r="N59" s="2802">
        <f t="shared" si="13"/>
        <v>43101</v>
      </c>
      <c r="O59" s="2802">
        <f t="shared" si="13"/>
        <v>43070</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2555</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2556</v>
      </c>
      <c r="C83" s="2596" t="s">
        <v>2557</v>
      </c>
      <c r="D83" s="2596" t="s">
        <v>2558</v>
      </c>
      <c r="E83" s="2596" t="s">
        <v>2559</v>
      </c>
      <c r="F83" s="2596" t="s">
        <v>2560</v>
      </c>
      <c r="G83" s="2596" t="s">
        <v>2561</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521</v>
      </c>
      <c r="B4" s="512"/>
      <c r="C4" s="3500" t="s">
        <v>522</v>
      </c>
      <c r="D4" s="3501"/>
      <c r="E4" s="3538" t="s">
        <v>523</v>
      </c>
      <c r="F4" s="3539"/>
      <c r="G4" s="3500" t="s">
        <v>524</v>
      </c>
      <c r="H4" s="3501"/>
      <c r="I4" s="3500" t="s">
        <v>525</v>
      </c>
      <c r="J4" s="3501"/>
      <c r="K4" s="513" t="s">
        <v>526</v>
      </c>
      <c r="L4" s="2131"/>
      <c r="M4" s="2132"/>
      <c r="N4" s="2132"/>
      <c r="O4" s="2132"/>
      <c r="P4" s="3502" t="s">
        <v>527</v>
      </c>
      <c r="Q4" s="3503"/>
      <c r="R4" s="3508" t="s">
        <v>523</v>
      </c>
      <c r="S4" s="3509"/>
      <c r="T4" s="3508" t="s">
        <v>524</v>
      </c>
      <c r="U4" s="3509"/>
      <c r="V4" s="3495" t="s">
        <v>525</v>
      </c>
      <c r="W4" s="3495"/>
      <c r="X4" s="1566"/>
      <c r="Y4" s="3508" t="s">
        <v>527</v>
      </c>
      <c r="Z4" s="3509"/>
      <c r="AA4" s="3497" t="s">
        <v>523</v>
      </c>
      <c r="AB4" s="3498" t="s">
        <v>524</v>
      </c>
      <c r="AC4" s="3497" t="s">
        <v>525</v>
      </c>
    </row>
    <row r="5" spans="1:29" ht="15">
      <c r="A5" s="514"/>
      <c r="B5" s="515"/>
      <c r="C5" s="3532" t="s">
        <v>2915</v>
      </c>
      <c r="D5" s="3533"/>
      <c r="E5" s="3540" t="s">
        <v>2916</v>
      </c>
      <c r="F5" s="3541"/>
      <c r="G5" s="3532" t="s">
        <v>2917</v>
      </c>
      <c r="H5" s="3533"/>
      <c r="I5" s="3532" t="s">
        <v>2918</v>
      </c>
      <c r="J5" s="3533"/>
      <c r="K5" s="513"/>
      <c r="L5" s="2131"/>
      <c r="M5" s="2132"/>
      <c r="N5" s="2132"/>
      <c r="O5" s="2132"/>
      <c r="P5" s="3504"/>
      <c r="Q5" s="3505"/>
      <c r="R5" s="3510"/>
      <c r="S5" s="3511"/>
      <c r="T5" s="3510"/>
      <c r="U5" s="3511"/>
      <c r="V5" s="3495"/>
      <c r="W5" s="3495"/>
      <c r="X5" s="1566"/>
      <c r="Y5" s="3510"/>
      <c r="Z5" s="3511"/>
      <c r="AA5" s="3498"/>
      <c r="AB5" s="3498"/>
      <c r="AC5" s="3498"/>
    </row>
    <row r="6" spans="1:29" ht="15.75" thickBot="1">
      <c r="A6" s="516"/>
      <c r="B6" s="517"/>
      <c r="C6" s="3534" t="s">
        <v>2919</v>
      </c>
      <c r="D6" s="3535"/>
      <c r="E6" s="3536" t="s">
        <v>2919</v>
      </c>
      <c r="F6" s="3537"/>
      <c r="G6" s="3534" t="s">
        <v>2919</v>
      </c>
      <c r="H6" s="3535"/>
      <c r="I6" s="3534" t="s">
        <v>2919</v>
      </c>
      <c r="J6" s="3535"/>
      <c r="K6" s="513" t="s">
        <v>528</v>
      </c>
      <c r="L6" s="2131"/>
      <c r="M6" s="2132"/>
      <c r="N6" s="2132"/>
      <c r="O6" s="2132"/>
      <c r="P6" s="3506"/>
      <c r="Q6" s="3507"/>
      <c r="R6" s="3510"/>
      <c r="S6" s="3511"/>
      <c r="T6" s="3512"/>
      <c r="U6" s="3513"/>
      <c r="V6" s="3495"/>
      <c r="W6" s="3495"/>
      <c r="X6" s="1566"/>
      <c r="Y6" s="3512"/>
      <c r="Z6" s="3513"/>
      <c r="AA6" s="3499"/>
      <c r="AB6" s="3499"/>
      <c r="AC6" s="3499"/>
    </row>
    <row r="7" spans="1:29" s="1219" customFormat="1" ht="15.75" thickBot="1">
      <c r="A7" s="2909"/>
      <c r="B7" s="2916" t="s">
        <v>529</v>
      </c>
      <c r="C7" s="518">
        <f>'数据-取费表'!B2</f>
        <v>43444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525" t="s">
        <v>530</v>
      </c>
      <c r="Q7" s="3527"/>
      <c r="R7" s="1567" t="s">
        <v>8</v>
      </c>
      <c r="S7" s="1568">
        <f t="shared" ref="S7:S15" si="0">F7</f>
        <v>0</v>
      </c>
      <c r="T7" s="1567" t="s">
        <v>8</v>
      </c>
      <c r="U7" s="1568">
        <f t="shared" ref="U7:U15" si="1">H7</f>
        <v>0</v>
      </c>
      <c r="V7" s="1567" t="s">
        <v>8</v>
      </c>
      <c r="W7" s="1568">
        <f t="shared" ref="W7:W15"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525" t="s">
        <v>533</v>
      </c>
      <c r="Q8" s="3526"/>
      <c r="R8" s="1567" t="s">
        <v>8</v>
      </c>
      <c r="S8" s="1568">
        <f t="shared" si="0"/>
        <v>0</v>
      </c>
      <c r="T8" s="1567" t="s">
        <v>8</v>
      </c>
      <c r="U8" s="1568">
        <f t="shared" si="1"/>
        <v>0</v>
      </c>
      <c r="V8" s="1567" t="s">
        <v>8</v>
      </c>
      <c r="W8" s="1568">
        <f t="shared" si="2"/>
        <v>0</v>
      </c>
      <c r="X8" s="1569"/>
      <c r="Y8" s="3525" t="s">
        <v>533</v>
      </c>
      <c r="Z8" s="3526"/>
      <c r="AA8" s="1570" t="e">
        <f t="shared" ref="AA8:AA40" si="3">D8/F8</f>
        <v>#DIV/0!</v>
      </c>
      <c r="AB8" s="1570" t="e">
        <f t="shared" ref="AB8:AB40" si="4">D8/H8</f>
        <v>#DIV/0!</v>
      </c>
      <c r="AC8" s="1570" t="e">
        <f t="shared" ref="AC8:AC40" si="5">D8/J8</f>
        <v>#DIV/0!</v>
      </c>
    </row>
    <row r="9" spans="1:29" s="1219" customFormat="1" ht="15">
      <c r="A9" s="2911"/>
      <c r="B9" s="2918" t="s">
        <v>2753</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94" t="s">
        <v>535</v>
      </c>
      <c r="Q9" s="1150" t="str">
        <f t="shared" ref="Q9:Q15" si="6">B9</f>
        <v>用途</v>
      </c>
      <c r="R9" s="1567" t="s">
        <v>8</v>
      </c>
      <c r="S9" s="1568">
        <f t="shared" si="0"/>
        <v>100</v>
      </c>
      <c r="T9" s="1567" t="s">
        <v>8</v>
      </c>
      <c r="U9" s="1568">
        <f t="shared" si="1"/>
        <v>100</v>
      </c>
      <c r="V9" s="1567" t="s">
        <v>8</v>
      </c>
      <c r="W9" s="1568">
        <f t="shared" si="2"/>
        <v>100</v>
      </c>
      <c r="X9" s="1569"/>
      <c r="Y9" s="3440"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3"/>
      <c r="B11" s="2917"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94"/>
      <c r="Q11" s="1150" t="str">
        <f t="shared" si="6"/>
        <v>容积率</v>
      </c>
      <c r="R11" s="1567" t="s">
        <v>8</v>
      </c>
      <c r="S11" s="1568" t="e">
        <f t="shared" si="0"/>
        <v>#N/A</v>
      </c>
      <c r="T11" s="1567" t="s">
        <v>8</v>
      </c>
      <c r="U11" s="1568" t="e">
        <f t="shared" si="1"/>
        <v>#N/A</v>
      </c>
      <c r="V11" s="1567" t="s">
        <v>8</v>
      </c>
      <c r="W11" s="1568" t="e">
        <f t="shared" si="2"/>
        <v>#N/A</v>
      </c>
      <c r="X11" s="1569"/>
      <c r="Y11" s="3440"/>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94"/>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
      <c r="A13" s="2914"/>
      <c r="B13" s="292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94"/>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75" thickBot="1">
      <c r="A14" s="2915"/>
      <c r="B14" s="292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94"/>
      <c r="Q14" s="1150">
        <f t="shared" si="6"/>
        <v>111</v>
      </c>
      <c r="R14" s="1567" t="s">
        <v>8</v>
      </c>
      <c r="S14" s="1568">
        <f t="shared" si="0"/>
        <v>100</v>
      </c>
      <c r="T14" s="1567" t="s">
        <v>8</v>
      </c>
      <c r="U14" s="1568">
        <f t="shared" si="1"/>
        <v>100</v>
      </c>
      <c r="V14" s="1567" t="s">
        <v>8</v>
      </c>
      <c r="W14" s="1568">
        <f t="shared" si="2"/>
        <v>100</v>
      </c>
      <c r="X14" s="1569"/>
      <c r="Y14" s="3440"/>
      <c r="Z14" s="1149">
        <f t="shared" si="7"/>
        <v>111</v>
      </c>
      <c r="AA14" s="1570">
        <f t="shared" si="3"/>
        <v>1</v>
      </c>
      <c r="AB14" s="1570">
        <f t="shared" si="4"/>
        <v>1</v>
      </c>
      <c r="AC14" s="1570">
        <f t="shared" si="5"/>
        <v>1</v>
      </c>
    </row>
    <row r="15" spans="1:29" ht="15">
      <c r="A15" s="2907" t="s">
        <v>2751</v>
      </c>
      <c r="B15" s="165"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528" t="s">
        <v>540</v>
      </c>
      <c r="Q15" s="1571" t="str">
        <f t="shared" si="6"/>
        <v>产业集聚程度</v>
      </c>
      <c r="R15" s="1572" t="s">
        <v>8</v>
      </c>
      <c r="S15" s="1573">
        <f t="shared" si="0"/>
        <v>100</v>
      </c>
      <c r="T15" s="1572" t="s">
        <v>8</v>
      </c>
      <c r="U15" s="1573">
        <f t="shared" si="1"/>
        <v>100</v>
      </c>
      <c r="V15" s="1572" t="s">
        <v>8</v>
      </c>
      <c r="W15" s="1573">
        <f t="shared" si="2"/>
        <v>100</v>
      </c>
      <c r="X15" s="1566"/>
      <c r="Y15" s="3528"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529"/>
      <c r="Q16" s="1571"/>
      <c r="R16" s="1572"/>
      <c r="S16" s="1573"/>
      <c r="T16" s="1572"/>
      <c r="U16" s="1573"/>
      <c r="V16" s="1572"/>
      <c r="W16" s="1573"/>
      <c r="X16" s="1566"/>
      <c r="Y16" s="3529"/>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529"/>
      <c r="Q17" s="1571" t="str">
        <f>B17</f>
        <v>交通便捷度</v>
      </c>
      <c r="R17" s="1572" t="s">
        <v>8</v>
      </c>
      <c r="S17" s="1573">
        <f>F17</f>
        <v>100</v>
      </c>
      <c r="T17" s="1572" t="s">
        <v>8</v>
      </c>
      <c r="U17" s="1573">
        <f>H17</f>
        <v>100</v>
      </c>
      <c r="V17" s="1572" t="s">
        <v>8</v>
      </c>
      <c r="W17" s="1573">
        <f>J17</f>
        <v>100</v>
      </c>
      <c r="X17" s="1566"/>
      <c r="Y17" s="3529"/>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529"/>
      <c r="Q18" s="1571"/>
      <c r="R18" s="1572"/>
      <c r="S18" s="1573"/>
      <c r="T18" s="1572"/>
      <c r="U18" s="1573"/>
      <c r="V18" s="1572"/>
      <c r="W18" s="1573"/>
      <c r="X18" s="1566"/>
      <c r="Y18" s="3529"/>
      <c r="Z18" s="1574"/>
      <c r="AA18" s="1575">
        <v>1</v>
      </c>
      <c r="AB18" s="1575">
        <v>1</v>
      </c>
      <c r="AC18" s="1575">
        <v>1</v>
      </c>
    </row>
    <row r="19" spans="1:29" ht="15">
      <c r="A19" s="531"/>
      <c r="B19" s="2601" t="s">
        <v>2544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529"/>
      <c r="Q19" s="1571" t="str">
        <f>B19</f>
        <v>公共配套设施</v>
      </c>
      <c r="R19" s="1572" t="s">
        <v>8</v>
      </c>
      <c r="S19" s="1573">
        <f>F19</f>
        <v>100</v>
      </c>
      <c r="T19" s="1572" t="s">
        <v>8</v>
      </c>
      <c r="U19" s="1573">
        <f>H19</f>
        <v>100</v>
      </c>
      <c r="V19" s="1572" t="s">
        <v>8</v>
      </c>
      <c r="W19" s="1573">
        <f>J19</f>
        <v>100</v>
      </c>
      <c r="X19" s="1566"/>
      <c r="Y19" s="3529"/>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0"/>
      <c r="M20" s="2132"/>
      <c r="N20" s="2132"/>
      <c r="O20" s="2139"/>
      <c r="P20" s="3529"/>
      <c r="Q20" s="1571"/>
      <c r="R20" s="1572"/>
      <c r="S20" s="1573"/>
      <c r="T20" s="1572"/>
      <c r="U20" s="1573"/>
      <c r="V20" s="1572"/>
      <c r="W20" s="1573"/>
      <c r="X20" s="1566"/>
      <c r="Y20" s="3529"/>
      <c r="Z20" s="1574"/>
      <c r="AA20" s="1575">
        <v>1</v>
      </c>
      <c r="AB20" s="1575">
        <v>1</v>
      </c>
      <c r="AC20" s="1575">
        <v>1</v>
      </c>
    </row>
    <row r="21" spans="1:29" ht="15">
      <c r="A21" s="531"/>
      <c r="B21" s="2589" t="s">
        <v>2556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529"/>
      <c r="Q21" s="2577" t="str">
        <f>B21</f>
        <v>基础设施水平</v>
      </c>
      <c r="R21" s="1572" t="s">
        <v>8</v>
      </c>
      <c r="S21" s="1573">
        <f>F21</f>
        <v>100</v>
      </c>
      <c r="T21" s="1572" t="s">
        <v>8</v>
      </c>
      <c r="U21" s="1573">
        <f>H21</f>
        <v>100</v>
      </c>
      <c r="V21" s="1572" t="s">
        <v>8</v>
      </c>
      <c r="W21" s="1573">
        <f>J21</f>
        <v>100</v>
      </c>
      <c r="X21" s="2579"/>
      <c r="Y21" s="3529"/>
      <c r="Z21" s="2578" t="str">
        <f>Q21</f>
        <v>基础设施水平</v>
      </c>
      <c r="AA21" s="1575">
        <f>D21/F21</f>
        <v>1</v>
      </c>
      <c r="AB21" s="1575">
        <f>D21/H21</f>
        <v>1</v>
      </c>
      <c r="AC21" s="1575">
        <f>D21/J21</f>
        <v>1</v>
      </c>
    </row>
    <row r="22" spans="1:29" ht="15">
      <c r="A22" s="531"/>
      <c r="B22" s="577"/>
      <c r="C22" s="872"/>
      <c r="D22" s="554"/>
      <c r="E22" s="575"/>
      <c r="F22" s="556"/>
      <c r="G22" s="575"/>
      <c r="H22" s="554"/>
      <c r="I22" s="575"/>
      <c r="J22" s="554"/>
      <c r="K22" s="2600"/>
      <c r="L22" s="2140"/>
      <c r="M22" s="2132"/>
      <c r="N22" s="2132"/>
      <c r="O22" s="2139"/>
      <c r="P22" s="3529"/>
      <c r="Q22" s="2577"/>
      <c r="R22" s="1572"/>
      <c r="S22" s="1573"/>
      <c r="T22" s="1572"/>
      <c r="U22" s="1573"/>
      <c r="V22" s="1572"/>
      <c r="W22" s="1573"/>
      <c r="X22" s="2579"/>
      <c r="Y22" s="3529"/>
      <c r="Z22" s="2578"/>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529"/>
      <c r="Q23" s="1571" t="str">
        <f>B23</f>
        <v>环境质量</v>
      </c>
      <c r="R23" s="1572" t="s">
        <v>8</v>
      </c>
      <c r="S23" s="1573">
        <f>F23</f>
        <v>100</v>
      </c>
      <c r="T23" s="1572" t="s">
        <v>8</v>
      </c>
      <c r="U23" s="1573">
        <f>H23</f>
        <v>100</v>
      </c>
      <c r="V23" s="1572" t="s">
        <v>8</v>
      </c>
      <c r="W23" s="1573">
        <f>J23</f>
        <v>100</v>
      </c>
      <c r="X23" s="1566"/>
      <c r="Y23" s="3529"/>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0"/>
      <c r="M24" s="2132"/>
      <c r="N24" s="2132"/>
      <c r="O24" s="2139"/>
      <c r="P24" s="3529"/>
      <c r="Q24" s="1571"/>
      <c r="R24" s="1572"/>
      <c r="S24" s="1573"/>
      <c r="T24" s="1572"/>
      <c r="U24" s="1573"/>
      <c r="V24" s="1572"/>
      <c r="W24" s="1573"/>
      <c r="X24" s="1566"/>
      <c r="Y24" s="3529"/>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529"/>
      <c r="Q25" s="1571">
        <f>B25</f>
        <v>111</v>
      </c>
      <c r="R25" s="1572" t="s">
        <v>8</v>
      </c>
      <c r="S25" s="1573">
        <f>F25</f>
        <v>100</v>
      </c>
      <c r="T25" s="1572" t="s">
        <v>8</v>
      </c>
      <c r="U25" s="1573">
        <f>H25</f>
        <v>100</v>
      </c>
      <c r="V25" s="1572" t="s">
        <v>8</v>
      </c>
      <c r="W25" s="1573">
        <f>J25</f>
        <v>100</v>
      </c>
      <c r="X25" s="1566"/>
      <c r="Y25" s="3529"/>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529"/>
      <c r="Q26" s="1571">
        <f t="shared" ref="Q26:Q40" si="8">B26</f>
        <v>111</v>
      </c>
      <c r="R26" s="1572" t="s">
        <v>8</v>
      </c>
      <c r="S26" s="1573">
        <f>F26</f>
        <v>100</v>
      </c>
      <c r="T26" s="1572" t="s">
        <v>8</v>
      </c>
      <c r="U26" s="1573">
        <f>H26</f>
        <v>100</v>
      </c>
      <c r="V26" s="1572" t="s">
        <v>8</v>
      </c>
      <c r="W26" s="1573">
        <f>J26</f>
        <v>100</v>
      </c>
      <c r="X26" s="1566"/>
      <c r="Y26" s="3529"/>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529"/>
      <c r="Q27" s="1150">
        <f t="shared" si="8"/>
        <v>111</v>
      </c>
      <c r="R27" s="1567" t="s">
        <v>8</v>
      </c>
      <c r="S27" s="1568">
        <f>F27</f>
        <v>100</v>
      </c>
      <c r="T27" s="1567" t="s">
        <v>8</v>
      </c>
      <c r="U27" s="1568">
        <f>H27</f>
        <v>100</v>
      </c>
      <c r="V27" s="1567" t="s">
        <v>8</v>
      </c>
      <c r="W27" s="1568">
        <f>J27</f>
        <v>100</v>
      </c>
      <c r="X27" s="1569"/>
      <c r="Y27" s="3529"/>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529"/>
      <c r="Q28" s="1571">
        <f t="shared" si="8"/>
        <v>111</v>
      </c>
      <c r="R28" s="1572" t="s">
        <v>8</v>
      </c>
      <c r="S28" s="1573">
        <f t="shared" ref="S28:S40" si="9">F28</f>
        <v>100</v>
      </c>
      <c r="T28" s="1572" t="s">
        <v>8</v>
      </c>
      <c r="U28" s="1573">
        <f t="shared" ref="U28:U40" si="10">H28</f>
        <v>100</v>
      </c>
      <c r="V28" s="1572" t="s">
        <v>8</v>
      </c>
      <c r="W28" s="1573">
        <f t="shared" ref="W28:W40" si="11">J28</f>
        <v>100</v>
      </c>
      <c r="X28" s="1566"/>
      <c r="Y28" s="3529"/>
      <c r="Z28" s="1574">
        <f t="shared" ref="Z28:Z40" si="12">Q28</f>
        <v>111</v>
      </c>
      <c r="AA28" s="1575">
        <f t="shared" si="3"/>
        <v>1</v>
      </c>
      <c r="AB28" s="1575">
        <f t="shared" si="4"/>
        <v>1</v>
      </c>
      <c r="AC28" s="1575">
        <f t="shared" si="5"/>
        <v>1</v>
      </c>
    </row>
    <row r="29" spans="1:29" ht="15">
      <c r="A29" s="2905" t="s">
        <v>2752</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530" t="s">
        <v>550</v>
      </c>
      <c r="Q29" s="1571" t="str">
        <f t="shared" si="8"/>
        <v>建筑类型</v>
      </c>
      <c r="R29" s="1572" t="s">
        <v>8</v>
      </c>
      <c r="S29" s="1573">
        <f t="shared" si="9"/>
        <v>100</v>
      </c>
      <c r="T29" s="1572" t="s">
        <v>8</v>
      </c>
      <c r="U29" s="1573">
        <f t="shared" si="10"/>
        <v>100</v>
      </c>
      <c r="V29" s="1572" t="s">
        <v>8</v>
      </c>
      <c r="W29" s="1573">
        <f t="shared" si="11"/>
        <v>100</v>
      </c>
      <c r="X29" s="1566"/>
      <c r="Y29" s="3531" t="s">
        <v>550</v>
      </c>
      <c r="Z29" s="1574" t="str">
        <f t="shared" si="12"/>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531"/>
      <c r="Q30" s="1604" t="str">
        <f t="shared" si="8"/>
        <v>项目建筑规模</v>
      </c>
      <c r="R30" s="1576" t="s">
        <v>8</v>
      </c>
      <c r="S30" s="1577" t="e">
        <f t="shared" si="9"/>
        <v>#N/A</v>
      </c>
      <c r="T30" s="1576" t="s">
        <v>8</v>
      </c>
      <c r="U30" s="1577" t="e">
        <f t="shared" si="10"/>
        <v>#N/A</v>
      </c>
      <c r="V30" s="1576" t="s">
        <v>8</v>
      </c>
      <c r="W30" s="1577" t="e">
        <f t="shared" si="11"/>
        <v>#N/A</v>
      </c>
      <c r="X30" s="1578"/>
      <c r="Y30" s="3531"/>
      <c r="Z30" s="1579" t="str">
        <f t="shared" si="12"/>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531"/>
      <c r="Q31" s="1571" t="str">
        <f t="shared" si="8"/>
        <v>建筑结构</v>
      </c>
      <c r="R31" s="1572" t="s">
        <v>8</v>
      </c>
      <c r="S31" s="1573">
        <f t="shared" si="9"/>
        <v>100</v>
      </c>
      <c r="T31" s="1572" t="s">
        <v>8</v>
      </c>
      <c r="U31" s="1573">
        <f t="shared" si="10"/>
        <v>100</v>
      </c>
      <c r="V31" s="1572" t="s">
        <v>8</v>
      </c>
      <c r="W31" s="1573">
        <f t="shared" si="11"/>
        <v>100</v>
      </c>
      <c r="X31" s="1566"/>
      <c r="Y31" s="3531"/>
      <c r="Z31" s="1574" t="str">
        <f t="shared" si="12"/>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531"/>
      <c r="Q32" s="1571" t="str">
        <f t="shared" si="8"/>
        <v>公共部分装修</v>
      </c>
      <c r="R32" s="1572" t="s">
        <v>8</v>
      </c>
      <c r="S32" s="1573">
        <f t="shared" si="9"/>
        <v>100</v>
      </c>
      <c r="T32" s="1572" t="s">
        <v>8</v>
      </c>
      <c r="U32" s="1573">
        <f t="shared" si="10"/>
        <v>100</v>
      </c>
      <c r="V32" s="1572" t="s">
        <v>8</v>
      </c>
      <c r="W32" s="1573">
        <f t="shared" si="11"/>
        <v>100</v>
      </c>
      <c r="X32" s="1566"/>
      <c r="Y32" s="3531"/>
      <c r="Z32" s="1574" t="str">
        <f t="shared" si="12"/>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531"/>
      <c r="Q33" s="1571" t="str">
        <f t="shared" si="8"/>
        <v>成新度</v>
      </c>
      <c r="R33" s="1572" t="s">
        <v>8</v>
      </c>
      <c r="S33" s="1573" t="e">
        <f t="shared" si="9"/>
        <v>#N/A</v>
      </c>
      <c r="T33" s="1572" t="s">
        <v>8</v>
      </c>
      <c r="U33" s="1573" t="e">
        <f t="shared" si="10"/>
        <v>#N/A</v>
      </c>
      <c r="V33" s="1572" t="s">
        <v>8</v>
      </c>
      <c r="W33" s="1573" t="e">
        <f t="shared" si="11"/>
        <v>#N/A</v>
      </c>
      <c r="X33" s="1566"/>
      <c r="Y33" s="3531"/>
      <c r="Z33" s="1574" t="str">
        <f t="shared" si="12"/>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531"/>
      <c r="Q34" s="1150" t="str">
        <f t="shared" si="8"/>
        <v>物业管理</v>
      </c>
      <c r="R34" s="1567" t="s">
        <v>8</v>
      </c>
      <c r="S34" s="1568">
        <f t="shared" si="9"/>
        <v>100</v>
      </c>
      <c r="T34" s="1567" t="s">
        <v>8</v>
      </c>
      <c r="U34" s="1568">
        <f t="shared" si="10"/>
        <v>100</v>
      </c>
      <c r="V34" s="1567" t="s">
        <v>8</v>
      </c>
      <c r="W34" s="1568">
        <f t="shared" si="11"/>
        <v>100</v>
      </c>
      <c r="X34" s="1569"/>
      <c r="Y34" s="3531"/>
      <c r="Z34" s="1149" t="str">
        <f t="shared" si="12"/>
        <v>物业管理</v>
      </c>
      <c r="AA34" s="1570">
        <f t="shared" si="3"/>
        <v>1</v>
      </c>
      <c r="AB34" s="1570">
        <f t="shared" si="4"/>
        <v>1</v>
      </c>
      <c r="AC34" s="1570">
        <f t="shared" si="5"/>
        <v>1</v>
      </c>
    </row>
    <row r="35" spans="1:29" ht="15">
      <c r="A35" s="593"/>
      <c r="B35" s="1893"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531" t="s">
        <v>550</v>
      </c>
      <c r="Q35" s="1571" t="str">
        <f t="shared" si="8"/>
        <v>市政基础设施</v>
      </c>
      <c r="R35" s="1572" t="s">
        <v>8</v>
      </c>
      <c r="S35" s="1573">
        <f t="shared" si="9"/>
        <v>100</v>
      </c>
      <c r="T35" s="1572" t="s">
        <v>8</v>
      </c>
      <c r="U35" s="1573">
        <f t="shared" si="10"/>
        <v>100</v>
      </c>
      <c r="V35" s="1572" t="s">
        <v>8</v>
      </c>
      <c r="W35" s="1573">
        <f t="shared" si="11"/>
        <v>100</v>
      </c>
      <c r="X35" s="1566"/>
      <c r="Y35" s="3531" t="s">
        <v>550</v>
      </c>
      <c r="Z35" s="1574" t="str">
        <f t="shared" si="12"/>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531"/>
      <c r="Q36" s="1571" t="str">
        <f t="shared" si="8"/>
        <v>内部装修</v>
      </c>
      <c r="R36" s="1572" t="s">
        <v>8</v>
      </c>
      <c r="S36" s="1573">
        <f t="shared" si="9"/>
        <v>100</v>
      </c>
      <c r="T36" s="1572" t="s">
        <v>8</v>
      </c>
      <c r="U36" s="1573">
        <f t="shared" si="10"/>
        <v>100</v>
      </c>
      <c r="V36" s="1572" t="s">
        <v>8</v>
      </c>
      <c r="W36" s="1573">
        <f t="shared" si="11"/>
        <v>100</v>
      </c>
      <c r="X36" s="1566"/>
      <c r="Y36" s="3531"/>
      <c r="Z36" s="1574" t="str">
        <f t="shared" si="12"/>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531"/>
      <c r="Q37" s="1571" t="str">
        <f t="shared" si="8"/>
        <v>内部装修状况</v>
      </c>
      <c r="R37" s="1572" t="s">
        <v>8</v>
      </c>
      <c r="S37" s="1573">
        <f t="shared" si="9"/>
        <v>100</v>
      </c>
      <c r="T37" s="1572" t="s">
        <v>8</v>
      </c>
      <c r="U37" s="1573">
        <f t="shared" si="10"/>
        <v>100</v>
      </c>
      <c r="V37" s="1572" t="s">
        <v>8</v>
      </c>
      <c r="W37" s="1573">
        <f t="shared" si="11"/>
        <v>100</v>
      </c>
      <c r="X37" s="1566"/>
      <c r="Y37" s="3531"/>
      <c r="Z37" s="1574" t="str">
        <f t="shared" si="12"/>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531"/>
      <c r="Q38" s="1604">
        <f t="shared" si="8"/>
        <v>111</v>
      </c>
      <c r="R38" s="1576" t="s">
        <v>8</v>
      </c>
      <c r="S38" s="1577">
        <f t="shared" si="9"/>
        <v>100</v>
      </c>
      <c r="T38" s="1576" t="s">
        <v>8</v>
      </c>
      <c r="U38" s="1577">
        <f t="shared" si="10"/>
        <v>100</v>
      </c>
      <c r="V38" s="1576" t="s">
        <v>8</v>
      </c>
      <c r="W38" s="1577">
        <f t="shared" si="11"/>
        <v>100</v>
      </c>
      <c r="X38" s="1578"/>
      <c r="Y38" s="3531"/>
      <c r="Z38" s="1579">
        <f t="shared" si="12"/>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531"/>
      <c r="Q39" s="1571">
        <f t="shared" si="8"/>
        <v>111</v>
      </c>
      <c r="R39" s="1572" t="s">
        <v>8</v>
      </c>
      <c r="S39" s="1573">
        <f t="shared" si="9"/>
        <v>100</v>
      </c>
      <c r="T39" s="1572" t="s">
        <v>8</v>
      </c>
      <c r="U39" s="1573">
        <f t="shared" si="10"/>
        <v>100</v>
      </c>
      <c r="V39" s="1572" t="s">
        <v>8</v>
      </c>
      <c r="W39" s="1573">
        <f t="shared" si="11"/>
        <v>100</v>
      </c>
      <c r="X39" s="1566"/>
      <c r="Y39" s="3531"/>
      <c r="Z39" s="1574">
        <f t="shared" si="12"/>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613"/>
      <c r="Q40" s="1571">
        <f t="shared" si="8"/>
        <v>111</v>
      </c>
      <c r="R40" s="1572" t="s">
        <v>8</v>
      </c>
      <c r="S40" s="1573">
        <f t="shared" si="9"/>
        <v>100</v>
      </c>
      <c r="T40" s="1572" t="s">
        <v>8</v>
      </c>
      <c r="U40" s="1573">
        <f t="shared" si="10"/>
        <v>100</v>
      </c>
      <c r="V40" s="1572" t="s">
        <v>8</v>
      </c>
      <c r="W40" s="1573">
        <f t="shared" si="11"/>
        <v>100</v>
      </c>
      <c r="X40" s="1566"/>
      <c r="Y40" s="3613"/>
      <c r="Z40" s="1574">
        <f t="shared" si="12"/>
        <v>111</v>
      </c>
      <c r="AA40" s="1575">
        <f t="shared" si="3"/>
        <v>1</v>
      </c>
      <c r="AB40" s="1575">
        <f t="shared" si="4"/>
        <v>1</v>
      </c>
      <c r="AC40" s="1575">
        <f t="shared" si="5"/>
        <v>1</v>
      </c>
    </row>
    <row r="41" spans="1:29" ht="15">
      <c r="A41" s="606" t="s">
        <v>736</v>
      </c>
      <c r="B41" s="886"/>
      <c r="C41" s="2625" t="s">
        <v>1</v>
      </c>
      <c r="D41" s="2626"/>
      <c r="E41" s="2627"/>
      <c r="F41" s="2628"/>
      <c r="G41" s="2629"/>
      <c r="H41" s="2630"/>
      <c r="I41" s="2627"/>
      <c r="J41" s="2630"/>
      <c r="K41" s="1610"/>
      <c r="L41" s="2142"/>
      <c r="M41" s="2143"/>
      <c r="N41" s="2132"/>
      <c r="O41" s="2143"/>
      <c r="P41" s="3494" t="str">
        <f>A41</f>
        <v>成交单价（元/平方米）</v>
      </c>
      <c r="Q41" s="3494"/>
      <c r="R41" s="3612">
        <f>E41</f>
        <v>0</v>
      </c>
      <c r="S41" s="3612"/>
      <c r="T41" s="3612">
        <f>G41</f>
        <v>0</v>
      </c>
      <c r="U41" s="3612"/>
      <c r="V41" s="3612">
        <f>I41</f>
        <v>0</v>
      </c>
      <c r="W41" s="3612"/>
      <c r="X41" s="1558"/>
      <c r="Y41" s="1580"/>
      <c r="Z41" s="1558"/>
      <c r="AA41" s="1558"/>
      <c r="AB41" s="1558"/>
      <c r="AC41" s="1558"/>
    </row>
    <row r="42" spans="1:29" ht="15.75" thickBot="1">
      <c r="A42" s="614" t="s">
        <v>2757</v>
      </c>
      <c r="B42" s="887"/>
      <c r="C42" s="2631" t="e">
        <f>R43</f>
        <v>#DIV/0!</v>
      </c>
      <c r="D42" s="2632"/>
      <c r="E42" s="2633" t="e">
        <f>R42</f>
        <v>#DIV/0!</v>
      </c>
      <c r="F42" s="2633"/>
      <c r="G42" s="2631" t="e">
        <f>T42</f>
        <v>#DIV/0!</v>
      </c>
      <c r="H42" s="2632"/>
      <c r="I42" s="2633" t="e">
        <f>V42</f>
        <v>#DIV/0!</v>
      </c>
      <c r="J42" s="2632"/>
      <c r="K42" s="1611"/>
      <c r="L42" s="2142"/>
      <c r="M42" s="2143"/>
      <c r="N42" s="2132"/>
      <c r="O42" s="2143"/>
      <c r="P42" s="3494" t="str">
        <f>A42</f>
        <v>比较价格（元/平方米）</v>
      </c>
      <c r="Q42" s="3494"/>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1558"/>
      <c r="Y42" s="1558"/>
      <c r="Z42" s="1558"/>
      <c r="AA42" s="1558"/>
      <c r="AB42" s="1558"/>
      <c r="AC42" s="1558"/>
    </row>
    <row r="43" spans="1:29" ht="15.75" thickBot="1">
      <c r="A43" s="620" t="s">
        <v>2921</v>
      </c>
      <c r="B43" s="621"/>
      <c r="C43" s="2634" t="e">
        <f>R43</f>
        <v>#DIV/0!</v>
      </c>
      <c r="D43" s="2634"/>
      <c r="E43" s="2634"/>
      <c r="F43" s="2634"/>
      <c r="G43" s="2634"/>
      <c r="H43" s="2634"/>
      <c r="I43" s="2634"/>
      <c r="J43" s="2634"/>
      <c r="K43" s="1612"/>
      <c r="L43" s="2142"/>
      <c r="M43" s="2143"/>
      <c r="N43" s="2143"/>
      <c r="O43" s="2143"/>
      <c r="P43" s="3491" t="str">
        <f>A43</f>
        <v>估价对象XX用房的比较价格（楼面单价，元/平方米）</v>
      </c>
      <c r="Q43" s="3492"/>
      <c r="R43" s="3611" t="e">
        <f>IF(F1="售价",ROUND(AVERAGE(R42:V42),0),ROUND(AVERAGE(R42:V42),1))</f>
        <v>#DIV/0!</v>
      </c>
      <c r="S43" s="3611"/>
      <c r="T43" s="3611"/>
      <c r="U43" s="3611"/>
      <c r="V43" s="3611"/>
      <c r="W43" s="3611"/>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6" customFormat="1" ht="15">
      <c r="A52" s="644" t="s">
        <v>529</v>
      </c>
      <c r="B52" s="645"/>
      <c r="C52" s="2800" t="str">
        <f>YEAR(C7)&amp;"-"&amp;MONTH(C7)</f>
        <v>2018-12</v>
      </c>
      <c r="D52" s="2802">
        <f>EDATE(C52,-1)</f>
        <v>43405</v>
      </c>
      <c r="E52" s="2802">
        <f t="shared" ref="E52:O52" si="13">EDATE(D52,-1)</f>
        <v>43374</v>
      </c>
      <c r="F52" s="2802">
        <f t="shared" si="13"/>
        <v>43344</v>
      </c>
      <c r="G52" s="2802">
        <f t="shared" si="13"/>
        <v>43313</v>
      </c>
      <c r="H52" s="2802">
        <f t="shared" si="13"/>
        <v>43282</v>
      </c>
      <c r="I52" s="2802">
        <f t="shared" si="13"/>
        <v>43252</v>
      </c>
      <c r="J52" s="2802">
        <f t="shared" si="13"/>
        <v>43221</v>
      </c>
      <c r="K52" s="2802">
        <f t="shared" si="13"/>
        <v>43191</v>
      </c>
      <c r="L52" s="2802">
        <f t="shared" si="13"/>
        <v>43160</v>
      </c>
      <c r="M52" s="2802">
        <f t="shared" si="13"/>
        <v>43132</v>
      </c>
      <c r="N52" s="2802">
        <f t="shared" si="13"/>
        <v>43101</v>
      </c>
      <c r="O52" s="2802">
        <f t="shared" si="13"/>
        <v>43070</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2555</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2556</v>
      </c>
      <c r="C76" s="2596" t="s">
        <v>2557</v>
      </c>
      <c r="D76" s="2596" t="s">
        <v>2558</v>
      </c>
      <c r="E76" s="2596" t="s">
        <v>2559</v>
      </c>
      <c r="F76" s="2596" t="s">
        <v>2560</v>
      </c>
      <c r="G76" s="2596" t="s">
        <v>2561</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16" stopIfTrue="1" operator="containsText" text="超过">
      <formula>NOT(ISERROR(SEARCH("超过",F46)))</formula>
    </cfRule>
  </conditionalFormatting>
  <conditionalFormatting sqref="H48">
    <cfRule type="containsText" dxfId="54" priority="15" stopIfTrue="1" operator="containsText" text="超过">
      <formula>NOT(ISERROR(SEARCH("超过",H48)))</formula>
    </cfRule>
  </conditionalFormatting>
  <conditionalFormatting sqref="F48">
    <cfRule type="containsText" dxfId="53" priority="14" stopIfTrue="1" operator="containsText" text="超过">
      <formula>NOT(ISERROR(SEARCH("超过",F48)))</formula>
    </cfRule>
  </conditionalFormatting>
  <conditionalFormatting sqref="F47 H47">
    <cfRule type="containsText" dxfId="52" priority="13" stopIfTrue="1" operator="containsText" text="超过">
      <formula>NOT(ISERROR(SEARCH("超过",F47)))</formula>
    </cfRule>
  </conditionalFormatting>
  <conditionalFormatting sqref="E46">
    <cfRule type="expression" dxfId="51" priority="12" stopIfTrue="1">
      <formula>$F$46="超过30%"</formula>
    </cfRule>
  </conditionalFormatting>
  <conditionalFormatting sqref="E47">
    <cfRule type="expression" dxfId="50" priority="11" stopIfTrue="1">
      <formula>$F$47="超过20%"</formula>
    </cfRule>
  </conditionalFormatting>
  <conditionalFormatting sqref="E48">
    <cfRule type="expression" dxfId="49" priority="10" stopIfTrue="1">
      <formula>$F$48="超过30%"</formula>
    </cfRule>
  </conditionalFormatting>
  <conditionalFormatting sqref="G48">
    <cfRule type="expression" dxfId="48" priority="9" stopIfTrue="1">
      <formula>$H$48="超过30%"</formula>
    </cfRule>
  </conditionalFormatting>
  <conditionalFormatting sqref="G46">
    <cfRule type="expression" dxfId="47" priority="8" stopIfTrue="1">
      <formula>$H$46="超过30%"</formula>
    </cfRule>
  </conditionalFormatting>
  <conditionalFormatting sqref="G47">
    <cfRule type="expression" dxfId="46" priority="7" stopIfTrue="1">
      <formula>$H$47="超过20%"</formula>
    </cfRule>
  </conditionalFormatting>
  <conditionalFormatting sqref="J46">
    <cfRule type="containsText" dxfId="45" priority="6" stopIfTrue="1" operator="containsText" text="超过">
      <formula>NOT(ISERROR(SEARCH("超过",J46)))</formula>
    </cfRule>
  </conditionalFormatting>
  <conditionalFormatting sqref="J48">
    <cfRule type="containsText" dxfId="44" priority="5" stopIfTrue="1" operator="containsText" text="超过">
      <formula>NOT(ISERROR(SEARCH("超过",J48)))</formula>
    </cfRule>
  </conditionalFormatting>
  <conditionalFormatting sqref="J47">
    <cfRule type="containsText" dxfId="43" priority="4" stopIfTrue="1" operator="containsText" text="超过">
      <formula>NOT(ISERROR(SEARCH("超过",J47)))</formula>
    </cfRule>
  </conditionalFormatting>
  <conditionalFormatting sqref="I46">
    <cfRule type="expression" dxfId="42" priority="3" stopIfTrue="1">
      <formula>$J$46="超过30%"</formula>
    </cfRule>
  </conditionalFormatting>
  <conditionalFormatting sqref="I47">
    <cfRule type="expression" dxfId="41" priority="2" stopIfTrue="1">
      <formula>$J$47="超过20%"</formula>
    </cfRule>
  </conditionalFormatting>
  <conditionalFormatting sqref="I48">
    <cfRule type="expression" dxfId="4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6" t="s">
        <v>2076</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500" t="s">
        <v>798</v>
      </c>
      <c r="D4" s="3501"/>
      <c r="E4" s="3500" t="s">
        <v>799</v>
      </c>
      <c r="F4" s="3501"/>
      <c r="G4" s="3500" t="s">
        <v>800</v>
      </c>
      <c r="H4" s="3501"/>
      <c r="I4" s="3500" t="s">
        <v>801</v>
      </c>
      <c r="J4" s="3501"/>
      <c r="K4" s="513" t="s">
        <v>802</v>
      </c>
      <c r="L4" s="2131"/>
      <c r="M4" s="2132"/>
      <c r="N4" s="2132"/>
      <c r="O4" s="2132"/>
      <c r="P4" s="3502" t="s">
        <v>803</v>
      </c>
      <c r="Q4" s="3503"/>
      <c r="R4" s="3508" t="s">
        <v>799</v>
      </c>
      <c r="S4" s="3509"/>
      <c r="T4" s="3508" t="s">
        <v>800</v>
      </c>
      <c r="U4" s="3509"/>
      <c r="V4" s="3495" t="s">
        <v>801</v>
      </c>
      <c r="W4" s="3495"/>
      <c r="X4" s="1566"/>
      <c r="Y4" s="3508" t="s">
        <v>803</v>
      </c>
      <c r="Z4" s="3509"/>
      <c r="AA4" s="3497" t="s">
        <v>799</v>
      </c>
      <c r="AB4" s="3498" t="s">
        <v>800</v>
      </c>
      <c r="AC4" s="3497" t="s">
        <v>801</v>
      </c>
    </row>
    <row r="5" spans="1:29" ht="15">
      <c r="A5" s="514"/>
      <c r="B5" s="515"/>
      <c r="C5" s="3532" t="s">
        <v>2915</v>
      </c>
      <c r="D5" s="3533"/>
      <c r="E5" s="3532" t="s">
        <v>2916</v>
      </c>
      <c r="F5" s="3533"/>
      <c r="G5" s="3532" t="s">
        <v>2917</v>
      </c>
      <c r="H5" s="3533"/>
      <c r="I5" s="3532" t="s">
        <v>2918</v>
      </c>
      <c r="J5" s="3533"/>
      <c r="K5" s="513"/>
      <c r="L5" s="2131"/>
      <c r="M5" s="2132"/>
      <c r="N5" s="2132"/>
      <c r="O5" s="2132"/>
      <c r="P5" s="3504"/>
      <c r="Q5" s="3505"/>
      <c r="R5" s="3510"/>
      <c r="S5" s="3511"/>
      <c r="T5" s="3510"/>
      <c r="U5" s="3511"/>
      <c r="V5" s="3495"/>
      <c r="W5" s="3495"/>
      <c r="X5" s="1566"/>
      <c r="Y5" s="3510"/>
      <c r="Z5" s="3511"/>
      <c r="AA5" s="3498"/>
      <c r="AB5" s="3498"/>
      <c r="AC5" s="3498"/>
    </row>
    <row r="6" spans="1:29" ht="15.75" thickBot="1">
      <c r="A6" s="516"/>
      <c r="B6" s="517"/>
      <c r="C6" s="3534" t="s">
        <v>2919</v>
      </c>
      <c r="D6" s="3535"/>
      <c r="E6" s="3618" t="s">
        <v>2919</v>
      </c>
      <c r="F6" s="3619"/>
      <c r="G6" s="3534" t="s">
        <v>2919</v>
      </c>
      <c r="H6" s="3535"/>
      <c r="I6" s="3534" t="s">
        <v>2919</v>
      </c>
      <c r="J6" s="3535"/>
      <c r="K6" s="513" t="s">
        <v>528</v>
      </c>
      <c r="L6" s="2131"/>
      <c r="M6" s="2132"/>
      <c r="N6" s="2132"/>
      <c r="O6" s="2132"/>
      <c r="P6" s="3506"/>
      <c r="Q6" s="3507"/>
      <c r="R6" s="3510"/>
      <c r="S6" s="3511"/>
      <c r="T6" s="3512"/>
      <c r="U6" s="3513"/>
      <c r="V6" s="3495"/>
      <c r="W6" s="3495"/>
      <c r="X6" s="1566"/>
      <c r="Y6" s="3512"/>
      <c r="Z6" s="3513"/>
      <c r="AA6" s="3499"/>
      <c r="AB6" s="3499"/>
      <c r="AC6" s="3499"/>
    </row>
    <row r="7" spans="1:29" s="1219" customFormat="1" ht="15.75" thickBot="1">
      <c r="A7" s="2909"/>
      <c r="B7" s="2916" t="s">
        <v>529</v>
      </c>
      <c r="C7" s="518">
        <f>'数据-取费表'!B2</f>
        <v>43444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525" t="s">
        <v>530</v>
      </c>
      <c r="Q7" s="3527"/>
      <c r="R7" s="1567" t="s">
        <v>8</v>
      </c>
      <c r="S7" s="1568">
        <f t="shared" ref="S7:S14" si="0">F7</f>
        <v>0</v>
      </c>
      <c r="T7" s="1567" t="s">
        <v>8</v>
      </c>
      <c r="U7" s="1568">
        <f t="shared" ref="U7:U14" si="1">H7</f>
        <v>0</v>
      </c>
      <c r="V7" s="1567" t="s">
        <v>8</v>
      </c>
      <c r="W7" s="1568">
        <f t="shared" ref="W7:W14"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525" t="s">
        <v>533</v>
      </c>
      <c r="Q8" s="3526"/>
      <c r="R8" s="1567" t="s">
        <v>8</v>
      </c>
      <c r="S8" s="1568">
        <f t="shared" si="0"/>
        <v>0</v>
      </c>
      <c r="T8" s="1567" t="s">
        <v>8</v>
      </c>
      <c r="U8" s="1568">
        <f t="shared" si="1"/>
        <v>0</v>
      </c>
      <c r="V8" s="1567" t="s">
        <v>8</v>
      </c>
      <c r="W8" s="1568">
        <f t="shared" si="2"/>
        <v>0</v>
      </c>
      <c r="X8" s="1569"/>
      <c r="Y8" s="3525" t="s">
        <v>533</v>
      </c>
      <c r="Z8" s="3526"/>
      <c r="AA8" s="1570" t="e">
        <f t="shared" ref="AA8:AA36" si="3">D8/F8</f>
        <v>#DIV/0!</v>
      </c>
      <c r="AB8" s="1570" t="e">
        <f t="shared" ref="AB8:AB36" si="4">D8/H8</f>
        <v>#DIV/0!</v>
      </c>
      <c r="AC8" s="1570" t="e">
        <f t="shared" ref="AC8:AC36" si="5">D8/J8</f>
        <v>#DIV/0!</v>
      </c>
    </row>
    <row r="9" spans="1:29" s="1219" customFormat="1" ht="15">
      <c r="A9" s="2911"/>
      <c r="B9" s="2918" t="s">
        <v>2753</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94" t="s">
        <v>535</v>
      </c>
      <c r="Q9" s="1150" t="str">
        <f t="shared" ref="Q9:Q14" si="6">B9</f>
        <v>用途</v>
      </c>
      <c r="R9" s="1567" t="s">
        <v>8</v>
      </c>
      <c r="S9" s="1568">
        <f t="shared" si="0"/>
        <v>100</v>
      </c>
      <c r="T9" s="1567" t="s">
        <v>8</v>
      </c>
      <c r="U9" s="1568">
        <f t="shared" si="1"/>
        <v>100</v>
      </c>
      <c r="V9" s="1567" t="s">
        <v>8</v>
      </c>
      <c r="W9" s="1568">
        <f t="shared" si="2"/>
        <v>100</v>
      </c>
      <c r="X9" s="1569"/>
      <c r="Y9" s="3440" t="s">
        <v>536</v>
      </c>
      <c r="Z9" s="1149" t="str">
        <f t="shared" ref="Z9:Z14" si="7">Q9</f>
        <v>用途</v>
      </c>
      <c r="AA9" s="1570">
        <f t="shared" si="3"/>
        <v>1</v>
      </c>
      <c r="AB9" s="1570">
        <f t="shared" si="4"/>
        <v>1</v>
      </c>
      <c r="AC9" s="1570">
        <f t="shared" si="5"/>
        <v>1</v>
      </c>
    </row>
    <row r="10" spans="1:29" s="1337" customFormat="1" ht="27">
      <c r="A10" s="2912"/>
      <c r="B10" s="2917" t="s">
        <v>2754</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94"/>
      <c r="Q11" s="1150">
        <f t="shared" si="6"/>
        <v>111</v>
      </c>
      <c r="R11" s="1567" t="s">
        <v>8</v>
      </c>
      <c r="S11" s="1568">
        <f t="shared" si="0"/>
        <v>100</v>
      </c>
      <c r="T11" s="1567" t="s">
        <v>8</v>
      </c>
      <c r="U11" s="1568">
        <f t="shared" si="1"/>
        <v>100</v>
      </c>
      <c r="V11" s="1567" t="s">
        <v>8</v>
      </c>
      <c r="W11" s="1568">
        <f t="shared" si="2"/>
        <v>100</v>
      </c>
      <c r="X11" s="1569"/>
      <c r="Y11" s="3440"/>
      <c r="Z11" s="1149">
        <f t="shared" si="7"/>
        <v>111</v>
      </c>
      <c r="AA11" s="1570">
        <f t="shared" si="3"/>
        <v>1</v>
      </c>
      <c r="AB11" s="1570">
        <f t="shared" si="4"/>
        <v>1</v>
      </c>
      <c r="AC11" s="1570">
        <f t="shared" si="5"/>
        <v>1</v>
      </c>
    </row>
    <row r="12" spans="1:29" s="1219"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94"/>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75"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94"/>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
      <c r="A14" s="2907" t="s">
        <v>2751</v>
      </c>
      <c r="B14" s="546" t="s">
        <v>543</v>
      </c>
      <c r="C14" s="920"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528" t="s">
        <v>540</v>
      </c>
      <c r="Q14" s="1571" t="str">
        <f t="shared" si="6"/>
        <v>交通便捷度</v>
      </c>
      <c r="R14" s="1572" t="s">
        <v>8</v>
      </c>
      <c r="S14" s="1573">
        <f t="shared" si="0"/>
        <v>100</v>
      </c>
      <c r="T14" s="1572" t="s">
        <v>8</v>
      </c>
      <c r="U14" s="1573">
        <f t="shared" si="1"/>
        <v>100</v>
      </c>
      <c r="V14" s="1572" t="s">
        <v>8</v>
      </c>
      <c r="W14" s="1573">
        <f t="shared" si="2"/>
        <v>100</v>
      </c>
      <c r="X14" s="1566"/>
      <c r="Y14" s="3528"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0"/>
      <c r="M15" s="2132"/>
      <c r="N15" s="2132"/>
      <c r="O15" s="2139"/>
      <c r="P15" s="3529"/>
      <c r="Q15" s="1571"/>
      <c r="R15" s="1572"/>
      <c r="S15" s="1573"/>
      <c r="T15" s="1572"/>
      <c r="U15" s="1573"/>
      <c r="V15" s="1572"/>
      <c r="W15" s="1573"/>
      <c r="X15" s="1566"/>
      <c r="Y15" s="3529"/>
      <c r="Z15" s="1574"/>
      <c r="AA15" s="1575">
        <v>1</v>
      </c>
      <c r="AB15" s="1575">
        <v>1</v>
      </c>
      <c r="AC15" s="1575">
        <v>1</v>
      </c>
    </row>
    <row r="16" spans="1:29" ht="15">
      <c r="A16" s="514"/>
      <c r="B16" s="2601" t="s">
        <v>2544</v>
      </c>
      <c r="C16" s="871" t="str">
        <f>IF(B1="工业",估价对象房地状况!G5,估价对象房地状况!C7)</f>
        <v>一般</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529"/>
      <c r="Q16" s="1571" t="str">
        <f>B16</f>
        <v>公共配套设施</v>
      </c>
      <c r="R16" s="1572" t="s">
        <v>8</v>
      </c>
      <c r="S16" s="1573">
        <f>F16</f>
        <v>100</v>
      </c>
      <c r="T16" s="1572" t="s">
        <v>8</v>
      </c>
      <c r="U16" s="1573">
        <f>H16</f>
        <v>100</v>
      </c>
      <c r="V16" s="1572" t="s">
        <v>8</v>
      </c>
      <c r="W16" s="1573">
        <f>J16</f>
        <v>100</v>
      </c>
      <c r="X16" s="1566"/>
      <c r="Y16" s="3529"/>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0"/>
      <c r="M17" s="2132"/>
      <c r="N17" s="2132"/>
      <c r="O17" s="2139"/>
      <c r="P17" s="3529"/>
      <c r="Q17" s="1571"/>
      <c r="R17" s="1572"/>
      <c r="S17" s="1573"/>
      <c r="T17" s="1572"/>
      <c r="U17" s="1573"/>
      <c r="V17" s="1572"/>
      <c r="W17" s="1573"/>
      <c r="X17" s="1566"/>
      <c r="Y17" s="3529"/>
      <c r="Z17" s="1574"/>
      <c r="AA17" s="1575">
        <v>1</v>
      </c>
      <c r="AB17" s="1575">
        <v>1</v>
      </c>
      <c r="AC17" s="1575">
        <v>1</v>
      </c>
    </row>
    <row r="18" spans="1:29" ht="15">
      <c r="A18" s="514"/>
      <c r="B18" s="2589" t="s">
        <v>2556</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529"/>
      <c r="Q18" s="2577" t="str">
        <f>B18</f>
        <v>基础设施水平</v>
      </c>
      <c r="R18" s="1572" t="s">
        <v>8</v>
      </c>
      <c r="S18" s="1573">
        <f>F18</f>
        <v>100</v>
      </c>
      <c r="T18" s="1572" t="s">
        <v>8</v>
      </c>
      <c r="U18" s="1573">
        <f>H18</f>
        <v>100</v>
      </c>
      <c r="V18" s="1572" t="s">
        <v>8</v>
      </c>
      <c r="W18" s="1573">
        <f>J18</f>
        <v>100</v>
      </c>
      <c r="X18" s="2579"/>
      <c r="Y18" s="3529"/>
      <c r="Z18" s="2578" t="str">
        <f>Q18</f>
        <v>基础设施水平</v>
      </c>
      <c r="AA18" s="1575">
        <f>D18/F18</f>
        <v>1</v>
      </c>
      <c r="AB18" s="1575">
        <f>D18/H18</f>
        <v>1</v>
      </c>
      <c r="AC18" s="1575">
        <f>D18/J18</f>
        <v>1</v>
      </c>
    </row>
    <row r="19" spans="1:29" ht="15">
      <c r="A19" s="514"/>
      <c r="B19" s="577"/>
      <c r="C19" s="872"/>
      <c r="D19" s="558"/>
      <c r="E19" s="575"/>
      <c r="F19" s="556"/>
      <c r="G19" s="575"/>
      <c r="H19" s="554"/>
      <c r="I19" s="575"/>
      <c r="J19" s="554"/>
      <c r="K19" s="2600"/>
      <c r="L19" s="2140"/>
      <c r="M19" s="2132"/>
      <c r="N19" s="2132"/>
      <c r="O19" s="2139"/>
      <c r="P19" s="3529"/>
      <c r="Q19" s="2577"/>
      <c r="R19" s="1572"/>
      <c r="S19" s="1573"/>
      <c r="T19" s="1572"/>
      <c r="U19" s="1573"/>
      <c r="V19" s="1572"/>
      <c r="W19" s="1573"/>
      <c r="X19" s="2579"/>
      <c r="Y19" s="3529"/>
      <c r="Z19" s="2578"/>
      <c r="AA19" s="1575">
        <v>1</v>
      </c>
      <c r="AB19" s="1575">
        <v>1</v>
      </c>
      <c r="AC19" s="1575">
        <v>1</v>
      </c>
    </row>
    <row r="20" spans="1:29" ht="15">
      <c r="A20" s="514"/>
      <c r="B20" s="559" t="s">
        <v>804</v>
      </c>
      <c r="C20" s="871" t="str">
        <f>IF(B1="工业",估价对象房地状况!G7,估价对象房地状况!C9)</f>
        <v>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529"/>
      <c r="Q20" s="1571" t="str">
        <f>B20</f>
        <v>自然及人文环境</v>
      </c>
      <c r="R20" s="1572" t="s">
        <v>8</v>
      </c>
      <c r="S20" s="1573">
        <f>F20</f>
        <v>100</v>
      </c>
      <c r="T20" s="1572" t="s">
        <v>8</v>
      </c>
      <c r="U20" s="1573">
        <f>H20</f>
        <v>100</v>
      </c>
      <c r="V20" s="1572" t="s">
        <v>8</v>
      </c>
      <c r="W20" s="1573">
        <f>J20</f>
        <v>100</v>
      </c>
      <c r="X20" s="1566"/>
      <c r="Y20" s="3529"/>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0"/>
      <c r="M21" s="2132"/>
      <c r="N21" s="2132"/>
      <c r="O21" s="2139"/>
      <c r="P21" s="3529"/>
      <c r="Q21" s="1571"/>
      <c r="R21" s="1572"/>
      <c r="S21" s="1573"/>
      <c r="T21" s="1572"/>
      <c r="U21" s="1573"/>
      <c r="V21" s="1572"/>
      <c r="W21" s="1573"/>
      <c r="X21" s="1566"/>
      <c r="Y21" s="3529"/>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529"/>
      <c r="Q22" s="1571" t="str">
        <f>B22</f>
        <v>楼层</v>
      </c>
      <c r="R22" s="1572" t="s">
        <v>8</v>
      </c>
      <c r="S22" s="1573">
        <f>F22</f>
        <v>100</v>
      </c>
      <c r="T22" s="1572" t="s">
        <v>8</v>
      </c>
      <c r="U22" s="1573">
        <f>H22</f>
        <v>100</v>
      </c>
      <c r="V22" s="1572" t="s">
        <v>8</v>
      </c>
      <c r="W22" s="1573">
        <f>J22</f>
        <v>100</v>
      </c>
      <c r="X22" s="1566"/>
      <c r="Y22" s="3529"/>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529"/>
      <c r="Q23" s="1571">
        <f>B23</f>
        <v>111</v>
      </c>
      <c r="R23" s="1572" t="s">
        <v>8</v>
      </c>
      <c r="S23" s="1573">
        <f>F23</f>
        <v>100</v>
      </c>
      <c r="T23" s="1572" t="s">
        <v>8</v>
      </c>
      <c r="U23" s="1573">
        <f>H23</f>
        <v>100</v>
      </c>
      <c r="V23" s="1572" t="s">
        <v>8</v>
      </c>
      <c r="W23" s="1573">
        <f>J23</f>
        <v>100</v>
      </c>
      <c r="X23" s="1566"/>
      <c r="Y23" s="3529"/>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529"/>
      <c r="Q24" s="1571">
        <f t="shared" ref="Q24:Q36" si="8">B24</f>
        <v>111</v>
      </c>
      <c r="R24" s="1572" t="s">
        <v>8</v>
      </c>
      <c r="S24" s="1573">
        <f>F24</f>
        <v>100</v>
      </c>
      <c r="T24" s="1572" t="s">
        <v>8</v>
      </c>
      <c r="U24" s="1573">
        <f>H24</f>
        <v>100</v>
      </c>
      <c r="V24" s="1572" t="s">
        <v>8</v>
      </c>
      <c r="W24" s="1573">
        <f>J24</f>
        <v>100</v>
      </c>
      <c r="X24" s="1566"/>
      <c r="Y24" s="3529"/>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529"/>
      <c r="Q25" s="1150">
        <f t="shared" si="8"/>
        <v>111</v>
      </c>
      <c r="R25" s="1567" t="s">
        <v>8</v>
      </c>
      <c r="S25" s="1568">
        <f>F25</f>
        <v>100</v>
      </c>
      <c r="T25" s="1567" t="s">
        <v>8</v>
      </c>
      <c r="U25" s="1568">
        <f>H25</f>
        <v>100</v>
      </c>
      <c r="V25" s="1567" t="s">
        <v>8</v>
      </c>
      <c r="W25" s="1568">
        <f>J25</f>
        <v>100</v>
      </c>
      <c r="X25" s="1569"/>
      <c r="Y25" s="3529"/>
      <c r="Z25" s="1149">
        <f>Q25</f>
        <v>111</v>
      </c>
      <c r="AA25" s="1575">
        <f>D25/F25</f>
        <v>1</v>
      </c>
      <c r="AB25" s="1575">
        <f>D25/H25</f>
        <v>1</v>
      </c>
      <c r="AC25" s="1575">
        <f>D25/J25</f>
        <v>1</v>
      </c>
    </row>
    <row r="26" spans="1:29" ht="15">
      <c r="A26" s="2905" t="s">
        <v>2752</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530" t="s">
        <v>550</v>
      </c>
      <c r="Q26" s="1571" t="str">
        <f t="shared" si="8"/>
        <v>配套类型</v>
      </c>
      <c r="R26" s="1572" t="s">
        <v>8</v>
      </c>
      <c r="S26" s="1573">
        <f t="shared" ref="S26:S36" si="9">F26</f>
        <v>100</v>
      </c>
      <c r="T26" s="1572" t="s">
        <v>8</v>
      </c>
      <c r="U26" s="1573">
        <f t="shared" ref="U26:U36" si="10">H26</f>
        <v>100</v>
      </c>
      <c r="V26" s="1572" t="s">
        <v>8</v>
      </c>
      <c r="W26" s="1573">
        <f t="shared" ref="W26:W36" si="11">J26</f>
        <v>100</v>
      </c>
      <c r="X26" s="1566"/>
      <c r="Y26" s="3531" t="s">
        <v>550</v>
      </c>
      <c r="Z26" s="1574" t="str">
        <f t="shared" ref="Z26:Z36" si="12">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531"/>
      <c r="Q27" s="1604" t="str">
        <f t="shared" si="8"/>
        <v>项目停车位配比</v>
      </c>
      <c r="R27" s="1576" t="s">
        <v>8</v>
      </c>
      <c r="S27" s="1577">
        <f t="shared" si="9"/>
        <v>100</v>
      </c>
      <c r="T27" s="1576" t="s">
        <v>8</v>
      </c>
      <c r="U27" s="1577">
        <f t="shared" si="10"/>
        <v>100</v>
      </c>
      <c r="V27" s="1576" t="s">
        <v>8</v>
      </c>
      <c r="W27" s="1577">
        <f t="shared" si="11"/>
        <v>100</v>
      </c>
      <c r="X27" s="1578"/>
      <c r="Y27" s="3531"/>
      <c r="Z27" s="1579" t="str">
        <f t="shared" si="12"/>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531"/>
      <c r="Q28" s="1571" t="str">
        <f t="shared" si="8"/>
        <v>公共部分装修</v>
      </c>
      <c r="R28" s="1572" t="s">
        <v>8</v>
      </c>
      <c r="S28" s="1573">
        <f t="shared" si="9"/>
        <v>100</v>
      </c>
      <c r="T28" s="1572" t="s">
        <v>8</v>
      </c>
      <c r="U28" s="1573">
        <f t="shared" si="10"/>
        <v>100</v>
      </c>
      <c r="V28" s="1572" t="s">
        <v>8</v>
      </c>
      <c r="W28" s="1573">
        <f t="shared" si="11"/>
        <v>100</v>
      </c>
      <c r="X28" s="1566"/>
      <c r="Y28" s="3531"/>
      <c r="Z28" s="1574" t="str">
        <f t="shared" si="12"/>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531"/>
      <c r="Q29" s="1571" t="str">
        <f t="shared" si="8"/>
        <v>成新率</v>
      </c>
      <c r="R29" s="1572" t="s">
        <v>8</v>
      </c>
      <c r="S29" s="1573" t="e">
        <f t="shared" si="9"/>
        <v>#N/A</v>
      </c>
      <c r="T29" s="1572" t="s">
        <v>8</v>
      </c>
      <c r="U29" s="1573" t="e">
        <f t="shared" si="10"/>
        <v>#N/A</v>
      </c>
      <c r="V29" s="1572" t="s">
        <v>8</v>
      </c>
      <c r="W29" s="1573" t="e">
        <f t="shared" si="11"/>
        <v>#N/A</v>
      </c>
      <c r="X29" s="1566"/>
      <c r="Y29" s="3531"/>
      <c r="Z29" s="1574" t="str">
        <f t="shared" si="12"/>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531"/>
      <c r="Q30" s="1571" t="str">
        <f t="shared" si="8"/>
        <v>物业等级</v>
      </c>
      <c r="R30" s="1572" t="s">
        <v>8</v>
      </c>
      <c r="S30" s="1573">
        <f t="shared" si="9"/>
        <v>100</v>
      </c>
      <c r="T30" s="1572" t="s">
        <v>8</v>
      </c>
      <c r="U30" s="1573">
        <f t="shared" si="10"/>
        <v>100</v>
      </c>
      <c r="V30" s="1572" t="s">
        <v>8</v>
      </c>
      <c r="W30" s="1573">
        <f t="shared" si="11"/>
        <v>100</v>
      </c>
      <c r="X30" s="1566"/>
      <c r="Y30" s="3531"/>
      <c r="Z30" s="1574" t="str">
        <f t="shared" si="12"/>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531"/>
      <c r="Q31" s="1150" t="str">
        <f t="shared" si="8"/>
        <v>停车位面积</v>
      </c>
      <c r="R31" s="1567" t="s">
        <v>8</v>
      </c>
      <c r="S31" s="1568" t="e">
        <f t="shared" si="9"/>
        <v>#N/A</v>
      </c>
      <c r="T31" s="1567" t="s">
        <v>8</v>
      </c>
      <c r="U31" s="1568" t="e">
        <f t="shared" si="10"/>
        <v>#N/A</v>
      </c>
      <c r="V31" s="1567" t="s">
        <v>8</v>
      </c>
      <c r="W31" s="1568" t="e">
        <f t="shared" si="11"/>
        <v>#N/A</v>
      </c>
      <c r="X31" s="1569"/>
      <c r="Y31" s="3531"/>
      <c r="Z31" s="1149" t="str">
        <f t="shared" si="12"/>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531" t="s">
        <v>550</v>
      </c>
      <c r="Q32" s="1571" t="str">
        <f t="shared" si="8"/>
        <v>车位类型</v>
      </c>
      <c r="R32" s="1572" t="s">
        <v>8</v>
      </c>
      <c r="S32" s="1573">
        <f t="shared" si="9"/>
        <v>100</v>
      </c>
      <c r="T32" s="1572" t="s">
        <v>8</v>
      </c>
      <c r="U32" s="1573">
        <f t="shared" si="10"/>
        <v>100</v>
      </c>
      <c r="V32" s="1572" t="s">
        <v>8</v>
      </c>
      <c r="W32" s="1573">
        <f t="shared" si="11"/>
        <v>100</v>
      </c>
      <c r="X32" s="1566"/>
      <c r="Y32" s="3531" t="s">
        <v>550</v>
      </c>
      <c r="Z32" s="1574" t="str">
        <f t="shared" si="12"/>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531"/>
      <c r="Q33" s="1571" t="str">
        <f t="shared" si="8"/>
        <v>是否直接入户</v>
      </c>
      <c r="R33" s="1572" t="s">
        <v>8</v>
      </c>
      <c r="S33" s="1573">
        <f t="shared" si="9"/>
        <v>100</v>
      </c>
      <c r="T33" s="1572" t="s">
        <v>8</v>
      </c>
      <c r="U33" s="1573">
        <f t="shared" si="10"/>
        <v>100</v>
      </c>
      <c r="V33" s="1572" t="s">
        <v>8</v>
      </c>
      <c r="W33" s="1573">
        <f t="shared" si="11"/>
        <v>100</v>
      </c>
      <c r="X33" s="1566"/>
      <c r="Y33" s="3531"/>
      <c r="Z33" s="1574" t="str">
        <f t="shared" si="12"/>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531"/>
      <c r="Q34" s="1571">
        <f t="shared" si="8"/>
        <v>111</v>
      </c>
      <c r="R34" s="1572" t="s">
        <v>8</v>
      </c>
      <c r="S34" s="1573">
        <f t="shared" si="9"/>
        <v>100</v>
      </c>
      <c r="T34" s="1572" t="s">
        <v>8</v>
      </c>
      <c r="U34" s="1573">
        <f t="shared" si="10"/>
        <v>100</v>
      </c>
      <c r="V34" s="1572" t="s">
        <v>8</v>
      </c>
      <c r="W34" s="1573">
        <f t="shared" si="11"/>
        <v>100</v>
      </c>
      <c r="X34" s="1566"/>
      <c r="Y34" s="3531"/>
      <c r="Z34" s="1574">
        <f t="shared" si="12"/>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531"/>
      <c r="Q35" s="1604">
        <f t="shared" si="8"/>
        <v>111</v>
      </c>
      <c r="R35" s="1576" t="s">
        <v>8</v>
      </c>
      <c r="S35" s="1577">
        <f t="shared" si="9"/>
        <v>100</v>
      </c>
      <c r="T35" s="1576" t="s">
        <v>8</v>
      </c>
      <c r="U35" s="1577">
        <f t="shared" si="10"/>
        <v>100</v>
      </c>
      <c r="V35" s="1576" t="s">
        <v>8</v>
      </c>
      <c r="W35" s="1577">
        <f t="shared" si="11"/>
        <v>100</v>
      </c>
      <c r="X35" s="1578"/>
      <c r="Y35" s="3531"/>
      <c r="Z35" s="1579">
        <f t="shared" si="12"/>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531"/>
      <c r="Q36" s="1571">
        <f t="shared" si="8"/>
        <v>111</v>
      </c>
      <c r="R36" s="1572" t="s">
        <v>8</v>
      </c>
      <c r="S36" s="1573">
        <f t="shared" si="9"/>
        <v>100</v>
      </c>
      <c r="T36" s="1572" t="s">
        <v>8</v>
      </c>
      <c r="U36" s="1573">
        <f t="shared" si="10"/>
        <v>100</v>
      </c>
      <c r="V36" s="1572" t="s">
        <v>8</v>
      </c>
      <c r="W36" s="1573">
        <f t="shared" si="11"/>
        <v>100</v>
      </c>
      <c r="X36" s="1566"/>
      <c r="Y36" s="3531"/>
      <c r="Z36" s="1574">
        <f t="shared" si="12"/>
        <v>111</v>
      </c>
      <c r="AA36" s="1575">
        <f t="shared" si="3"/>
        <v>1</v>
      </c>
      <c r="AB36" s="1575">
        <f t="shared" si="4"/>
        <v>1</v>
      </c>
      <c r="AC36" s="1575">
        <f t="shared" si="5"/>
        <v>1</v>
      </c>
    </row>
    <row r="37" spans="1:29" ht="15">
      <c r="A37" s="1844" t="s">
        <v>2077</v>
      </c>
      <c r="B37" s="1845" t="s">
        <v>2078</v>
      </c>
      <c r="C37" s="2625" t="s">
        <v>1</v>
      </c>
      <c r="D37" s="2626"/>
      <c r="E37" s="2627"/>
      <c r="F37" s="2628"/>
      <c r="G37" s="2629"/>
      <c r="H37" s="2630"/>
      <c r="I37" s="2627"/>
      <c r="J37" s="2630"/>
      <c r="K37" s="1610"/>
      <c r="L37" s="2142"/>
      <c r="M37" s="2143"/>
      <c r="N37" s="2132"/>
      <c r="O37" s="2143"/>
      <c r="P37" s="3494" t="str">
        <f>A37</f>
        <v>成交单价</v>
      </c>
      <c r="Q37" s="3494"/>
      <c r="R37" s="3612">
        <f>E37</f>
        <v>0</v>
      </c>
      <c r="S37" s="3612"/>
      <c r="T37" s="3612">
        <f>G37</f>
        <v>0</v>
      </c>
      <c r="U37" s="3612"/>
      <c r="V37" s="3612">
        <f>I37</f>
        <v>0</v>
      </c>
      <c r="W37" s="3612"/>
      <c r="X37" s="1558"/>
      <c r="Y37" s="1580"/>
      <c r="Z37" s="1558"/>
      <c r="AA37" s="1558"/>
      <c r="AB37" s="1558"/>
      <c r="AC37" s="1558"/>
    </row>
    <row r="38" spans="1:29" ht="15.75" thickBot="1">
      <c r="A38" s="614" t="s">
        <v>2757</v>
      </c>
      <c r="B38" s="887"/>
      <c r="C38" s="2631" t="e">
        <f>R39</f>
        <v>#DIV/0!</v>
      </c>
      <c r="D38" s="2632"/>
      <c r="E38" s="2633" t="e">
        <f>R38</f>
        <v>#DIV/0!</v>
      </c>
      <c r="F38" s="2633"/>
      <c r="G38" s="2631" t="e">
        <f>T38</f>
        <v>#DIV/0!</v>
      </c>
      <c r="H38" s="2632"/>
      <c r="I38" s="2633" t="e">
        <f>V38</f>
        <v>#DIV/0!</v>
      </c>
      <c r="J38" s="2632"/>
      <c r="K38" s="1611"/>
      <c r="L38" s="2142"/>
      <c r="M38" s="2143"/>
      <c r="N38" s="2143"/>
      <c r="O38" s="2143"/>
      <c r="P38" s="3494" t="str">
        <f>A38</f>
        <v>比较价格（元/平方米）</v>
      </c>
      <c r="Q38" s="3494"/>
      <c r="R38" s="3612" t="e">
        <f>IF(F1="售价",ROUND(PRODUCT(R37,AA7:AA36),0),ROUND(PRODUCT(R37,AA7:AA36),1))</f>
        <v>#DIV/0!</v>
      </c>
      <c r="S38" s="3612"/>
      <c r="T38" s="3612" t="e">
        <f>IF(F1="售价",ROUND(PRODUCT(T37,AB7:AB36),0),ROUND(PRODUCT(T37,AB7:AB36),1))</f>
        <v>#DIV/0!</v>
      </c>
      <c r="U38" s="3612"/>
      <c r="V38" s="3612" t="e">
        <f>IF(F1="售价",ROUND(PRODUCT(V37,AC7:AC36),0),ROUND(PRODUCT(V37,AC7:AC36),1))</f>
        <v>#DIV/0!</v>
      </c>
      <c r="W38" s="3612"/>
      <c r="X38" s="1558"/>
      <c r="Y38" s="1558"/>
      <c r="Z38" s="1558"/>
      <c r="AA38" s="1558"/>
      <c r="AB38" s="1558"/>
      <c r="AC38" s="1558"/>
    </row>
    <row r="39" spans="1:29" ht="15.75" thickBot="1">
      <c r="A39" s="620" t="s">
        <v>2921</v>
      </c>
      <c r="B39" s="621"/>
      <c r="C39" s="2634" t="e">
        <f>R39</f>
        <v>#DIV/0!</v>
      </c>
      <c r="D39" s="2634"/>
      <c r="E39" s="2634"/>
      <c r="F39" s="2634"/>
      <c r="G39" s="2634"/>
      <c r="H39" s="2634"/>
      <c r="I39" s="2634"/>
      <c r="J39" s="2634"/>
      <c r="K39" s="1612"/>
      <c r="L39" s="2142"/>
      <c r="M39" s="2143"/>
      <c r="N39" s="2143"/>
      <c r="O39" s="2143"/>
      <c r="P39" s="3491" t="str">
        <f>A39</f>
        <v>估价对象XX用房的比较价格（楼面单价，元/平方米）</v>
      </c>
      <c r="Q39" s="3492"/>
      <c r="R39" s="3611" t="e">
        <f>IF(F1="售价",ROUND(AVERAGE(R38:V38),0),ROUND(AVERAGE(R38:V38),1))</f>
        <v>#DIV/0!</v>
      </c>
      <c r="S39" s="3611"/>
      <c r="T39" s="3611"/>
      <c r="U39" s="3611"/>
      <c r="V39" s="3611"/>
      <c r="W39" s="3611"/>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800" t="str">
        <f>YEAR(C7)&amp;"-"&amp;MONTH(C7)</f>
        <v>2018-12</v>
      </c>
      <c r="D48" s="2802">
        <f>EDATE(C48,-1)</f>
        <v>43405</v>
      </c>
      <c r="E48" s="2802">
        <f t="shared" ref="E48:O48" si="13">EDATE(D48,-1)</f>
        <v>43374</v>
      </c>
      <c r="F48" s="2802">
        <f t="shared" si="13"/>
        <v>43344</v>
      </c>
      <c r="G48" s="2802">
        <f t="shared" si="13"/>
        <v>43313</v>
      </c>
      <c r="H48" s="2802">
        <f t="shared" si="13"/>
        <v>43282</v>
      </c>
      <c r="I48" s="2802">
        <f t="shared" si="13"/>
        <v>43252</v>
      </c>
      <c r="J48" s="2802">
        <f t="shared" si="13"/>
        <v>43221</v>
      </c>
      <c r="K48" s="2802">
        <f t="shared" si="13"/>
        <v>43191</v>
      </c>
      <c r="L48" s="2802">
        <f t="shared" si="13"/>
        <v>43160</v>
      </c>
      <c r="M48" s="2802">
        <f t="shared" si="13"/>
        <v>43132</v>
      </c>
      <c r="N48" s="2802">
        <f t="shared" si="13"/>
        <v>43101</v>
      </c>
      <c r="O48" s="2802">
        <f t="shared" si="13"/>
        <v>43070</v>
      </c>
      <c r="P48" s="2158"/>
      <c r="Q48" s="2159"/>
      <c r="R48" s="2159"/>
      <c r="S48" s="2159"/>
      <c r="T48" s="2159"/>
      <c r="U48" s="2159"/>
      <c r="V48" s="2159"/>
      <c r="W48" s="2159"/>
      <c r="X48" s="2159"/>
      <c r="Y48" s="2159"/>
      <c r="Z48" s="2159"/>
      <c r="AA48" s="2159"/>
      <c r="AB48" s="2159"/>
      <c r="AC48" s="2159"/>
    </row>
    <row r="49" spans="1:29" s="1219"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2555</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2556</v>
      </c>
      <c r="C67" s="2596" t="s">
        <v>2557</v>
      </c>
      <c r="D67" s="2596" t="s">
        <v>2558</v>
      </c>
      <c r="E67" s="2596" t="s">
        <v>2559</v>
      </c>
      <c r="F67" s="2596" t="s">
        <v>2560</v>
      </c>
      <c r="G67" s="2596" t="s">
        <v>2561</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9" priority="14" stopIfTrue="1" operator="containsText" text="超过">
      <formula>NOT(ISERROR(SEARCH("超过",F42)))</formula>
    </cfRule>
  </conditionalFormatting>
  <conditionalFormatting sqref="J44">
    <cfRule type="containsText" dxfId="38" priority="13" stopIfTrue="1" operator="containsText" text="超过">
      <formula>NOT(ISERROR(SEARCH("超过",J44)))</formula>
    </cfRule>
  </conditionalFormatting>
  <conditionalFormatting sqref="H44">
    <cfRule type="containsText" dxfId="37" priority="12" stopIfTrue="1" operator="containsText" text="超过">
      <formula>NOT(ISERROR(SEARCH("超过",H44)))</formula>
    </cfRule>
  </conditionalFormatting>
  <conditionalFormatting sqref="F44">
    <cfRule type="containsText" dxfId="36" priority="11" stopIfTrue="1" operator="containsText" text="超过">
      <formula>NOT(ISERROR(SEARCH("超过",F44)))</formula>
    </cfRule>
  </conditionalFormatting>
  <conditionalFormatting sqref="F43 H43 J43">
    <cfRule type="containsText" dxfId="35" priority="10" stopIfTrue="1" operator="containsText" text="超过">
      <formula>NOT(ISERROR(SEARCH("超过",F43)))</formula>
    </cfRule>
  </conditionalFormatting>
  <conditionalFormatting sqref="E42">
    <cfRule type="expression" dxfId="34" priority="9" stopIfTrue="1">
      <formula>$F$42="超过30%"</formula>
    </cfRule>
  </conditionalFormatting>
  <conditionalFormatting sqref="G44">
    <cfRule type="expression" dxfId="33" priority="8" stopIfTrue="1">
      <formula>$H$54+$H$44="超过30%"</formula>
    </cfRule>
  </conditionalFormatting>
  <conditionalFormatting sqref="E43">
    <cfRule type="expression" dxfId="32" priority="7" stopIfTrue="1">
      <formula>$F$43="超过20%"</formula>
    </cfRule>
  </conditionalFormatting>
  <conditionalFormatting sqref="E44">
    <cfRule type="expression" dxfId="31" priority="6" stopIfTrue="1">
      <formula>$F$44="超过30%"</formula>
    </cfRule>
  </conditionalFormatting>
  <conditionalFormatting sqref="G42">
    <cfRule type="expression" dxfId="30" priority="5" stopIfTrue="1">
      <formula>$H$52+$H$42="超过30%"</formula>
    </cfRule>
  </conditionalFormatting>
  <conditionalFormatting sqref="G43">
    <cfRule type="expression" dxfId="29" priority="4" stopIfTrue="1">
      <formula>$H$43="超过20%"</formula>
    </cfRule>
  </conditionalFormatting>
  <conditionalFormatting sqref="I42">
    <cfRule type="expression" dxfId="28" priority="3" stopIfTrue="1">
      <formula>$J$52+$J$42="超过30%"</formula>
    </cfRule>
  </conditionalFormatting>
  <conditionalFormatting sqref="I43">
    <cfRule type="expression" dxfId="27" priority="2" stopIfTrue="1">
      <formula>$J$53+$J$43="超过20%"</formula>
    </cfRule>
  </conditionalFormatting>
  <conditionalFormatting sqref="I44">
    <cfRule type="expression" dxfId="2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北京万龙华房地产开发有限公司 ：</v>
      </c>
    </row>
    <row r="4" spans="1:4" ht="37.5">
      <c r="A4" s="1790" t="str">
        <f>"受贵公司委托，我公司对"&amp;项目基本情况!K2&amp;项目基本情况!B9&amp;"进行了预评估。"</f>
        <v>受贵公司委托，我公司对北京市顺义区高丽营镇于庄03-21地块出让国有建设用地使用权抵押价格进行了预评估。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估价对象为使用的、位于北京市顺义区高丽营镇于庄03-21地块出让国有建设用地使用权。根据，估价对象（分摊）出让国有建设用地使用权面积为62541.33平方米。根据，估价对象规划建筑面积为169816平方米。</v>
      </c>
    </row>
    <row r="7" spans="1:4" ht="93.75">
      <c r="A7" s="2871" t="s">
        <v>2745</v>
      </c>
    </row>
    <row r="8" spans="1:4" ht="18.75">
      <c r="A8" s="1793" t="s">
        <v>1907</v>
      </c>
    </row>
    <row r="9" spans="1:4" ht="75">
      <c r="A9" s="1795" t="str">
        <f>IF(项目基本情况!B8="抵押",IF(项目基本情况!B5=项目基本情况!B6,定义!C51,定义!B51),定义!D51)</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2018年12月10日（评估专业人员勘察现场之日）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根据，本次评估估价对象证载（地类）用途为住宅、商业、地下仓储、地下车库。</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本次评估设定用途即为证载用途住宅、商业、地下仓储、地下车库。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90" t="s">
        <v>2073</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根据，估价对象（分摊）出让国有建设用地使用权面积为62541.33平方米。根据，估价对象规划建筑面积为169816平方米。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3" t="s">
        <v>2746</v>
      </c>
    </row>
    <row r="24" spans="1:1" ht="18.75">
      <c r="A24" s="1790" t="s">
        <v>2075</v>
      </c>
    </row>
    <row r="25" spans="1:1" ht="112.5">
      <c r="A25" s="1790" t="str">
        <f>定义!C53</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500" t="s">
        <v>798</v>
      </c>
      <c r="D4" s="3501"/>
      <c r="E4" s="3538" t="s">
        <v>799</v>
      </c>
      <c r="F4" s="3539"/>
      <c r="G4" s="3500" t="s">
        <v>800</v>
      </c>
      <c r="H4" s="3501"/>
      <c r="I4" s="3500" t="s">
        <v>801</v>
      </c>
      <c r="J4" s="3501"/>
      <c r="K4" s="513" t="s">
        <v>802</v>
      </c>
      <c r="L4" s="2131"/>
      <c r="M4" s="2132"/>
      <c r="N4" s="2132"/>
      <c r="O4" s="2132"/>
      <c r="P4" s="3502" t="s">
        <v>803</v>
      </c>
      <c r="Q4" s="3503"/>
      <c r="R4" s="3508" t="s">
        <v>799</v>
      </c>
      <c r="S4" s="3509"/>
      <c r="T4" s="3508" t="s">
        <v>800</v>
      </c>
      <c r="U4" s="3509"/>
      <c r="V4" s="3495" t="s">
        <v>801</v>
      </c>
      <c r="W4" s="3495"/>
      <c r="X4" s="1566"/>
      <c r="Y4" s="3508" t="s">
        <v>803</v>
      </c>
      <c r="Z4" s="3509"/>
      <c r="AA4" s="3497" t="s">
        <v>799</v>
      </c>
      <c r="AB4" s="3498" t="s">
        <v>800</v>
      </c>
      <c r="AC4" s="3497" t="s">
        <v>801</v>
      </c>
    </row>
    <row r="5" spans="1:29" ht="15">
      <c r="A5" s="514"/>
      <c r="B5" s="515"/>
      <c r="C5" s="3532" t="s">
        <v>2915</v>
      </c>
      <c r="D5" s="3533"/>
      <c r="E5" s="3540" t="s">
        <v>2916</v>
      </c>
      <c r="F5" s="3541"/>
      <c r="G5" s="3532" t="s">
        <v>2917</v>
      </c>
      <c r="H5" s="3533"/>
      <c r="I5" s="3532" t="s">
        <v>2918</v>
      </c>
      <c r="J5" s="3533"/>
      <c r="K5" s="513"/>
      <c r="L5" s="2131"/>
      <c r="M5" s="2132"/>
      <c r="N5" s="2132"/>
      <c r="O5" s="2132"/>
      <c r="P5" s="3504"/>
      <c r="Q5" s="3505"/>
      <c r="R5" s="3510"/>
      <c r="S5" s="3511"/>
      <c r="T5" s="3510"/>
      <c r="U5" s="3511"/>
      <c r="V5" s="3495"/>
      <c r="W5" s="3495"/>
      <c r="X5" s="1566"/>
      <c r="Y5" s="3510"/>
      <c r="Z5" s="3511"/>
      <c r="AA5" s="3498"/>
      <c r="AB5" s="3498"/>
      <c r="AC5" s="3498"/>
    </row>
    <row r="6" spans="1:29" ht="15.75" thickBot="1">
      <c r="A6" s="516"/>
      <c r="B6" s="517"/>
      <c r="C6" s="3534" t="s">
        <v>2919</v>
      </c>
      <c r="D6" s="3535"/>
      <c r="E6" s="3536" t="s">
        <v>2919</v>
      </c>
      <c r="F6" s="3537"/>
      <c r="G6" s="3534" t="s">
        <v>2919</v>
      </c>
      <c r="H6" s="3535"/>
      <c r="I6" s="3534" t="s">
        <v>2919</v>
      </c>
      <c r="J6" s="3535"/>
      <c r="K6" s="513" t="s">
        <v>528</v>
      </c>
      <c r="L6" s="2131"/>
      <c r="M6" s="2132"/>
      <c r="N6" s="2132"/>
      <c r="O6" s="2132"/>
      <c r="P6" s="3506"/>
      <c r="Q6" s="3507"/>
      <c r="R6" s="3510"/>
      <c r="S6" s="3511"/>
      <c r="T6" s="3512"/>
      <c r="U6" s="3513"/>
      <c r="V6" s="3495"/>
      <c r="W6" s="3495"/>
      <c r="X6" s="1566"/>
      <c r="Y6" s="3512"/>
      <c r="Z6" s="3513"/>
      <c r="AA6" s="3499"/>
      <c r="AB6" s="3499"/>
      <c r="AC6" s="3499"/>
    </row>
    <row r="7" spans="1:29" s="1219" customFormat="1" ht="15.75" thickBot="1">
      <c r="A7" s="2909"/>
      <c r="B7" s="2916" t="s">
        <v>529</v>
      </c>
      <c r="C7" s="518">
        <f>'数据-取费表'!B2</f>
        <v>43444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525" t="s">
        <v>530</v>
      </c>
      <c r="Q7" s="3527"/>
      <c r="R7" s="1567" t="s">
        <v>8</v>
      </c>
      <c r="S7" s="1568">
        <f t="shared" ref="S7:S14" si="0">F7</f>
        <v>0</v>
      </c>
      <c r="T7" s="1567" t="s">
        <v>8</v>
      </c>
      <c r="U7" s="1568">
        <f t="shared" ref="U7:U14" si="1">H7</f>
        <v>0</v>
      </c>
      <c r="V7" s="1567" t="s">
        <v>8</v>
      </c>
      <c r="W7" s="1568">
        <f t="shared" ref="W7:W14" si="2">J7</f>
        <v>0</v>
      </c>
      <c r="X7" s="1569"/>
      <c r="Y7" s="3525" t="s">
        <v>530</v>
      </c>
      <c r="Z7" s="3526"/>
      <c r="AA7" s="1570" t="e">
        <f>D7/F7</f>
        <v>#DIV/0!</v>
      </c>
      <c r="AB7" s="1570" t="e">
        <f>D7/H7</f>
        <v>#DIV/0!</v>
      </c>
      <c r="AC7" s="1570" t="e">
        <f>D7/J7</f>
        <v>#DIV/0!</v>
      </c>
    </row>
    <row r="8" spans="1:29" s="1219" customFormat="1" ht="15.75" thickBot="1">
      <c r="A8" s="2910"/>
      <c r="B8" s="291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525" t="s">
        <v>533</v>
      </c>
      <c r="Q8" s="3526"/>
      <c r="R8" s="1567" t="s">
        <v>8</v>
      </c>
      <c r="S8" s="1568">
        <f t="shared" si="0"/>
        <v>0</v>
      </c>
      <c r="T8" s="1567" t="s">
        <v>8</v>
      </c>
      <c r="U8" s="1568">
        <f t="shared" si="1"/>
        <v>0</v>
      </c>
      <c r="V8" s="1567" t="s">
        <v>8</v>
      </c>
      <c r="W8" s="1568">
        <f t="shared" si="2"/>
        <v>0</v>
      </c>
      <c r="X8" s="1569"/>
      <c r="Y8" s="3525" t="s">
        <v>533</v>
      </c>
      <c r="Z8" s="3526"/>
      <c r="AA8" s="1570" t="e">
        <f t="shared" ref="AA8:AA34" si="3">D8/F8</f>
        <v>#DIV/0!</v>
      </c>
      <c r="AB8" s="1570" t="e">
        <f t="shared" ref="AB8:AB34" si="4">D8/H8</f>
        <v>#DIV/0!</v>
      </c>
      <c r="AC8" s="1570" t="e">
        <f t="shared" ref="AC8:AC34" si="5">D8/J8</f>
        <v>#DIV/0!</v>
      </c>
    </row>
    <row r="9" spans="1:29" s="1219" customFormat="1" ht="15">
      <c r="A9" s="2911"/>
      <c r="B9" s="2918" t="s">
        <v>2753</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94" t="s">
        <v>535</v>
      </c>
      <c r="Q9" s="1150" t="str">
        <f t="shared" ref="Q9:Q14" si="6">B9</f>
        <v>用途</v>
      </c>
      <c r="R9" s="1567" t="s">
        <v>8</v>
      </c>
      <c r="S9" s="1568">
        <f t="shared" si="0"/>
        <v>100</v>
      </c>
      <c r="T9" s="1567" t="s">
        <v>8</v>
      </c>
      <c r="U9" s="1568">
        <f t="shared" si="1"/>
        <v>100</v>
      </c>
      <c r="V9" s="1567" t="s">
        <v>8</v>
      </c>
      <c r="W9" s="1568">
        <f t="shared" si="2"/>
        <v>100</v>
      </c>
      <c r="X9" s="1569"/>
      <c r="Y9" s="3440" t="s">
        <v>536</v>
      </c>
      <c r="Z9" s="1149" t="str">
        <f t="shared" ref="Z9:Z14" si="7">Q9</f>
        <v>用途</v>
      </c>
      <c r="AA9" s="1570">
        <f t="shared" si="3"/>
        <v>1</v>
      </c>
      <c r="AB9" s="1570">
        <f t="shared" si="4"/>
        <v>1</v>
      </c>
      <c r="AC9" s="1570">
        <f t="shared" si="5"/>
        <v>1</v>
      </c>
    </row>
    <row r="10" spans="1:29" s="1337" customFormat="1" ht="27">
      <c r="A10" s="2912"/>
      <c r="B10" s="2917" t="s">
        <v>2754</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94"/>
      <c r="Q10" s="1150" t="str">
        <f t="shared" si="6"/>
        <v>土地使用年限（年）</v>
      </c>
      <c r="R10" s="1567" t="s">
        <v>8</v>
      </c>
      <c r="S10" s="1568">
        <f t="shared" si="0"/>
        <v>100</v>
      </c>
      <c r="T10" s="1567" t="s">
        <v>8</v>
      </c>
      <c r="U10" s="1568">
        <f t="shared" si="1"/>
        <v>100</v>
      </c>
      <c r="V10" s="1567" t="s">
        <v>8</v>
      </c>
      <c r="W10" s="1568">
        <f t="shared" si="2"/>
        <v>100</v>
      </c>
      <c r="X10" s="1569"/>
      <c r="Y10" s="3440"/>
      <c r="Z10" s="1149" t="str">
        <f t="shared" si="7"/>
        <v>土地使用年限（年）</v>
      </c>
      <c r="AA10" s="1570">
        <f t="shared" si="3"/>
        <v>1</v>
      </c>
      <c r="AB10" s="1570">
        <f t="shared" si="4"/>
        <v>1</v>
      </c>
      <c r="AC10" s="1570">
        <f t="shared" si="5"/>
        <v>1</v>
      </c>
    </row>
    <row r="11" spans="1:29" ht="15">
      <c r="A11" s="2914"/>
      <c r="B11" s="292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94"/>
      <c r="Q11" s="1150">
        <f t="shared" si="6"/>
        <v>111</v>
      </c>
      <c r="R11" s="1567" t="s">
        <v>8</v>
      </c>
      <c r="S11" s="1568">
        <f t="shared" si="0"/>
        <v>100</v>
      </c>
      <c r="T11" s="1567" t="s">
        <v>8</v>
      </c>
      <c r="U11" s="1568">
        <f t="shared" si="1"/>
        <v>100</v>
      </c>
      <c r="V11" s="1567" t="s">
        <v>8</v>
      </c>
      <c r="W11" s="1568">
        <f t="shared" si="2"/>
        <v>100</v>
      </c>
      <c r="X11" s="1569"/>
      <c r="Y11" s="3440"/>
      <c r="Z11" s="1149">
        <f t="shared" si="7"/>
        <v>111</v>
      </c>
      <c r="AA11" s="1570">
        <f t="shared" si="3"/>
        <v>1</v>
      </c>
      <c r="AB11" s="1570">
        <f t="shared" si="4"/>
        <v>1</v>
      </c>
      <c r="AC11" s="1570">
        <f t="shared" si="5"/>
        <v>1</v>
      </c>
    </row>
    <row r="12" spans="1:29" s="1219" customFormat="1" ht="15">
      <c r="A12" s="2914"/>
      <c r="B12" s="292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94"/>
      <c r="Q12" s="1150">
        <f t="shared" si="6"/>
        <v>111</v>
      </c>
      <c r="R12" s="1567" t="s">
        <v>8</v>
      </c>
      <c r="S12" s="1568">
        <f t="shared" si="0"/>
        <v>100</v>
      </c>
      <c r="T12" s="1567" t="s">
        <v>8</v>
      </c>
      <c r="U12" s="1568">
        <f t="shared" si="1"/>
        <v>100</v>
      </c>
      <c r="V12" s="1567" t="s">
        <v>8</v>
      </c>
      <c r="W12" s="1568">
        <f t="shared" si="2"/>
        <v>100</v>
      </c>
      <c r="X12" s="1569"/>
      <c r="Y12" s="3440"/>
      <c r="Z12" s="1149">
        <f t="shared" si="7"/>
        <v>111</v>
      </c>
      <c r="AA12" s="1570">
        <f>D12/F12</f>
        <v>1</v>
      </c>
      <c r="AB12" s="1570">
        <f>D12/H12</f>
        <v>1</v>
      </c>
      <c r="AC12" s="1570">
        <f>D12/J12</f>
        <v>1</v>
      </c>
    </row>
    <row r="13" spans="1:29" ht="15.75" thickBot="1">
      <c r="A13" s="2915"/>
      <c r="B13" s="292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94"/>
      <c r="Q13" s="1150">
        <f t="shared" si="6"/>
        <v>111</v>
      </c>
      <c r="R13" s="1567" t="s">
        <v>8</v>
      </c>
      <c r="S13" s="1568">
        <f t="shared" si="0"/>
        <v>100</v>
      </c>
      <c r="T13" s="1567" t="s">
        <v>8</v>
      </c>
      <c r="U13" s="1568">
        <f t="shared" si="1"/>
        <v>100</v>
      </c>
      <c r="V13" s="1567" t="s">
        <v>8</v>
      </c>
      <c r="W13" s="1568">
        <f t="shared" si="2"/>
        <v>100</v>
      </c>
      <c r="X13" s="1569"/>
      <c r="Y13" s="3440"/>
      <c r="Z13" s="1149">
        <f t="shared" si="7"/>
        <v>111</v>
      </c>
      <c r="AA13" s="1570">
        <f t="shared" si="3"/>
        <v>1</v>
      </c>
      <c r="AB13" s="1570">
        <f t="shared" si="4"/>
        <v>1</v>
      </c>
      <c r="AC13" s="1570">
        <f t="shared" si="5"/>
        <v>1</v>
      </c>
    </row>
    <row r="14" spans="1:29" ht="15">
      <c r="A14" s="2907" t="s">
        <v>2751</v>
      </c>
      <c r="B14" s="165" t="s">
        <v>543</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528" t="s">
        <v>540</v>
      </c>
      <c r="Q14" s="1571" t="str">
        <f t="shared" si="6"/>
        <v>交通便捷度</v>
      </c>
      <c r="R14" s="1572" t="s">
        <v>8</v>
      </c>
      <c r="S14" s="1573">
        <f t="shared" si="0"/>
        <v>100</v>
      </c>
      <c r="T14" s="1572" t="s">
        <v>8</v>
      </c>
      <c r="U14" s="1573">
        <f t="shared" si="1"/>
        <v>100</v>
      </c>
      <c r="V14" s="1572" t="s">
        <v>8</v>
      </c>
      <c r="W14" s="1573">
        <f t="shared" si="2"/>
        <v>100</v>
      </c>
      <c r="X14" s="1566"/>
      <c r="Y14" s="3528"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0"/>
      <c r="M15" s="2132"/>
      <c r="N15" s="2132"/>
      <c r="O15" s="2139"/>
      <c r="P15" s="3529"/>
      <c r="Q15" s="1571"/>
      <c r="R15" s="1572"/>
      <c r="S15" s="1573"/>
      <c r="T15" s="1572"/>
      <c r="U15" s="1573"/>
      <c r="V15" s="1572"/>
      <c r="W15" s="1573"/>
      <c r="X15" s="1566"/>
      <c r="Y15" s="3529"/>
      <c r="Z15" s="1574"/>
      <c r="AA15" s="1575">
        <v>1</v>
      </c>
      <c r="AB15" s="1575">
        <v>1</v>
      </c>
      <c r="AC15" s="1575">
        <v>1</v>
      </c>
    </row>
    <row r="16" spans="1:29" ht="15">
      <c r="A16" s="531"/>
      <c r="B16" s="2601" t="s">
        <v>2544</v>
      </c>
      <c r="C16" s="871" t="str">
        <f>IF(B1="工业",估价对象房地状况!G5,估价对象房地状况!C7)</f>
        <v>一般</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529"/>
      <c r="Q16" s="1571" t="str">
        <f>B16</f>
        <v>公共配套设施</v>
      </c>
      <c r="R16" s="1572" t="s">
        <v>8</v>
      </c>
      <c r="S16" s="1573">
        <f>F16</f>
        <v>100</v>
      </c>
      <c r="T16" s="1572" t="s">
        <v>8</v>
      </c>
      <c r="U16" s="1573">
        <f>H16</f>
        <v>100</v>
      </c>
      <c r="V16" s="1572" t="s">
        <v>8</v>
      </c>
      <c r="W16" s="1573">
        <f>J16</f>
        <v>100</v>
      </c>
      <c r="X16" s="1566"/>
      <c r="Y16" s="3529"/>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0"/>
      <c r="M17" s="2132"/>
      <c r="N17" s="2132"/>
      <c r="O17" s="2139"/>
      <c r="P17" s="3529"/>
      <c r="Q17" s="1571"/>
      <c r="R17" s="1572"/>
      <c r="S17" s="1573"/>
      <c r="T17" s="1572"/>
      <c r="U17" s="1573"/>
      <c r="V17" s="1572"/>
      <c r="W17" s="1573"/>
      <c r="X17" s="1566"/>
      <c r="Y17" s="3529"/>
      <c r="Z17" s="1574"/>
      <c r="AA17" s="1575">
        <v>1</v>
      </c>
      <c r="AB17" s="1575">
        <v>1</v>
      </c>
      <c r="AC17" s="1575">
        <v>1</v>
      </c>
    </row>
    <row r="18" spans="1:29" ht="15">
      <c r="A18" s="531"/>
      <c r="B18" s="2589" t="s">
        <v>2556</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529"/>
      <c r="Q18" s="2577" t="str">
        <f>B18</f>
        <v>基础设施水平</v>
      </c>
      <c r="R18" s="1572" t="s">
        <v>8</v>
      </c>
      <c r="S18" s="1573">
        <f>F18</f>
        <v>100</v>
      </c>
      <c r="T18" s="1572" t="s">
        <v>8</v>
      </c>
      <c r="U18" s="1573">
        <f>H18</f>
        <v>100</v>
      </c>
      <c r="V18" s="1572" t="s">
        <v>8</v>
      </c>
      <c r="W18" s="1573">
        <f>J18</f>
        <v>100</v>
      </c>
      <c r="X18" s="2579"/>
      <c r="Y18" s="3529"/>
      <c r="Z18" s="2578" t="str">
        <f>Q18</f>
        <v>基础设施水平</v>
      </c>
      <c r="AA18" s="1575">
        <f>D18/F18</f>
        <v>1</v>
      </c>
      <c r="AB18" s="1575">
        <f>D18/H18</f>
        <v>1</v>
      </c>
      <c r="AC18" s="1575">
        <f>D18/J18</f>
        <v>1</v>
      </c>
    </row>
    <row r="19" spans="1:29" ht="15">
      <c r="A19" s="531"/>
      <c r="B19" s="577"/>
      <c r="C19" s="872"/>
      <c r="D19" s="558"/>
      <c r="E19" s="872"/>
      <c r="F19" s="562"/>
      <c r="G19" s="872"/>
      <c r="H19" s="554"/>
      <c r="I19" s="575"/>
      <c r="J19" s="554"/>
      <c r="K19" s="2600"/>
      <c r="L19" s="2140"/>
      <c r="M19" s="2132"/>
      <c r="N19" s="2132"/>
      <c r="O19" s="2139"/>
      <c r="P19" s="3529"/>
      <c r="Q19" s="2577"/>
      <c r="R19" s="1572"/>
      <c r="S19" s="1573"/>
      <c r="T19" s="1572"/>
      <c r="U19" s="1573"/>
      <c r="V19" s="1572"/>
      <c r="W19" s="1573"/>
      <c r="X19" s="2579"/>
      <c r="Y19" s="3529"/>
      <c r="Z19" s="2578"/>
      <c r="AA19" s="1575">
        <v>1</v>
      </c>
      <c r="AB19" s="1575">
        <v>1</v>
      </c>
      <c r="AC19" s="1575">
        <v>1</v>
      </c>
    </row>
    <row r="20" spans="1:29" ht="15">
      <c r="A20" s="531"/>
      <c r="B20" s="870" t="s">
        <v>804</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529"/>
      <c r="Q20" s="1571" t="str">
        <f>B20</f>
        <v>自然及人文环境</v>
      </c>
      <c r="R20" s="1572" t="s">
        <v>8</v>
      </c>
      <c r="S20" s="1573">
        <f>F20</f>
        <v>100</v>
      </c>
      <c r="T20" s="1572" t="s">
        <v>8</v>
      </c>
      <c r="U20" s="1573">
        <f>H20</f>
        <v>100</v>
      </c>
      <c r="V20" s="1572" t="s">
        <v>8</v>
      </c>
      <c r="W20" s="1573">
        <f>J20</f>
        <v>100</v>
      </c>
      <c r="X20" s="1566"/>
      <c r="Y20" s="3529"/>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0"/>
      <c r="M21" s="2132"/>
      <c r="N21" s="2132"/>
      <c r="O21" s="2139"/>
      <c r="P21" s="3529"/>
      <c r="Q21" s="1571"/>
      <c r="R21" s="1572"/>
      <c r="S21" s="1573"/>
      <c r="T21" s="1572"/>
      <c r="U21" s="1573"/>
      <c r="V21" s="1572"/>
      <c r="W21" s="1573"/>
      <c r="X21" s="1566"/>
      <c r="Y21" s="3529"/>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529"/>
      <c r="Q22" s="1571" t="str">
        <f>B22</f>
        <v>楼层</v>
      </c>
      <c r="R22" s="1572" t="s">
        <v>8</v>
      </c>
      <c r="S22" s="1573">
        <f>F22</f>
        <v>100</v>
      </c>
      <c r="T22" s="1572" t="s">
        <v>8</v>
      </c>
      <c r="U22" s="1573">
        <f>H22</f>
        <v>100</v>
      </c>
      <c r="V22" s="1572" t="s">
        <v>8</v>
      </c>
      <c r="W22" s="1573">
        <f>J22</f>
        <v>100</v>
      </c>
      <c r="X22" s="1566"/>
      <c r="Y22" s="3529"/>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529"/>
      <c r="Q23" s="1571">
        <f>B23</f>
        <v>111</v>
      </c>
      <c r="R23" s="1572" t="s">
        <v>8</v>
      </c>
      <c r="S23" s="1573">
        <f>F23</f>
        <v>100</v>
      </c>
      <c r="T23" s="1572" t="s">
        <v>8</v>
      </c>
      <c r="U23" s="1573">
        <f>H23</f>
        <v>100</v>
      </c>
      <c r="V23" s="1572" t="s">
        <v>8</v>
      </c>
      <c r="W23" s="1573">
        <f>J23</f>
        <v>100</v>
      </c>
      <c r="X23" s="1566"/>
      <c r="Y23" s="3529"/>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529"/>
      <c r="Q24" s="1571">
        <f t="shared" ref="Q24:Q34" si="8">B24</f>
        <v>111</v>
      </c>
      <c r="R24" s="1572" t="s">
        <v>8</v>
      </c>
      <c r="S24" s="1573">
        <f>F24</f>
        <v>100</v>
      </c>
      <c r="T24" s="1572" t="s">
        <v>8</v>
      </c>
      <c r="U24" s="1573">
        <f>H24</f>
        <v>100</v>
      </c>
      <c r="V24" s="1572" t="s">
        <v>8</v>
      </c>
      <c r="W24" s="1573">
        <f>J24</f>
        <v>100</v>
      </c>
      <c r="X24" s="1566"/>
      <c r="Y24" s="3529"/>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529"/>
      <c r="Q25" s="1150">
        <f t="shared" si="8"/>
        <v>111</v>
      </c>
      <c r="R25" s="1567" t="s">
        <v>8</v>
      </c>
      <c r="S25" s="1568">
        <f>F25</f>
        <v>100</v>
      </c>
      <c r="T25" s="1567" t="s">
        <v>8</v>
      </c>
      <c r="U25" s="1568">
        <f>H25</f>
        <v>100</v>
      </c>
      <c r="V25" s="1567" t="s">
        <v>8</v>
      </c>
      <c r="W25" s="1568">
        <f>J25</f>
        <v>100</v>
      </c>
      <c r="X25" s="1569"/>
      <c r="Y25" s="3529"/>
      <c r="Z25" s="1149">
        <f>Q25</f>
        <v>111</v>
      </c>
      <c r="AA25" s="1575">
        <f>D25/F25</f>
        <v>1</v>
      </c>
      <c r="AB25" s="1575">
        <f>D25/H25</f>
        <v>1</v>
      </c>
      <c r="AC25" s="1575">
        <f>D25/J25</f>
        <v>1</v>
      </c>
    </row>
    <row r="26" spans="1:29" ht="15">
      <c r="A26" s="2905" t="s">
        <v>2752</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530" t="s">
        <v>821</v>
      </c>
      <c r="Q26" s="1571" t="str">
        <f t="shared" si="8"/>
        <v>公共部分装修</v>
      </c>
      <c r="R26" s="1572" t="s">
        <v>8</v>
      </c>
      <c r="S26" s="1573">
        <f t="shared" ref="S26:S34" si="9">F26</f>
        <v>100</v>
      </c>
      <c r="T26" s="1572" t="s">
        <v>8</v>
      </c>
      <c r="U26" s="1573">
        <f t="shared" ref="U26:U34" si="10">H26</f>
        <v>100</v>
      </c>
      <c r="V26" s="1572" t="s">
        <v>8</v>
      </c>
      <c r="W26" s="1573">
        <f t="shared" ref="W26:W34" si="11">J26</f>
        <v>100</v>
      </c>
      <c r="X26" s="1566"/>
      <c r="Y26" s="3531" t="s">
        <v>821</v>
      </c>
      <c r="Z26" s="1574" t="str">
        <f t="shared" ref="Z26:Z34" si="12">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531"/>
      <c r="Q27" s="1604" t="str">
        <f t="shared" si="8"/>
        <v>成新率</v>
      </c>
      <c r="R27" s="1576" t="s">
        <v>8</v>
      </c>
      <c r="S27" s="1577" t="e">
        <f t="shared" si="9"/>
        <v>#N/A</v>
      </c>
      <c r="T27" s="1576" t="s">
        <v>8</v>
      </c>
      <c r="U27" s="1577" t="e">
        <f t="shared" si="10"/>
        <v>#N/A</v>
      </c>
      <c r="V27" s="1576" t="s">
        <v>8</v>
      </c>
      <c r="W27" s="1577" t="e">
        <f t="shared" si="11"/>
        <v>#N/A</v>
      </c>
      <c r="X27" s="1578"/>
      <c r="Y27" s="3531"/>
      <c r="Z27" s="1579" t="str">
        <f t="shared" si="12"/>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531"/>
      <c r="Q28" s="1571" t="str">
        <f t="shared" si="8"/>
        <v>物业等级</v>
      </c>
      <c r="R28" s="1572" t="s">
        <v>8</v>
      </c>
      <c r="S28" s="1573">
        <f t="shared" si="9"/>
        <v>100</v>
      </c>
      <c r="T28" s="1572" t="s">
        <v>8</v>
      </c>
      <c r="U28" s="1573">
        <f t="shared" si="10"/>
        <v>100</v>
      </c>
      <c r="V28" s="1572" t="s">
        <v>8</v>
      </c>
      <c r="W28" s="1573">
        <f t="shared" si="11"/>
        <v>100</v>
      </c>
      <c r="X28" s="1566"/>
      <c r="Y28" s="3531"/>
      <c r="Z28" s="1574" t="str">
        <f t="shared" si="12"/>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531"/>
      <c r="Q29" s="1571" t="str">
        <f t="shared" si="8"/>
        <v>有无电梯</v>
      </c>
      <c r="R29" s="1572" t="s">
        <v>8</v>
      </c>
      <c r="S29" s="1573">
        <f t="shared" si="9"/>
        <v>100</v>
      </c>
      <c r="T29" s="1572" t="s">
        <v>8</v>
      </c>
      <c r="U29" s="1573">
        <f t="shared" si="10"/>
        <v>100</v>
      </c>
      <c r="V29" s="1572" t="s">
        <v>8</v>
      </c>
      <c r="W29" s="1573">
        <f t="shared" si="11"/>
        <v>100</v>
      </c>
      <c r="X29" s="1566"/>
      <c r="Y29" s="3531"/>
      <c r="Z29" s="1574" t="str">
        <f t="shared" si="12"/>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531"/>
      <c r="Q30" s="1571" t="str">
        <f t="shared" si="8"/>
        <v>建筑面积</v>
      </c>
      <c r="R30" s="1572" t="s">
        <v>8</v>
      </c>
      <c r="S30" s="1573" t="e">
        <f t="shared" si="9"/>
        <v>#N/A</v>
      </c>
      <c r="T30" s="1572" t="s">
        <v>8</v>
      </c>
      <c r="U30" s="1573" t="e">
        <f t="shared" si="10"/>
        <v>#N/A</v>
      </c>
      <c r="V30" s="1572" t="s">
        <v>8</v>
      </c>
      <c r="W30" s="1573" t="e">
        <f t="shared" si="11"/>
        <v>#N/A</v>
      </c>
      <c r="X30" s="1566"/>
      <c r="Y30" s="3531"/>
      <c r="Z30" s="1574" t="str">
        <f t="shared" si="12"/>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531"/>
      <c r="Q31" s="1150" t="str">
        <f t="shared" si="8"/>
        <v>是否封闭</v>
      </c>
      <c r="R31" s="1567" t="s">
        <v>8</v>
      </c>
      <c r="S31" s="1568">
        <f t="shared" si="9"/>
        <v>100</v>
      </c>
      <c r="T31" s="1567" t="s">
        <v>8</v>
      </c>
      <c r="U31" s="1568">
        <f t="shared" si="10"/>
        <v>100</v>
      </c>
      <c r="V31" s="1567" t="s">
        <v>8</v>
      </c>
      <c r="W31" s="1568">
        <f t="shared" si="11"/>
        <v>100</v>
      </c>
      <c r="X31" s="1569"/>
      <c r="Y31" s="3531"/>
      <c r="Z31" s="1149" t="str">
        <f t="shared" si="12"/>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531" t="s">
        <v>550</v>
      </c>
      <c r="Q32" s="1571">
        <f t="shared" si="8"/>
        <v>111</v>
      </c>
      <c r="R32" s="1572" t="s">
        <v>8</v>
      </c>
      <c r="S32" s="1573">
        <f t="shared" si="9"/>
        <v>100</v>
      </c>
      <c r="T32" s="1572" t="s">
        <v>8</v>
      </c>
      <c r="U32" s="1573">
        <f t="shared" si="10"/>
        <v>100</v>
      </c>
      <c r="V32" s="1572" t="s">
        <v>8</v>
      </c>
      <c r="W32" s="1573">
        <f t="shared" si="11"/>
        <v>100</v>
      </c>
      <c r="X32" s="1566"/>
      <c r="Y32" s="3531" t="s">
        <v>550</v>
      </c>
      <c r="Z32" s="1574">
        <f t="shared" si="12"/>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531"/>
      <c r="Q33" s="1571">
        <f t="shared" si="8"/>
        <v>111</v>
      </c>
      <c r="R33" s="1572" t="s">
        <v>8</v>
      </c>
      <c r="S33" s="1573">
        <f t="shared" si="9"/>
        <v>100</v>
      </c>
      <c r="T33" s="1572" t="s">
        <v>8</v>
      </c>
      <c r="U33" s="1573">
        <f t="shared" si="10"/>
        <v>100</v>
      </c>
      <c r="V33" s="1572" t="s">
        <v>8</v>
      </c>
      <c r="W33" s="1573">
        <f t="shared" si="11"/>
        <v>100</v>
      </c>
      <c r="X33" s="1566"/>
      <c r="Y33" s="3531"/>
      <c r="Z33" s="1574">
        <f t="shared" si="12"/>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531"/>
      <c r="Q34" s="1571">
        <f t="shared" si="8"/>
        <v>111</v>
      </c>
      <c r="R34" s="1572" t="s">
        <v>8</v>
      </c>
      <c r="S34" s="1573">
        <f t="shared" si="9"/>
        <v>100</v>
      </c>
      <c r="T34" s="1572" t="s">
        <v>8</v>
      </c>
      <c r="U34" s="1573">
        <f t="shared" si="10"/>
        <v>100</v>
      </c>
      <c r="V34" s="1572" t="s">
        <v>8</v>
      </c>
      <c r="W34" s="1573">
        <f t="shared" si="11"/>
        <v>100</v>
      </c>
      <c r="X34" s="1566"/>
      <c r="Y34" s="3531"/>
      <c r="Z34" s="1574">
        <f t="shared" si="12"/>
        <v>111</v>
      </c>
      <c r="AA34" s="1575">
        <f t="shared" si="3"/>
        <v>1</v>
      </c>
      <c r="AB34" s="1575">
        <f t="shared" si="4"/>
        <v>1</v>
      </c>
      <c r="AC34" s="1575">
        <f t="shared" si="5"/>
        <v>1</v>
      </c>
    </row>
    <row r="35" spans="1:29" ht="15">
      <c r="A35" s="606" t="s">
        <v>736</v>
      </c>
      <c r="B35" s="886"/>
      <c r="C35" s="2625" t="s">
        <v>1</v>
      </c>
      <c r="D35" s="2626"/>
      <c r="E35" s="2627"/>
      <c r="F35" s="2628"/>
      <c r="G35" s="2629"/>
      <c r="H35" s="2630"/>
      <c r="I35" s="2627"/>
      <c r="J35" s="2630"/>
      <c r="K35" s="1610"/>
      <c r="L35" s="2142"/>
      <c r="M35" s="2143"/>
      <c r="N35" s="2132"/>
      <c r="O35" s="2143"/>
      <c r="P35" s="3494" t="str">
        <f>A35</f>
        <v>成交单价（元/平方米）</v>
      </c>
      <c r="Q35" s="3494"/>
      <c r="R35" s="3612">
        <f>E35</f>
        <v>0</v>
      </c>
      <c r="S35" s="3612"/>
      <c r="T35" s="3612">
        <f>G35</f>
        <v>0</v>
      </c>
      <c r="U35" s="3612"/>
      <c r="V35" s="3612">
        <f>I35</f>
        <v>0</v>
      </c>
      <c r="W35" s="3612"/>
      <c r="X35" s="1558"/>
      <c r="Y35" s="1580"/>
      <c r="Z35" s="1558"/>
      <c r="AA35" s="1558"/>
      <c r="AB35" s="1558"/>
      <c r="AC35" s="1558"/>
    </row>
    <row r="36" spans="1:29" ht="15.75" thickBot="1">
      <c r="A36" s="614" t="s">
        <v>2757</v>
      </c>
      <c r="B36" s="887"/>
      <c r="C36" s="2631" t="e">
        <f>R37</f>
        <v>#DIV/0!</v>
      </c>
      <c r="D36" s="2632"/>
      <c r="E36" s="2633" t="e">
        <f>R36</f>
        <v>#DIV/0!</v>
      </c>
      <c r="F36" s="2633"/>
      <c r="G36" s="2631" t="e">
        <f>T36</f>
        <v>#DIV/0!</v>
      </c>
      <c r="H36" s="2632"/>
      <c r="I36" s="2633" t="e">
        <f>V36</f>
        <v>#DIV/0!</v>
      </c>
      <c r="J36" s="2632"/>
      <c r="K36" s="1611"/>
      <c r="L36" s="2142"/>
      <c r="M36" s="2143"/>
      <c r="N36" s="2132"/>
      <c r="O36" s="2143"/>
      <c r="P36" s="3494" t="str">
        <f>A36</f>
        <v>比较价格（元/平方米）</v>
      </c>
      <c r="Q36" s="3494"/>
      <c r="R36" s="3612" t="e">
        <f>IF(F1="售价",ROUND(PRODUCT(R35,AA7:AA34),0),ROUND(PRODUCT(R35,AA7:AA34),1))</f>
        <v>#DIV/0!</v>
      </c>
      <c r="S36" s="3612"/>
      <c r="T36" s="3612" t="e">
        <f>IF(F1="售价",ROUND(PRODUCT(T35,AB7:AB34),0),ROUND(PRODUCT(T35,AB7:AB34),1))</f>
        <v>#DIV/0!</v>
      </c>
      <c r="U36" s="3612"/>
      <c r="V36" s="3612" t="e">
        <f>IF(F1="售价",ROUND(PRODUCT(V35,AC7:AC34),0),ROUND(PRODUCT(V35,AC7:AC34),1))</f>
        <v>#DIV/0!</v>
      </c>
      <c r="W36" s="3612"/>
      <c r="X36" s="1558"/>
      <c r="Y36" s="1558"/>
      <c r="Z36" s="1558"/>
      <c r="AA36" s="1558"/>
      <c r="AB36" s="1558"/>
      <c r="AC36" s="1558"/>
    </row>
    <row r="37" spans="1:29" ht="15.75" thickBot="1">
      <c r="A37" s="620" t="s">
        <v>2921</v>
      </c>
      <c r="B37" s="621"/>
      <c r="C37" s="2634" t="e">
        <f>R37</f>
        <v>#DIV/0!</v>
      </c>
      <c r="D37" s="2634"/>
      <c r="E37" s="2634"/>
      <c r="F37" s="2634"/>
      <c r="G37" s="2634"/>
      <c r="H37" s="2634"/>
      <c r="I37" s="2634"/>
      <c r="J37" s="2634"/>
      <c r="K37" s="1612"/>
      <c r="L37" s="2142"/>
      <c r="M37" s="2143"/>
      <c r="N37" s="2143"/>
      <c r="O37" s="2143"/>
      <c r="P37" s="3491" t="str">
        <f>A37</f>
        <v>估价对象XX用房的比较价格（楼面单价，元/平方米）</v>
      </c>
      <c r="Q37" s="3492"/>
      <c r="R37" s="3611" t="e">
        <f>IF(F1="售价",ROUND(AVERAGE(R36:V36),0),ROUND(AVERAGE(R36:V36),1))</f>
        <v>#DIV/0!</v>
      </c>
      <c r="S37" s="3611"/>
      <c r="T37" s="3611"/>
      <c r="U37" s="3611"/>
      <c r="V37" s="3611"/>
      <c r="W37" s="3611"/>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6" customFormat="1" ht="15">
      <c r="A46" s="644" t="s">
        <v>529</v>
      </c>
      <c r="B46" s="645"/>
      <c r="C46" s="2800" t="str">
        <f>YEAR(C7)&amp;"-"&amp;MONTH(C7)</f>
        <v>2018-12</v>
      </c>
      <c r="D46" s="2802">
        <f>EDATE(C46,-1)</f>
        <v>43405</v>
      </c>
      <c r="E46" s="2802">
        <f t="shared" ref="E46:O46" si="13">EDATE(D46,-1)</f>
        <v>43374</v>
      </c>
      <c r="F46" s="2802">
        <f t="shared" si="13"/>
        <v>43344</v>
      </c>
      <c r="G46" s="2802">
        <f t="shared" si="13"/>
        <v>43313</v>
      </c>
      <c r="H46" s="2802">
        <f t="shared" si="13"/>
        <v>43282</v>
      </c>
      <c r="I46" s="2802">
        <f t="shared" si="13"/>
        <v>43252</v>
      </c>
      <c r="J46" s="2802">
        <f t="shared" si="13"/>
        <v>43221</v>
      </c>
      <c r="K46" s="2802">
        <f t="shared" si="13"/>
        <v>43191</v>
      </c>
      <c r="L46" s="2802">
        <f t="shared" si="13"/>
        <v>43160</v>
      </c>
      <c r="M46" s="2802">
        <f t="shared" si="13"/>
        <v>43132</v>
      </c>
      <c r="N46" s="2802">
        <f t="shared" si="13"/>
        <v>43101</v>
      </c>
      <c r="O46" s="2802">
        <f t="shared" si="13"/>
        <v>43070</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2555</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2556</v>
      </c>
      <c r="C65" s="2596" t="s">
        <v>2557</v>
      </c>
      <c r="D65" s="2596" t="s">
        <v>2558</v>
      </c>
      <c r="E65" s="2596" t="s">
        <v>2559</v>
      </c>
      <c r="F65" s="2596" t="s">
        <v>2560</v>
      </c>
      <c r="G65" s="2596" t="s">
        <v>2561</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25" priority="14" stopIfTrue="1" operator="containsText" text="超过">
      <formula>NOT(ISERROR(SEARCH("超过",F40)))</formula>
    </cfRule>
  </conditionalFormatting>
  <conditionalFormatting sqref="J42">
    <cfRule type="containsText" dxfId="24" priority="13" stopIfTrue="1" operator="containsText" text="超过">
      <formula>NOT(ISERROR(SEARCH("超过",J42)))</formula>
    </cfRule>
  </conditionalFormatting>
  <conditionalFormatting sqref="H42">
    <cfRule type="containsText" dxfId="23" priority="12" stopIfTrue="1" operator="containsText" text="超过">
      <formula>NOT(ISERROR(SEARCH("超过",H42)))</formula>
    </cfRule>
  </conditionalFormatting>
  <conditionalFormatting sqref="F42">
    <cfRule type="containsText" dxfId="22" priority="11" stopIfTrue="1" operator="containsText" text="超过">
      <formula>NOT(ISERROR(SEARCH("超过",F42)))</formula>
    </cfRule>
  </conditionalFormatting>
  <conditionalFormatting sqref="F41 H41 J41">
    <cfRule type="containsText" dxfId="21" priority="10" stopIfTrue="1" operator="containsText" text="超过">
      <formula>NOT(ISERROR(SEARCH("超过",F41)))</formula>
    </cfRule>
  </conditionalFormatting>
  <conditionalFormatting sqref="E40">
    <cfRule type="expression" dxfId="20" priority="9" stopIfTrue="1">
      <formula>$F$40="超过30%"</formula>
    </cfRule>
  </conditionalFormatting>
  <conditionalFormatting sqref="G42">
    <cfRule type="expression" dxfId="19" priority="8" stopIfTrue="1">
      <formula>$H$54+$H$42="超过30%"</formula>
    </cfRule>
  </conditionalFormatting>
  <conditionalFormatting sqref="E41">
    <cfRule type="expression" dxfId="18" priority="7" stopIfTrue="1">
      <formula>$F$41="超过20%"</formula>
    </cfRule>
  </conditionalFormatting>
  <conditionalFormatting sqref="E42">
    <cfRule type="expression" dxfId="17" priority="6" stopIfTrue="1">
      <formula>$F$42="超过30%"</formula>
    </cfRule>
  </conditionalFormatting>
  <conditionalFormatting sqref="G40">
    <cfRule type="expression" dxfId="16" priority="5" stopIfTrue="1">
      <formula>$H$52+$H$40="超过30%"</formula>
    </cfRule>
  </conditionalFormatting>
  <conditionalFormatting sqref="G41">
    <cfRule type="expression" dxfId="15" priority="4" stopIfTrue="1">
      <formula>$H$53+$H$41="超过20%"</formula>
    </cfRule>
  </conditionalFormatting>
  <conditionalFormatting sqref="I40">
    <cfRule type="expression" dxfId="14" priority="3" stopIfTrue="1">
      <formula>$J$40="超过30%"</formula>
    </cfRule>
  </conditionalFormatting>
  <conditionalFormatting sqref="I41">
    <cfRule type="expression" dxfId="13" priority="2" stopIfTrue="1">
      <formula>$J$41="超过20%"</formula>
    </cfRule>
  </conditionalFormatting>
  <conditionalFormatting sqref="I42">
    <cfRule type="expression" dxfId="12"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3" sqref="J5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3033</v>
      </c>
      <c r="D1" s="3120" t="s">
        <v>3233</v>
      </c>
      <c r="E1" s="2385" t="s">
        <v>870</v>
      </c>
      <c r="F1" s="2386">
        <f ca="1">J53</f>
        <v>36.65</v>
      </c>
      <c r="G1" s="773">
        <f>MATCH(C1,'数据-取费表'!A6:A16,0)+5</f>
        <v>9</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0</v>
      </c>
      <c r="C2" s="2055"/>
      <c r="D2" s="2053"/>
      <c r="E2" s="2054"/>
      <c r="F2" s="2054"/>
      <c r="G2" s="1589"/>
      <c r="H2" s="2055"/>
      <c r="I2" s="2055"/>
      <c r="J2" s="2055"/>
      <c r="K2" s="2056"/>
      <c r="L2" s="2055"/>
      <c r="M2" s="2055"/>
    </row>
    <row r="3" spans="1:33" ht="18" customHeight="1" thickBot="1">
      <c r="A3" s="832" t="s">
        <v>519</v>
      </c>
      <c r="B3" s="833">
        <f ca="1">IF(ISERROR(B2*10000/F43),0,ROUND(B2*10000/F43,0))</f>
        <v>0</v>
      </c>
      <c r="C3" s="2055"/>
      <c r="D3" s="2053"/>
      <c r="E3" s="2054"/>
      <c r="F3" s="2054"/>
      <c r="G3" s="1589"/>
      <c r="H3" s="775" t="s">
        <v>695</v>
      </c>
      <c r="I3" s="1362"/>
      <c r="J3" s="1362"/>
      <c r="K3" s="1590"/>
      <c r="L3" s="1362"/>
      <c r="M3" s="1362"/>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2456</v>
      </c>
      <c r="C5" s="55">
        <f ca="1">C6+C10+C12</f>
        <v>0</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0</v>
      </c>
      <c r="D6" s="2495" t="s">
        <v>2460</v>
      </c>
      <c r="E6" s="783" t="s">
        <v>637</v>
      </c>
      <c r="F6" s="784">
        <f ca="1">INDIRECT("'数据-取费表'!u"&amp;$G$1)</f>
        <v>0</v>
      </c>
      <c r="G6" s="1591"/>
      <c r="H6" s="2502" t="s">
        <v>1825</v>
      </c>
      <c r="I6" s="3571" t="s">
        <v>2461</v>
      </c>
      <c r="J6" s="782">
        <f ca="1">ROUND(M6*M8*M7*(1-M9)/10000,0)</f>
        <v>0</v>
      </c>
      <c r="K6" s="340" t="s">
        <v>636</v>
      </c>
      <c r="L6" s="783" t="s">
        <v>637</v>
      </c>
      <c r="M6" s="784">
        <f ca="1">INDIRECT("'数据-取费表'!z"&amp;$G$1)</f>
        <v>0</v>
      </c>
    </row>
    <row r="7" spans="1:33" ht="18" customHeight="1">
      <c r="A7" s="2498"/>
      <c r="B7" s="3572"/>
      <c r="C7" s="787"/>
      <c r="D7" s="788"/>
      <c r="E7" s="783" t="s">
        <v>638</v>
      </c>
      <c r="F7" s="784">
        <f ca="1">IF(INDIRECT("'数据-取费表'!ah"&amp;$G$1)="",INDIRECT("'数据-取费表'!k"&amp;$G$1),INDIRECT("'数据-取费表'!ah"&amp;$G$1))</f>
        <v>0</v>
      </c>
      <c r="G7" s="1591"/>
      <c r="H7" s="2487"/>
      <c r="I7" s="3572"/>
      <c r="J7" s="787"/>
      <c r="K7" s="788"/>
      <c r="L7" s="783" t="s">
        <v>638</v>
      </c>
      <c r="M7" s="784">
        <f ca="1">F7</f>
        <v>0</v>
      </c>
    </row>
    <row r="8" spans="1:33" ht="18" customHeight="1">
      <c r="A8" s="2491"/>
      <c r="B8" s="3573"/>
      <c r="C8" s="787"/>
      <c r="D8" s="788"/>
      <c r="E8" s="783" t="s">
        <v>639</v>
      </c>
      <c r="F8" s="784">
        <f ca="1">INDIRECT("'数据-取费表'!ai"&amp;$G$1)</f>
        <v>365</v>
      </c>
      <c r="G8" s="1591"/>
      <c r="H8" s="2487"/>
      <c r="I8" s="3573"/>
      <c r="J8" s="787"/>
      <c r="K8" s="788"/>
      <c r="L8" s="783" t="s">
        <v>639</v>
      </c>
      <c r="M8" s="784">
        <f ca="1">INDIRECT("'数据-取费表'!ai"&amp;$G$1)</f>
        <v>365</v>
      </c>
    </row>
    <row r="9" spans="1:33" ht="18" customHeight="1">
      <c r="A9" s="785"/>
      <c r="B9" s="3574"/>
      <c r="C9" s="787"/>
      <c r="D9" s="788"/>
      <c r="E9" s="783" t="s">
        <v>640</v>
      </c>
      <c r="F9" s="793">
        <f ca="1">INDIRECT("'数据-取费表'!w"&amp;$G$1)</f>
        <v>0</v>
      </c>
      <c r="G9" s="1591"/>
      <c r="H9" s="2503"/>
      <c r="I9" s="3573"/>
      <c r="J9" s="787"/>
      <c r="K9" s="788"/>
      <c r="L9" s="794" t="s">
        <v>640</v>
      </c>
      <c r="M9" s="795">
        <f ca="1">INDIRECT("'数据-取费表'!ab"&amp;$G$1)</f>
        <v>0</v>
      </c>
    </row>
    <row r="10" spans="1:33" ht="18" customHeight="1">
      <c r="A10" s="1828" t="s">
        <v>1826</v>
      </c>
      <c r="B10" s="2492" t="s">
        <v>2457</v>
      </c>
      <c r="C10" s="798">
        <f ca="1">ROUND(IF(F10="押一",C6/12*F11,IF(F10="押二",C6/12*2*F11,IF(F10="押三",C6/12*3*F11,C11*F11))),0)</f>
        <v>0</v>
      </c>
      <c r="D10" s="2499" t="s">
        <v>2962</v>
      </c>
      <c r="E10" s="2496" t="s">
        <v>2462</v>
      </c>
      <c r="F10" s="2619" t="s">
        <v>3234</v>
      </c>
      <c r="G10" s="1591"/>
      <c r="H10" s="2559" t="s">
        <v>1826</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2454</v>
      </c>
      <c r="F11" s="795">
        <f ca="1">'数据-取费表'!B39</f>
        <v>1.4999999999999999E-2</v>
      </c>
      <c r="G11" s="1591"/>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1"/>
      <c r="H12" s="2549" t="s">
        <v>2465</v>
      </c>
      <c r="I12" s="2562" t="s">
        <v>2458</v>
      </c>
      <c r="J12" s="2563"/>
      <c r="K12" s="2538"/>
      <c r="L12" s="2539"/>
      <c r="M12" s="2552"/>
    </row>
    <row r="13" spans="1:33" ht="18" customHeight="1" thickTop="1">
      <c r="A13" s="1827">
        <v>2</v>
      </c>
      <c r="B13" s="1825" t="s">
        <v>644</v>
      </c>
      <c r="C13" s="791">
        <f ca="1">ROUND(C29*F13,0)</f>
        <v>0</v>
      </c>
      <c r="D13" s="1832" t="s">
        <v>2297</v>
      </c>
      <c r="E13" s="1832" t="s">
        <v>643</v>
      </c>
      <c r="F13" s="2534">
        <f ca="1">INDIRECT("'数据-取费表'!y"&amp;$G$1)</f>
        <v>1</v>
      </c>
      <c r="G13" s="1591"/>
      <c r="H13" s="1827">
        <v>2</v>
      </c>
      <c r="I13" s="1825" t="s">
        <v>644</v>
      </c>
      <c r="J13" s="1817">
        <f ca="1">ROUND(J14*J15,0)</f>
        <v>0</v>
      </c>
      <c r="K13" s="1819" t="s">
        <v>642</v>
      </c>
      <c r="L13" s="2550"/>
      <c r="M13" s="2551"/>
    </row>
    <row r="14" spans="1:33" ht="18" customHeight="1">
      <c r="A14" s="1647" t="s">
        <v>1832</v>
      </c>
      <c r="B14" s="783" t="s">
        <v>645</v>
      </c>
      <c r="C14" s="803">
        <f ca="1">INDIRECT("'数据-取费表'!m"&amp;$G$1)+INDIRECT("'数据-取费表'!t"&amp;$G$1)</f>
        <v>0</v>
      </c>
      <c r="D14" s="3211" t="s">
        <v>646</v>
      </c>
      <c r="E14" s="3210"/>
      <c r="F14" s="804"/>
      <c r="G14" s="1591"/>
      <c r="H14" s="1648" t="s">
        <v>1825</v>
      </c>
      <c r="I14" s="2229" t="s">
        <v>2822</v>
      </c>
      <c r="J14" s="53">
        <f ca="1">C29</f>
        <v>0</v>
      </c>
      <c r="K14" s="26"/>
      <c r="L14" s="800"/>
      <c r="M14" s="801"/>
    </row>
    <row r="15" spans="1:33" s="2062" customFormat="1" ht="18" customHeight="1" thickBot="1">
      <c r="A15" s="1647" t="s">
        <v>1833</v>
      </c>
      <c r="B15" s="783" t="s">
        <v>647</v>
      </c>
      <c r="C15" s="53">
        <f ca="1">ROUND(C14*F15,0)</f>
        <v>0</v>
      </c>
      <c r="D15" s="805" t="s">
        <v>648</v>
      </c>
      <c r="E15" s="805" t="s">
        <v>649</v>
      </c>
      <c r="F15" s="806">
        <f>'数据-取费表'!B33</f>
        <v>0.03</v>
      </c>
      <c r="G15" s="1592"/>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1834</v>
      </c>
      <c r="B16" s="783" t="s">
        <v>650</v>
      </c>
      <c r="C16" s="53">
        <f ca="1">ROUND(INDIRECT("'数据-取费表'!m"&amp;$G$1)*F16,0)</f>
        <v>0</v>
      </c>
      <c r="D16" s="783" t="s">
        <v>648</v>
      </c>
      <c r="E16" s="783" t="s">
        <v>649</v>
      </c>
      <c r="F16" s="808">
        <f ca="1">IF(INDIRECT("'数据-取费表'!c"&amp;$G$1)="住宅",'数据-取费表'!B34,0)</f>
        <v>0</v>
      </c>
      <c r="G16" s="1591"/>
      <c r="H16" s="1827" t="s">
        <v>7</v>
      </c>
      <c r="I16" s="1825" t="s">
        <v>651</v>
      </c>
      <c r="J16" s="791">
        <f ca="1">ROUND(J17+J22+J23+J24,0)</f>
        <v>0</v>
      </c>
      <c r="K16" s="1819" t="s">
        <v>652</v>
      </c>
      <c r="L16" s="3213"/>
      <c r="M16" s="2489"/>
    </row>
    <row r="17" spans="1:33" s="2062" customFormat="1" ht="18" customHeight="1">
      <c r="A17" s="1647" t="s">
        <v>1888</v>
      </c>
      <c r="B17" s="783" t="s">
        <v>653</v>
      </c>
      <c r="C17" s="53">
        <f ca="1">ROUND(F17*(F43+INDIRECT("'数据-取费表'!S"&amp;$G$1))/10000,0)</f>
        <v>0</v>
      </c>
      <c r="D17" s="783" t="s">
        <v>654</v>
      </c>
      <c r="E17" s="783" t="s">
        <v>655</v>
      </c>
      <c r="F17" s="56">
        <f>'数据-取费表'!B35</f>
        <v>200</v>
      </c>
      <c r="G17" s="1592"/>
      <c r="H17" s="1648" t="s">
        <v>1825</v>
      </c>
      <c r="I17" s="783" t="s">
        <v>656</v>
      </c>
      <c r="J17" s="53">
        <f ca="1">ROUND(IF(项目基本情况!B11="自然人",J5*M17,J18+J19+J20),0)</f>
        <v>0</v>
      </c>
      <c r="K17" s="3211" t="s">
        <v>657</v>
      </c>
      <c r="L17" s="3212" t="s">
        <v>658</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0</v>
      </c>
      <c r="D18" s="783" t="s">
        <v>648</v>
      </c>
      <c r="E18" s="783" t="s">
        <v>649</v>
      </c>
      <c r="F18" s="808">
        <f>'数据-取费表'!B36</f>
        <v>1.4999999999999999E-2</v>
      </c>
      <c r="G18" s="1592"/>
      <c r="H18" s="1647" t="s">
        <v>1832</v>
      </c>
      <c r="I18" s="783" t="s">
        <v>660</v>
      </c>
      <c r="J18" s="53">
        <f ca="1">ROUND(J5*M18/1.05,1)</f>
        <v>0</v>
      </c>
      <c r="K18" s="3212" t="s">
        <v>661</v>
      </c>
      <c r="L18" s="783" t="s">
        <v>649</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1825</v>
      </c>
      <c r="B19" s="783" t="s">
        <v>662</v>
      </c>
      <c r="C19" s="53">
        <f ca="1">SUM(C14:C18)</f>
        <v>0</v>
      </c>
      <c r="D19" s="260" t="s">
        <v>663</v>
      </c>
      <c r="E19" s="3214"/>
      <c r="F19" s="56"/>
      <c r="G19" s="1591"/>
      <c r="H19" s="1647" t="s">
        <v>1833</v>
      </c>
      <c r="I19" s="783" t="s">
        <v>664</v>
      </c>
      <c r="J19" s="53">
        <f ca="1">IF(K19="按租金收入计税",ROUND(J5*M19,1),ROUND(C29*F33*0.7,1))</f>
        <v>0</v>
      </c>
      <c r="K19" s="810" t="s">
        <v>665</v>
      </c>
      <c r="L19" s="783" t="s">
        <v>649</v>
      </c>
      <c r="M19" s="808">
        <f>IF(K19="按租金收入计税",'数据-取费表'!B51,'数据-取费表'!B50)</f>
        <v>1.2E-2</v>
      </c>
    </row>
    <row r="20" spans="1:33" s="2062" customFormat="1" ht="18" customHeight="1">
      <c r="A20" s="1648" t="s">
        <v>1890</v>
      </c>
      <c r="B20" s="783" t="s">
        <v>666</v>
      </c>
      <c r="C20" s="53">
        <f ca="1">ROUND(C19*F20,0)</f>
        <v>0</v>
      </c>
      <c r="D20" s="811" t="s">
        <v>667</v>
      </c>
      <c r="E20" s="783" t="s">
        <v>649</v>
      </c>
      <c r="F20" s="808">
        <f>'数据-取费表'!B37</f>
        <v>0.02</v>
      </c>
      <c r="G20" s="1592"/>
      <c r="H20" s="1650" t="s">
        <v>1881</v>
      </c>
      <c r="I20" s="340" t="s">
        <v>668</v>
      </c>
      <c r="J20" s="54">
        <f ca="1">ROUND(M20*M21/10000,0)</f>
        <v>0</v>
      </c>
      <c r="K20" s="813" t="s">
        <v>669</v>
      </c>
      <c r="L20" s="783" t="s">
        <v>670</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671</v>
      </c>
      <c r="C21" s="53" t="s">
        <v>1</v>
      </c>
      <c r="D21" s="811" t="s">
        <v>2298</v>
      </c>
      <c r="E21" s="783" t="s">
        <v>673</v>
      </c>
      <c r="F21" s="808">
        <f>'数据-取费表'!B38</f>
        <v>0.02</v>
      </c>
      <c r="G21" s="1592"/>
      <c r="H21" s="2504"/>
      <c r="I21" s="792"/>
      <c r="J21" s="69"/>
      <c r="K21" s="815"/>
      <c r="L21" s="783" t="s">
        <v>674</v>
      </c>
      <c r="M21" s="784">
        <f ca="1">INDIRECT("'数据-取费表'!r"&amp;$G$1)</f>
        <v>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675</v>
      </c>
      <c r="C22" s="53"/>
      <c r="D22" s="2570" t="str">
        <f>IF(F23&lt;=1,"单利计息。","复利计息。")&amp;"建造成本、管理费用、销售费用产生的利息。"</f>
        <v>复利计息。建造成本、管理费用、销售费用产生的利息。</v>
      </c>
      <c r="E22" s="3214"/>
      <c r="F22" s="56"/>
      <c r="G22" s="1591"/>
      <c r="H22" s="1648" t="s">
        <v>1890</v>
      </c>
      <c r="I22" s="783" t="s">
        <v>676</v>
      </c>
      <c r="J22" s="53">
        <f ca="1">ROUND(J14*M22,0)</f>
        <v>0</v>
      </c>
      <c r="K22" s="3212" t="s">
        <v>677</v>
      </c>
      <c r="L22" s="783" t="s">
        <v>649</v>
      </c>
      <c r="M22" s="816">
        <f ca="1">INDIRECT("'数据-取费表'!Ak"&amp;$G$1)</f>
        <v>0</v>
      </c>
    </row>
    <row r="23" spans="1:33" s="2062" customFormat="1" ht="18" customHeight="1">
      <c r="A23" s="1647" t="s">
        <v>1832</v>
      </c>
      <c r="B23" s="783" t="s">
        <v>2435</v>
      </c>
      <c r="C23" s="53">
        <f ca="1">ROUND(IF('数据-取费表'!B22&lt;=1,(C19+C20)*F24*F23/2,(C19+C20)*(POWER((1+F24),F23/2)-1)),0)</f>
        <v>0</v>
      </c>
      <c r="D23" s="2569" t="str">
        <f>IF(F23&lt;=1,"(建造成本+管理费用)×利率×(建设周期÷2)","(建造成本+管理费用)×((1+利率)^(建设周期÷2)-1)")</f>
        <v>(建造成本+管理费用)×((1+利率)^(建设周期÷2)-1)</v>
      </c>
      <c r="E23" s="783" t="s">
        <v>678</v>
      </c>
      <c r="F23" s="639">
        <f>'数据-取费表'!B20</f>
        <v>2</v>
      </c>
      <c r="G23" s="1592"/>
      <c r="H23" s="1648" t="s">
        <v>1891</v>
      </c>
      <c r="I23" s="783" t="s">
        <v>679</v>
      </c>
      <c r="J23" s="53">
        <f ca="1">ROUND(J13*M23,0)</f>
        <v>0</v>
      </c>
      <c r="K23" s="3212" t="s">
        <v>680</v>
      </c>
      <c r="L23" s="783" t="s">
        <v>649</v>
      </c>
      <c r="M23" s="817">
        <f ca="1">INDIRECT("'数据-取费表'!Al"&amp;$G$1)</f>
        <v>0</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681</v>
      </c>
      <c r="C24" s="53">
        <f ca="1">ROUND(IF('数据-取费表'!B22&lt;=1,F21*F24*F23/2,F21*(POWER((1+F24),F23/2)-1)),4)</f>
        <v>1E-3</v>
      </c>
      <c r="D24" s="2569" t="str">
        <f>IF(F23&lt;=1,"销售费用×利率×(建设周期÷2)","销售费用×((1+利率)^(建设周期÷2)-1)")</f>
        <v>销售费用×((1+利率)^(建设周期÷2)-1)</v>
      </c>
      <c r="E24" s="783" t="s">
        <v>682</v>
      </c>
      <c r="F24" s="818">
        <f ca="1">'数据-取费表'!B40</f>
        <v>4.7500000000000001E-2</v>
      </c>
      <c r="G24" s="1592"/>
      <c r="H24" s="2549" t="s">
        <v>1892</v>
      </c>
      <c r="I24" s="2544" t="s">
        <v>666</v>
      </c>
      <c r="J24" s="2542">
        <f ca="1">ROUND(J5*M24,0)</f>
        <v>0</v>
      </c>
      <c r="K24" s="2543" t="s">
        <v>683</v>
      </c>
      <c r="L24" s="2544" t="s">
        <v>649</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685</v>
      </c>
      <c r="E25" s="3214"/>
      <c r="F25" s="56"/>
      <c r="G25" s="1591"/>
      <c r="H25" s="1827" t="s">
        <v>1777</v>
      </c>
      <c r="I25" s="3007" t="s">
        <v>2819</v>
      </c>
      <c r="J25" s="791">
        <f ca="1">J5-J16</f>
        <v>0</v>
      </c>
      <c r="K25" s="2546" t="s">
        <v>700</v>
      </c>
      <c r="L25" s="2547"/>
      <c r="M25" s="2548"/>
    </row>
    <row r="26" spans="1:33" ht="18" customHeight="1">
      <c r="A26" s="1647" t="s">
        <v>1832</v>
      </c>
      <c r="B26" s="783" t="s">
        <v>2436</v>
      </c>
      <c r="C26" s="53">
        <f ca="1">ROUND((C19+C20)*F26,0)</f>
        <v>0</v>
      </c>
      <c r="D26" s="811" t="s">
        <v>701</v>
      </c>
      <c r="E26" s="794" t="s">
        <v>702</v>
      </c>
      <c r="F26" s="793">
        <f ca="1">INDIRECT("'数据-取费表'!q"&amp;$G$1)</f>
        <v>0.15</v>
      </c>
      <c r="G26" s="1591"/>
      <c r="H26" s="2500" t="s">
        <v>1781</v>
      </c>
      <c r="I26" s="2230" t="s">
        <v>2824</v>
      </c>
      <c r="J26" s="782">
        <f ca="1">IF(J5&lt;&gt;0,ROUND(J25*(1-((1+M28)/(1+M26))^M27)/(M26-M28),0),0)</f>
        <v>0</v>
      </c>
      <c r="K26" s="813" t="s">
        <v>704</v>
      </c>
      <c r="L26" s="783" t="s">
        <v>2417</v>
      </c>
      <c r="M26" s="793">
        <f ca="1">INDIRECT("'数据-取费表'!I"&amp;$G$1)</f>
        <v>5.5E-2</v>
      </c>
    </row>
    <row r="27" spans="1:33" ht="18" customHeight="1">
      <c r="A27" s="1647" t="s">
        <v>1833</v>
      </c>
      <c r="B27" s="783" t="s">
        <v>686</v>
      </c>
      <c r="C27" s="53">
        <f ca="1">ROUND(F21*F26,4)</f>
        <v>3.0000000000000001E-3</v>
      </c>
      <c r="D27" s="811" t="s">
        <v>706</v>
      </c>
      <c r="E27" s="805"/>
      <c r="F27" s="806"/>
      <c r="G27" s="1591"/>
      <c r="H27" s="2501"/>
      <c r="I27" s="786"/>
      <c r="J27" s="787"/>
      <c r="K27" s="820" t="s">
        <v>707</v>
      </c>
      <c r="L27" s="783" t="s">
        <v>708</v>
      </c>
      <c r="M27" s="821">
        <f ca="1">INDIRECT("'数据-取费表'!ag"&amp;$G$1)</f>
        <v>0</v>
      </c>
    </row>
    <row r="28" spans="1:33" s="2062" customFormat="1" ht="18" customHeight="1">
      <c r="A28" s="1649" t="s">
        <v>1842</v>
      </c>
      <c r="B28" s="783" t="s">
        <v>687</v>
      </c>
      <c r="C28" s="53">
        <f>ROUND(F28/(1+'数据-取费表'!C42),4)</f>
        <v>5.2400000000000002E-2</v>
      </c>
      <c r="D28" s="811" t="s">
        <v>2299</v>
      </c>
      <c r="E28" s="783" t="s">
        <v>649</v>
      </c>
      <c r="F28" s="808">
        <f>'数据-取费表'!B41</f>
        <v>5.5000000000000007E-2</v>
      </c>
      <c r="G28" s="1592"/>
      <c r="H28" s="1827"/>
      <c r="I28" s="790"/>
      <c r="J28" s="791"/>
      <c r="K28" s="815"/>
      <c r="L28" s="783" t="s">
        <v>710</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0</v>
      </c>
      <c r="D29" s="2543"/>
      <c r="E29" s="2544"/>
      <c r="F29" s="2545"/>
      <c r="G29" s="1592"/>
      <c r="H29" s="822" t="s">
        <v>1788</v>
      </c>
      <c r="I29" s="823" t="s">
        <v>1789</v>
      </c>
      <c r="J29" s="824">
        <f ca="1">ROUND(J26/(1+F40)^F41,0)</f>
        <v>0</v>
      </c>
      <c r="K29" s="825" t="s">
        <v>1790</v>
      </c>
      <c r="L29" s="826"/>
      <c r="M29" s="827">
        <f ca="1">INDIRECT("'数据-取费表'!k"&amp;$G$1)</f>
        <v>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1">
        <f ca="1">ROUND(C31+C36+C37+C38,0)</f>
        <v>0</v>
      </c>
      <c r="D30" s="1819" t="s">
        <v>652</v>
      </c>
      <c r="E30" s="3213"/>
      <c r="F30" s="2489"/>
      <c r="G30" s="2060"/>
      <c r="H30" s="2063"/>
      <c r="I30" s="2064"/>
      <c r="J30" s="2065"/>
      <c r="K30" s="2066"/>
      <c r="L30" s="2067"/>
      <c r="M30" s="2068"/>
    </row>
    <row r="31" spans="1:33" ht="18" customHeight="1">
      <c r="A31" s="1648" t="s">
        <v>1825</v>
      </c>
      <c r="B31" s="783" t="s">
        <v>656</v>
      </c>
      <c r="C31" s="53">
        <f ca="1">ROUND(IF(项目基本情况!B11="自然人",C5*F31,C32+C33+C34),1)</f>
        <v>0</v>
      </c>
      <c r="D31" s="3211" t="s">
        <v>657</v>
      </c>
      <c r="E31" s="3212"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660</v>
      </c>
      <c r="C32" s="53">
        <f ca="1">ROUND(C5*F32/1.05,1)</f>
        <v>0</v>
      </c>
      <c r="D32" s="3212" t="s">
        <v>661</v>
      </c>
      <c r="E32" s="783" t="s">
        <v>649</v>
      </c>
      <c r="F32" s="808">
        <f>'数据-取费表'!B41</f>
        <v>5.5000000000000007E-2</v>
      </c>
      <c r="G32" s="2060"/>
      <c r="H32" s="2069"/>
      <c r="I32" s="2070"/>
      <c r="J32" s="2071"/>
      <c r="K32" s="2072"/>
      <c r="L32" s="2073"/>
      <c r="M32" s="2074"/>
    </row>
    <row r="33" spans="1:18" ht="18" customHeight="1">
      <c r="A33" s="1647" t="s">
        <v>1833</v>
      </c>
      <c r="B33" s="783" t="s">
        <v>664</v>
      </c>
      <c r="C33" s="53">
        <f ca="1">IF(D33="按租金收入计税",ROUND(C5*F33,1),IF(D33="按房产原值计税",ROUND(C29*F33*0.7,1),INDIRECT("'数据-取费表'!Aj"&amp;$G$1)))</f>
        <v>0</v>
      </c>
      <c r="D33" s="810" t="s">
        <v>3235</v>
      </c>
      <c r="E33" s="783" t="s">
        <v>649</v>
      </c>
      <c r="F33" s="808">
        <f>IF(D33="按租金收入计税",'数据-取费表'!B51,'数据-取费表'!B50)</f>
        <v>0.12</v>
      </c>
      <c r="G33" s="2060"/>
      <c r="H33" s="2075"/>
      <c r="I33" s="2075"/>
      <c r="J33" s="2075"/>
      <c r="K33" s="2076"/>
      <c r="L33" s="2075"/>
      <c r="M33" s="2075"/>
    </row>
    <row r="34" spans="1:18" ht="18" customHeight="1">
      <c r="A34" s="1650" t="s">
        <v>1834</v>
      </c>
      <c r="B34" s="340" t="s">
        <v>668</v>
      </c>
      <c r="C34" s="3216">
        <f ca="1">ROUND(F34*F35/10000,1)</f>
        <v>0</v>
      </c>
      <c r="D34" s="813" t="s">
        <v>669</v>
      </c>
      <c r="E34" s="783" t="s">
        <v>670</v>
      </c>
      <c r="F34" s="639">
        <f>'数据-取费表'!B52</f>
        <v>1.5</v>
      </c>
      <c r="G34" s="2060"/>
      <c r="H34" s="2063"/>
      <c r="I34" s="834" t="s">
        <v>1814</v>
      </c>
      <c r="J34" s="835"/>
      <c r="K34" s="2078"/>
      <c r="L34" s="2077"/>
      <c r="M34" s="2077"/>
    </row>
    <row r="35" spans="1:18" ht="18" customHeight="1">
      <c r="A35" s="814"/>
      <c r="B35" s="792"/>
      <c r="C35" s="69"/>
      <c r="D35" s="815"/>
      <c r="E35" s="783" t="s">
        <v>674</v>
      </c>
      <c r="F35" s="784">
        <f ca="1">INDIRECT("'数据-取费表'!r"&amp;$G$1)</f>
        <v>0</v>
      </c>
      <c r="G35" s="2060"/>
      <c r="H35" s="2063"/>
      <c r="I35" s="836" t="s">
        <v>1815</v>
      </c>
      <c r="J35" s="837">
        <f ca="1">ROUND(C13*J36,0)</f>
        <v>0</v>
      </c>
      <c r="K35" s="2076"/>
      <c r="L35" s="2075"/>
      <c r="M35" s="2075"/>
    </row>
    <row r="36" spans="1:18" ht="18" customHeight="1">
      <c r="A36" s="1648" t="s">
        <v>1890</v>
      </c>
      <c r="B36" s="783" t="s">
        <v>676</v>
      </c>
      <c r="C36" s="53">
        <f ca="1">ROUND(C29*F36,1)</f>
        <v>0</v>
      </c>
      <c r="D36" s="3212" t="s">
        <v>691</v>
      </c>
      <c r="E36" s="783" t="s">
        <v>649</v>
      </c>
      <c r="F36" s="816">
        <f ca="1">INDIRECT("'数据-取费表'!Ak"&amp;$G$1)</f>
        <v>0</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0</v>
      </c>
      <c r="D37" s="3212" t="s">
        <v>680</v>
      </c>
      <c r="E37" s="783" t="s">
        <v>649</v>
      </c>
      <c r="F37" s="817">
        <f ca="1">INDIRECT("'数据-取费表'!Al"&amp;$G$1)</f>
        <v>0</v>
      </c>
      <c r="G37" s="2060"/>
      <c r="H37" s="2075"/>
      <c r="I37" s="840" t="s">
        <v>1817</v>
      </c>
      <c r="J37" s="841"/>
      <c r="K37" s="2080"/>
      <c r="L37" s="2075"/>
      <c r="M37" s="2075"/>
    </row>
    <row r="38" spans="1:18" ht="18" customHeight="1" thickBot="1">
      <c r="A38" s="2549" t="s">
        <v>1892</v>
      </c>
      <c r="B38" s="2544" t="s">
        <v>666</v>
      </c>
      <c r="C38" s="2542">
        <f ca="1">ROUND(C5*F38,1)</f>
        <v>0</v>
      </c>
      <c r="D38" s="2543" t="s">
        <v>683</v>
      </c>
      <c r="E38" s="2544" t="s">
        <v>649</v>
      </c>
      <c r="F38" s="2540">
        <f ca="1">INDIRECT("'数据-取费表'!Am"&amp;$G$1)</f>
        <v>1.4999999999999999E-2</v>
      </c>
      <c r="G38" s="2060"/>
      <c r="H38" s="2075"/>
      <c r="I38" s="842" t="s">
        <v>1818</v>
      </c>
      <c r="J38" s="843"/>
      <c r="K38" s="2081"/>
      <c r="L38" s="2075"/>
      <c r="M38" s="2075"/>
    </row>
    <row r="39" spans="1:18" ht="24.6" customHeight="1" thickTop="1">
      <c r="A39" s="1827" t="s">
        <v>1777</v>
      </c>
      <c r="B39" s="3007" t="s">
        <v>2819</v>
      </c>
      <c r="C39" s="791">
        <f ca="1">C5-C30</f>
        <v>0</v>
      </c>
      <c r="D39" s="2546" t="s">
        <v>700</v>
      </c>
      <c r="E39" s="2547"/>
      <c r="F39" s="2548"/>
      <c r="G39" s="2060"/>
      <c r="H39" s="2075"/>
      <c r="I39" s="836" t="s">
        <v>1819</v>
      </c>
      <c r="J39" s="844" t="e">
        <f ca="1">ROUND(J35/C39,3)</f>
        <v>#DIV/0!</v>
      </c>
      <c r="K39" s="2081"/>
      <c r="L39" s="2075"/>
      <c r="M39" s="2075"/>
    </row>
    <row r="40" spans="1:18" ht="18" customHeight="1">
      <c r="A40" s="780" t="s">
        <v>1781</v>
      </c>
      <c r="B40" s="2230" t="s">
        <v>2301</v>
      </c>
      <c r="C40" s="782">
        <f ca="1">ROUND(C39*(1-((1+F42)/(1+F40))^F41)/(F40-F42),0)</f>
        <v>0</v>
      </c>
      <c r="D40" s="813" t="s">
        <v>704</v>
      </c>
      <c r="E40" s="783" t="s">
        <v>2417</v>
      </c>
      <c r="F40" s="793">
        <f ca="1">INDIRECT("'数据-取费表'!I"&amp;$G$1)</f>
        <v>5.5E-2</v>
      </c>
      <c r="G40" s="2060"/>
      <c r="H40" s="2060"/>
      <c r="I40" s="836" t="s">
        <v>1820</v>
      </c>
      <c r="J40" s="844" t="e">
        <f ca="1">1-J39</f>
        <v>#DIV/0!</v>
      </c>
      <c r="K40" s="2081"/>
      <c r="L40" s="2060"/>
      <c r="M40" s="2060"/>
    </row>
    <row r="41" spans="1:18" ht="18" customHeight="1">
      <c r="A41" s="785"/>
      <c r="B41" s="786"/>
      <c r="C41" s="787"/>
      <c r="D41" s="820" t="s">
        <v>1809</v>
      </c>
      <c r="E41" s="783" t="s">
        <v>708</v>
      </c>
      <c r="F41" s="821">
        <f ca="1">IF(INDIRECT("'数据-取费表'!af"&amp;$G$1)=0,INDIRECT("'数据-取费表'!ae"&amp;$G$1),INDIRECT("'数据-取费表'!af"&amp;$G$1))</f>
        <v>36.65</v>
      </c>
      <c r="G41" s="2060"/>
      <c r="H41" s="1986"/>
      <c r="I41" s="842" t="s">
        <v>1821</v>
      </c>
      <c r="J41" s="845"/>
      <c r="K41" s="2080"/>
      <c r="L41" s="1986"/>
      <c r="M41" s="1986"/>
    </row>
    <row r="42" spans="1:18" ht="18" customHeight="1">
      <c r="A42" s="789"/>
      <c r="B42" s="790"/>
      <c r="C42" s="791"/>
      <c r="D42" s="815"/>
      <c r="E42" s="783" t="s">
        <v>710</v>
      </c>
      <c r="F42" s="793">
        <f ca="1">INDIRECT("'数据-取费表'!v"&amp;$G$1)</f>
        <v>0</v>
      </c>
      <c r="G42" s="2060"/>
      <c r="H42" s="1986"/>
      <c r="I42" s="846" t="s">
        <v>1822</v>
      </c>
      <c r="J42" s="844" t="e">
        <f ca="1">ROUND(C13/C40,3)</f>
        <v>#DIV/0!</v>
      </c>
      <c r="K42" s="2080"/>
      <c r="L42" s="1986"/>
      <c r="M42" s="1986"/>
    </row>
    <row r="43" spans="1:18" ht="18" customHeight="1" thickBot="1">
      <c r="A43" s="822" t="s">
        <v>1788</v>
      </c>
      <c r="B43" s="823" t="s">
        <v>1811</v>
      </c>
      <c r="C43" s="824" t="e">
        <f ca="1">ROUND(C40*10000/F43,0)</f>
        <v>#DIV/0!</v>
      </c>
      <c r="D43" s="825" t="s">
        <v>1812</v>
      </c>
      <c r="E43" s="826" t="s">
        <v>1813</v>
      </c>
      <c r="F43" s="827">
        <f ca="1">INDIRECT("'数据-取费表'!k"&amp;$G$1)</f>
        <v>0</v>
      </c>
      <c r="G43" s="2060"/>
      <c r="H43" s="1986"/>
      <c r="I43" s="846" t="s">
        <v>1823</v>
      </c>
      <c r="J43" s="847"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0</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40</v>
      </c>
      <c r="M47" s="1603"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38.65</v>
      </c>
      <c r="O48" s="2396" t="s">
        <v>2377</v>
      </c>
      <c r="P48" s="2397" t="s">
        <v>2403</v>
      </c>
      <c r="Q48" s="2398">
        <f ca="1">C40+J29</f>
        <v>0</v>
      </c>
      <c r="R48" s="2397" t="s">
        <v>2378</v>
      </c>
    </row>
    <row r="49" spans="1:18" s="2057" customFormat="1" ht="18" customHeight="1" thickBot="1">
      <c r="A49" s="785"/>
      <c r="B49" s="786"/>
      <c r="C49" s="787"/>
      <c r="D49" s="788"/>
      <c r="E49" s="783" t="s">
        <v>638</v>
      </c>
      <c r="F49" s="784">
        <f ca="1">F7</f>
        <v>0</v>
      </c>
      <c r="G49" s="2088"/>
      <c r="H49" s="2091"/>
      <c r="I49" s="3121" t="s">
        <v>2344</v>
      </c>
      <c r="J49" s="2381">
        <v>2020</v>
      </c>
      <c r="K49" s="3154" t="s">
        <v>2350</v>
      </c>
      <c r="L49" s="2382"/>
      <c r="O49" s="2396" t="s">
        <v>2379</v>
      </c>
      <c r="P49" s="2397" t="s">
        <v>2404</v>
      </c>
      <c r="Q49" s="2398">
        <f ca="1">J60</f>
        <v>0</v>
      </c>
      <c r="R49" s="2397" t="s">
        <v>2380</v>
      </c>
    </row>
    <row r="50" spans="1:18" s="2057" customFormat="1" ht="18" customHeight="1" thickBot="1">
      <c r="A50" s="785"/>
      <c r="B50" s="786"/>
      <c r="C50" s="787"/>
      <c r="D50" s="788"/>
      <c r="E50" s="783" t="s">
        <v>639</v>
      </c>
      <c r="F50" s="784">
        <f ca="1">F8</f>
        <v>365</v>
      </c>
      <c r="G50" s="2093"/>
      <c r="H50" s="2091"/>
      <c r="I50" s="3121" t="s">
        <v>2345</v>
      </c>
      <c r="J50" s="3149">
        <f>SUMPRODUCT((I63:I65=J47)*(J62:L62=J48)*(J63:L65))</f>
        <v>60</v>
      </c>
      <c r="K50" s="3154" t="s">
        <v>2351</v>
      </c>
      <c r="L50" s="2382"/>
      <c r="O50" s="2399" t="s">
        <v>2381</v>
      </c>
      <c r="P50" s="2397" t="s">
        <v>2405</v>
      </c>
      <c r="Q50" s="2398">
        <f ca="1">C29</f>
        <v>0</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0</v>
      </c>
      <c r="O51" s="2399" t="s">
        <v>2382</v>
      </c>
      <c r="P51" s="2397" t="s">
        <v>2383</v>
      </c>
      <c r="Q51" s="2400">
        <f ca="1">J58</f>
        <v>0.4</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36.65</v>
      </c>
      <c r="K53" s="3587" t="s">
        <v>2954</v>
      </c>
      <c r="L53" s="3588"/>
      <c r="O53" s="2399" t="s">
        <v>2386</v>
      </c>
      <c r="P53" s="2397" t="s">
        <v>2387</v>
      </c>
      <c r="Q53" s="2398">
        <f ca="1">J53</f>
        <v>36.65</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0</v>
      </c>
      <c r="R54" s="2401" t="s">
        <v>2390</v>
      </c>
    </row>
    <row r="55" spans="1:18" s="2057" customFormat="1" ht="18" customHeight="1" thickTop="1" thickBot="1">
      <c r="A55" s="796">
        <v>2</v>
      </c>
      <c r="B55" s="797" t="s">
        <v>644</v>
      </c>
      <c r="C55" s="798">
        <f ca="1">C13</f>
        <v>0</v>
      </c>
      <c r="D55" s="794"/>
      <c r="E55" s="794"/>
      <c r="F55" s="799"/>
      <c r="I55" s="3160" t="s">
        <v>2353</v>
      </c>
      <c r="J55" s="3096">
        <f ca="1">ROUND(IF(J47="钢混",J57/J50,1-(1-2%)*(J50-J57)/J50),3)</f>
        <v>0.38900000000000001</v>
      </c>
      <c r="K55" s="3161" t="s">
        <v>2354</v>
      </c>
      <c r="L55" s="2384"/>
      <c r="O55" s="2402" t="s">
        <v>2409</v>
      </c>
      <c r="P55" s="1591"/>
      <c r="Q55" s="1603"/>
      <c r="R55" s="1591"/>
    </row>
    <row r="56" spans="1:18" s="2057" customFormat="1" ht="42.75" customHeight="1" thickBot="1">
      <c r="A56" s="1649"/>
      <c r="B56" s="2229" t="s">
        <v>2300</v>
      </c>
      <c r="C56" s="53">
        <f ca="1">C29</f>
        <v>0</v>
      </c>
      <c r="D56" s="3212"/>
      <c r="E56" s="783"/>
      <c r="F56" s="808"/>
      <c r="I56" s="3162" t="s">
        <v>2355</v>
      </c>
      <c r="J56" s="3172"/>
      <c r="K56" s="3121" t="s">
        <v>2360</v>
      </c>
      <c r="L56" s="1906" t="str">
        <f ca="1">IF(L48&lt;J51,"——",L48-J51)</f>
        <v>——</v>
      </c>
      <c r="O56" s="2393" t="s">
        <v>2373</v>
      </c>
      <c r="P56" s="2394" t="s">
        <v>2374</v>
      </c>
      <c r="Q56" s="2395" t="s">
        <v>2375</v>
      </c>
      <c r="R56" s="2394" t="s">
        <v>2376</v>
      </c>
    </row>
    <row r="57" spans="1:18" s="2057" customFormat="1" ht="28.5" customHeight="1" thickBot="1">
      <c r="A57" s="796" t="s">
        <v>7</v>
      </c>
      <c r="B57" s="797" t="s">
        <v>651</v>
      </c>
      <c r="C57" s="798">
        <f ca="1">ROUND(C58+C63+C64+C65,0)</f>
        <v>0</v>
      </c>
      <c r="D57" s="26" t="s">
        <v>652</v>
      </c>
      <c r="E57" s="3214"/>
      <c r="F57" s="56"/>
      <c r="I57" s="3163" t="s">
        <v>2356</v>
      </c>
      <c r="J57" s="3164">
        <f ca="1">IF(OR(M47="住宅",J51&lt;L48,J56="是"),"——",J51-L48)</f>
        <v>23.35</v>
      </c>
      <c r="K57" s="3121" t="s">
        <v>2361</v>
      </c>
      <c r="L57" s="1906" t="str">
        <f ca="1">IF(L48&lt;J51,"——",IF(L55="比较法",L49,IF(L55="基准地价",L50,L51)))</f>
        <v>——</v>
      </c>
      <c r="O57" s="2396" t="s">
        <v>2377</v>
      </c>
      <c r="P57" s="2397" t="s">
        <v>2403</v>
      </c>
      <c r="Q57" s="2398">
        <f ca="1">C40+J29</f>
        <v>0</v>
      </c>
      <c r="R57" s="2397" t="s">
        <v>2378</v>
      </c>
    </row>
    <row r="58" spans="1:18" s="2057" customFormat="1" ht="28.5" customHeight="1" thickBot="1">
      <c r="A58" s="1648" t="s">
        <v>1825</v>
      </c>
      <c r="B58" s="783" t="s">
        <v>656</v>
      </c>
      <c r="C58" s="53">
        <f ca="1">ROUND(IF(项目基本情况!B11="自然人",C47*F58,C59+C60+C61),1)</f>
        <v>0</v>
      </c>
      <c r="D58" s="3211" t="s">
        <v>657</v>
      </c>
      <c r="E58" s="3212" t="s">
        <v>690</v>
      </c>
      <c r="F58" s="809" t="str">
        <f ca="1">IF(项目基本情况!B11="企业","",IF(INDIRECT("'数据-取费表'!c"&amp;$G$1)="住宅",5%,IF(F48*F49*F50/12/(1+'数据-取费表'!C42)&gt;20000,12%,7%)))</f>
        <v/>
      </c>
      <c r="I58" s="3163" t="s">
        <v>2357</v>
      </c>
      <c r="J58" s="3097">
        <f ca="1">IF(J55&lt;0.4,0.4,J55)</f>
        <v>0.4</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12" t="s">
        <v>661</v>
      </c>
      <c r="E59" s="783" t="s">
        <v>649</v>
      </c>
      <c r="F59" s="808">
        <f t="shared" ref="F59:F65" si="0">F32</f>
        <v>5.5000000000000007E-2</v>
      </c>
      <c r="I59" s="3163" t="s">
        <v>2358</v>
      </c>
      <c r="J59" s="3164">
        <f ca="1">IF(OR(M47="住宅",J51&lt;L48,J56="是"),"——",ROUND(C29*J58,0))</f>
        <v>0</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664</v>
      </c>
      <c r="C60" s="53">
        <f ca="1">IF(D60="按租金收入计税",ROUND(C47*F60,1),IF(D60="按房产原值计税",ROUND(C56*F60*0.7,1),INDIRECT("'数据-取费表'!Aj"&amp;$G$1)))</f>
        <v>0</v>
      </c>
      <c r="D60" s="3212" t="str">
        <f>D33</f>
        <v>按租金收入计税</v>
      </c>
      <c r="E60" s="783" t="s">
        <v>649</v>
      </c>
      <c r="F60" s="808">
        <f t="shared" si="0"/>
        <v>0.12</v>
      </c>
      <c r="I60" s="3165" t="s">
        <v>2359</v>
      </c>
      <c r="J60" s="3166">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0</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0</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0</v>
      </c>
      <c r="D63" s="3212" t="s">
        <v>691</v>
      </c>
      <c r="E63" s="783" t="s">
        <v>649</v>
      </c>
      <c r="F63" s="816">
        <f t="shared" ca="1" si="0"/>
        <v>0</v>
      </c>
      <c r="I63" s="3168" t="s">
        <v>2368</v>
      </c>
      <c r="J63" s="3169">
        <v>70</v>
      </c>
      <c r="K63" s="3169">
        <v>50</v>
      </c>
      <c r="L63" s="3169">
        <v>80</v>
      </c>
      <c r="M63" s="3171">
        <v>0.02</v>
      </c>
      <c r="O63" s="2396" t="s">
        <v>2389</v>
      </c>
      <c r="P63" s="2397" t="s">
        <v>2406</v>
      </c>
      <c r="Q63" s="2398">
        <f ca="1">Q57+Q58</f>
        <v>0</v>
      </c>
      <c r="R63" s="2401" t="s">
        <v>2390</v>
      </c>
    </row>
    <row r="64" spans="1:18" s="2057" customFormat="1" ht="16.5" thickBot="1">
      <c r="A64" s="1648" t="s">
        <v>1891</v>
      </c>
      <c r="B64" s="783" t="s">
        <v>679</v>
      </c>
      <c r="C64" s="53">
        <f ca="1">ROUND(C55*F64,1)</f>
        <v>0</v>
      </c>
      <c r="D64" s="3212" t="s">
        <v>680</v>
      </c>
      <c r="E64" s="783" t="s">
        <v>649</v>
      </c>
      <c r="F64" s="817">
        <f t="shared" ca="1" si="0"/>
        <v>0</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12" t="s">
        <v>683</v>
      </c>
      <c r="E65" s="783" t="s">
        <v>649</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0</v>
      </c>
      <c r="D66" s="3211" t="s">
        <v>700</v>
      </c>
      <c r="E66" s="3209"/>
      <c r="F66" s="819"/>
      <c r="K66" s="2084"/>
      <c r="O66" s="2396" t="s">
        <v>2377</v>
      </c>
      <c r="P66" s="2397" t="s">
        <v>2403</v>
      </c>
      <c r="Q66" s="2398">
        <f ca="1">C40+J29</f>
        <v>0</v>
      </c>
      <c r="R66" s="2397" t="s">
        <v>2378</v>
      </c>
    </row>
    <row r="67" spans="1:18" s="2057" customFormat="1" ht="20.25" thickBot="1">
      <c r="A67" s="780" t="s">
        <v>1781</v>
      </c>
      <c r="B67" s="2230" t="s">
        <v>2301</v>
      </c>
      <c r="C67" s="782">
        <f ca="1">ROUND(C66*(1-((1+F69)/(1+F67))^F68)/(F67-F69),0)</f>
        <v>0</v>
      </c>
      <c r="D67" s="813" t="s">
        <v>704</v>
      </c>
      <c r="E67" s="783" t="s">
        <v>705</v>
      </c>
      <c r="F67" s="793">
        <f ca="1">F40</f>
        <v>5.5E-2</v>
      </c>
      <c r="K67" s="2084"/>
      <c r="O67" s="2396" t="s">
        <v>2379</v>
      </c>
      <c r="P67" s="2397" t="s">
        <v>2410</v>
      </c>
      <c r="Q67" s="2398">
        <f ca="1">L60</f>
        <v>0</v>
      </c>
      <c r="R67" s="2401" t="s">
        <v>2412</v>
      </c>
    </row>
    <row r="68" spans="1:18" ht="21.75" thickBot="1">
      <c r="A68" s="785"/>
      <c r="B68" s="786"/>
      <c r="C68" s="787"/>
      <c r="D68" s="820" t="s">
        <v>1809</v>
      </c>
      <c r="E68" s="783" t="s">
        <v>708</v>
      </c>
      <c r="F68" s="821">
        <f ca="1">F41</f>
        <v>36.65</v>
      </c>
      <c r="O68" s="2399" t="s">
        <v>2381</v>
      </c>
      <c r="P68" s="2397" t="s">
        <v>2411</v>
      </c>
      <c r="Q68" s="2403">
        <f ca="1">L51</f>
        <v>0</v>
      </c>
      <c r="R68" s="2404" t="s">
        <v>2414</v>
      </c>
    </row>
    <row r="69" spans="1:18" ht="20.25" thickBot="1">
      <c r="A69" s="789"/>
      <c r="B69" s="790"/>
      <c r="C69" s="791"/>
      <c r="D69" s="815"/>
      <c r="E69" s="783" t="s">
        <v>710</v>
      </c>
      <c r="F69" s="2369"/>
      <c r="O69" s="2399" t="s">
        <v>2382</v>
      </c>
      <c r="P69" s="2405" t="s">
        <v>2396</v>
      </c>
      <c r="Q69" s="2398">
        <f ca="1">ROUND(Q70-Q71*Q72,0)</f>
        <v>0</v>
      </c>
      <c r="R69" s="2401"/>
    </row>
    <row r="70" spans="1:18" ht="15.75" thickBot="1">
      <c r="A70" s="822" t="s">
        <v>1788</v>
      </c>
      <c r="B70" s="823" t="s">
        <v>1811</v>
      </c>
      <c r="C70" s="824" t="e">
        <f ca="1">ROUND(C67*10000/F70,0)</f>
        <v>#DIV/0!</v>
      </c>
      <c r="D70" s="825" t="s">
        <v>1812</v>
      </c>
      <c r="E70" s="826" t="s">
        <v>1813</v>
      </c>
      <c r="F70" s="827">
        <f ca="1">F43</f>
        <v>0</v>
      </c>
      <c r="O70" s="2399" t="s">
        <v>2397</v>
      </c>
      <c r="P70" s="2405" t="s">
        <v>2398</v>
      </c>
      <c r="Q70" s="2398">
        <f ca="1">C39</f>
        <v>0</v>
      </c>
      <c r="R70" s="2397" t="s">
        <v>2378</v>
      </c>
    </row>
    <row r="71" spans="1:18" ht="15.75" thickBot="1">
      <c r="O71" s="2399" t="s">
        <v>2399</v>
      </c>
      <c r="P71" s="2405" t="s">
        <v>2400</v>
      </c>
      <c r="Q71" s="2398">
        <f ca="1">C13</f>
        <v>0</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0</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44" sqref="G44"/>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3072</v>
      </c>
      <c r="D1" s="3120" t="s">
        <v>3233</v>
      </c>
      <c r="E1" s="2385" t="s">
        <v>870</v>
      </c>
      <c r="F1" s="2386">
        <f ca="1">J53</f>
        <v>46.66</v>
      </c>
      <c r="G1" s="773">
        <f>MATCH(C1,'数据-取费表'!A6:A16,0)+5</f>
        <v>11</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5923</v>
      </c>
      <c r="C2" s="2055"/>
      <c r="D2" s="2053"/>
      <c r="E2" s="2054"/>
      <c r="F2" s="2054"/>
      <c r="G2" s="1589"/>
      <c r="H2" s="2055"/>
      <c r="I2" s="2055"/>
      <c r="J2" s="2055"/>
      <c r="K2" s="2056"/>
      <c r="L2" s="2055"/>
      <c r="M2" s="2055"/>
    </row>
    <row r="3" spans="1:33" ht="18" customHeight="1" thickBot="1">
      <c r="A3" s="832" t="s">
        <v>519</v>
      </c>
      <c r="B3" s="833">
        <f ca="1">IF(ISERROR(B2*10000/F43),0,ROUND(B2*10000/F43,0))</f>
        <v>10083</v>
      </c>
      <c r="C3" s="2055"/>
      <c r="D3" s="2053"/>
      <c r="E3" s="2054"/>
      <c r="F3" s="2054"/>
      <c r="G3" s="1589"/>
      <c r="H3" s="775" t="s">
        <v>695</v>
      </c>
      <c r="I3" s="1362"/>
      <c r="J3" s="1362"/>
      <c r="K3" s="1590"/>
      <c r="L3" s="1362"/>
      <c r="M3" s="1362"/>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2456</v>
      </c>
      <c r="C5" s="55">
        <f ca="1">C6+C10+C12</f>
        <v>289</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289</v>
      </c>
      <c r="D6" s="2495" t="s">
        <v>2460</v>
      </c>
      <c r="E6" s="783" t="s">
        <v>637</v>
      </c>
      <c r="F6" s="784">
        <f ca="1">INDIRECT("'数据-取费表'!u"&amp;$G$1)</f>
        <v>1.5</v>
      </c>
      <c r="G6" s="1591"/>
      <c r="H6" s="2502" t="s">
        <v>1825</v>
      </c>
      <c r="I6" s="3571" t="s">
        <v>2461</v>
      </c>
      <c r="J6" s="782">
        <f ca="1">ROUND(M6*M8*M7*(1-M9)/10000,0)</f>
        <v>0</v>
      </c>
      <c r="K6" s="340" t="s">
        <v>636</v>
      </c>
      <c r="L6" s="783" t="s">
        <v>637</v>
      </c>
      <c r="M6" s="784">
        <f ca="1">INDIRECT("'数据-取费表'!z"&amp;$G$1)</f>
        <v>0</v>
      </c>
    </row>
    <row r="7" spans="1:33" ht="18" customHeight="1">
      <c r="A7" s="2498"/>
      <c r="B7" s="3572"/>
      <c r="C7" s="787"/>
      <c r="D7" s="788"/>
      <c r="E7" s="783" t="s">
        <v>638</v>
      </c>
      <c r="F7" s="784">
        <f ca="1">IF(INDIRECT("'数据-取费表'!ah"&amp;$G$1)="",INDIRECT("'数据-取费表'!k"&amp;$G$1),INDIRECT("'数据-取费表'!ah"&amp;$G$1))</f>
        <v>5874.31</v>
      </c>
      <c r="G7" s="1591"/>
      <c r="H7" s="2487"/>
      <c r="I7" s="3572"/>
      <c r="J7" s="787"/>
      <c r="K7" s="788"/>
      <c r="L7" s="783" t="s">
        <v>638</v>
      </c>
      <c r="M7" s="784">
        <f ca="1">F7</f>
        <v>5874.31</v>
      </c>
    </row>
    <row r="8" spans="1:33" ht="18" customHeight="1">
      <c r="A8" s="2491"/>
      <c r="B8" s="3573"/>
      <c r="C8" s="787"/>
      <c r="D8" s="788"/>
      <c r="E8" s="783" t="s">
        <v>639</v>
      </c>
      <c r="F8" s="784">
        <f ca="1">INDIRECT("'数据-取费表'!ai"&amp;$G$1)</f>
        <v>365</v>
      </c>
      <c r="G8" s="1591"/>
      <c r="H8" s="2487"/>
      <c r="I8" s="3573"/>
      <c r="J8" s="787"/>
      <c r="K8" s="788"/>
      <c r="L8" s="783" t="s">
        <v>639</v>
      </c>
      <c r="M8" s="784">
        <f ca="1">INDIRECT("'数据-取费表'!ai"&amp;$G$1)</f>
        <v>365</v>
      </c>
    </row>
    <row r="9" spans="1:33" ht="18" customHeight="1">
      <c r="A9" s="785"/>
      <c r="B9" s="3574"/>
      <c r="C9" s="787"/>
      <c r="D9" s="788"/>
      <c r="E9" s="783" t="s">
        <v>640</v>
      </c>
      <c r="F9" s="793">
        <f ca="1">INDIRECT("'数据-取费表'!w"&amp;$G$1)</f>
        <v>0.1</v>
      </c>
      <c r="G9" s="1591"/>
      <c r="H9" s="2503"/>
      <c r="I9" s="3573"/>
      <c r="J9" s="787"/>
      <c r="K9" s="788"/>
      <c r="L9" s="794" t="s">
        <v>640</v>
      </c>
      <c r="M9" s="795">
        <f ca="1">INDIRECT("'数据-取费表'!ab"&amp;$G$1)</f>
        <v>0</v>
      </c>
    </row>
    <row r="10" spans="1:33" ht="18" customHeight="1">
      <c r="A10" s="1828" t="s">
        <v>1826</v>
      </c>
      <c r="B10" s="2492" t="s">
        <v>2457</v>
      </c>
      <c r="C10" s="798">
        <f ca="1">ROUND(IF(F10="押一",C6/12*F11,IF(F10="押二",C6/12*2*F11,IF(F10="押三",C6/12*3*F11,C11*F11))),0)</f>
        <v>0</v>
      </c>
      <c r="D10" s="2499" t="s">
        <v>2962</v>
      </c>
      <c r="E10" s="2496" t="s">
        <v>2462</v>
      </c>
      <c r="F10" s="2619" t="s">
        <v>3234</v>
      </c>
      <c r="G10" s="1591"/>
      <c r="H10" s="2559" t="s">
        <v>1826</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2454</v>
      </c>
      <c r="F11" s="795">
        <f ca="1">'数据-取费表'!B39</f>
        <v>1.4999999999999999E-2</v>
      </c>
      <c r="G11" s="1591"/>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1"/>
      <c r="H12" s="2549" t="s">
        <v>2465</v>
      </c>
      <c r="I12" s="2562" t="s">
        <v>2458</v>
      </c>
      <c r="J12" s="2563"/>
      <c r="K12" s="2538"/>
      <c r="L12" s="2539"/>
      <c r="M12" s="2552"/>
    </row>
    <row r="13" spans="1:33" ht="18" customHeight="1" thickTop="1">
      <c r="A13" s="1827">
        <v>2</v>
      </c>
      <c r="B13" s="1825" t="s">
        <v>644</v>
      </c>
      <c r="C13" s="791">
        <f ca="1">ROUND(C29*F13,0)</f>
        <v>2081</v>
      </c>
      <c r="D13" s="1832" t="s">
        <v>2297</v>
      </c>
      <c r="E13" s="1832" t="s">
        <v>643</v>
      </c>
      <c r="F13" s="2534">
        <f ca="1">INDIRECT("'数据-取费表'!y"&amp;$G$1)</f>
        <v>1</v>
      </c>
      <c r="G13" s="1591"/>
      <c r="H13" s="1827">
        <v>2</v>
      </c>
      <c r="I13" s="1825" t="s">
        <v>644</v>
      </c>
      <c r="J13" s="1817">
        <f ca="1">ROUND(J14*J15,0)</f>
        <v>0</v>
      </c>
      <c r="K13" s="1819" t="s">
        <v>642</v>
      </c>
      <c r="L13" s="2550"/>
      <c r="M13" s="2551"/>
    </row>
    <row r="14" spans="1:33" ht="18" customHeight="1">
      <c r="A14" s="1647" t="s">
        <v>1832</v>
      </c>
      <c r="B14" s="783" t="s">
        <v>645</v>
      </c>
      <c r="C14" s="803">
        <f ca="1">INDIRECT("'数据-取费表'!m"&amp;$G$1)+INDIRECT("'数据-取费表'!t"&amp;$G$1)</f>
        <v>1525</v>
      </c>
      <c r="D14" s="3211" t="s">
        <v>646</v>
      </c>
      <c r="E14" s="3210"/>
      <c r="F14" s="804"/>
      <c r="G14" s="1591"/>
      <c r="H14" s="1648" t="s">
        <v>1825</v>
      </c>
      <c r="I14" s="2229" t="s">
        <v>2822</v>
      </c>
      <c r="J14" s="53">
        <f ca="1">C29</f>
        <v>2081</v>
      </c>
      <c r="K14" s="26"/>
      <c r="L14" s="800"/>
      <c r="M14" s="801"/>
    </row>
    <row r="15" spans="1:33" s="2062" customFormat="1" ht="18" customHeight="1" thickBot="1">
      <c r="A15" s="1647" t="s">
        <v>1833</v>
      </c>
      <c r="B15" s="783" t="s">
        <v>647</v>
      </c>
      <c r="C15" s="53">
        <f ca="1">ROUND(C14*F15,0)</f>
        <v>46</v>
      </c>
      <c r="D15" s="805" t="s">
        <v>648</v>
      </c>
      <c r="E15" s="805" t="s">
        <v>649</v>
      </c>
      <c r="F15" s="806">
        <f>'数据-取费表'!B33</f>
        <v>0.03</v>
      </c>
      <c r="G15" s="1592"/>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1834</v>
      </c>
      <c r="B16" s="783" t="s">
        <v>650</v>
      </c>
      <c r="C16" s="53">
        <f ca="1">ROUND(INDIRECT("'数据-取费表'!m"&amp;$G$1)*F16,0)</f>
        <v>0</v>
      </c>
      <c r="D16" s="783" t="s">
        <v>648</v>
      </c>
      <c r="E16" s="783" t="s">
        <v>649</v>
      </c>
      <c r="F16" s="808">
        <f ca="1">IF(INDIRECT("'数据-取费表'!c"&amp;$G$1)="住宅",'数据-取费表'!B34,0)</f>
        <v>0</v>
      </c>
      <c r="G16" s="1591"/>
      <c r="H16" s="1827" t="s">
        <v>7</v>
      </c>
      <c r="I16" s="1825" t="s">
        <v>651</v>
      </c>
      <c r="J16" s="791">
        <f ca="1">ROUND(J17+J22+J23+J24,0)</f>
        <v>206</v>
      </c>
      <c r="K16" s="1819" t="s">
        <v>652</v>
      </c>
      <c r="L16" s="3213"/>
      <c r="M16" s="2489"/>
    </row>
    <row r="17" spans="1:33" s="2062" customFormat="1" ht="18" customHeight="1">
      <c r="A17" s="1647" t="s">
        <v>1888</v>
      </c>
      <c r="B17" s="783" t="s">
        <v>653</v>
      </c>
      <c r="C17" s="53">
        <f ca="1">ROUND(F17*(F43+INDIRECT("'数据-取费表'!S"&amp;$G$1))/10000,0)</f>
        <v>127</v>
      </c>
      <c r="D17" s="783" t="s">
        <v>654</v>
      </c>
      <c r="E17" s="783" t="s">
        <v>655</v>
      </c>
      <c r="F17" s="56">
        <f>'数据-取费表'!B35</f>
        <v>200</v>
      </c>
      <c r="G17" s="1592"/>
      <c r="H17" s="1648" t="s">
        <v>1825</v>
      </c>
      <c r="I17" s="783" t="s">
        <v>656</v>
      </c>
      <c r="J17" s="53">
        <f ca="1">ROUND(IF(项目基本情况!B11="自然人",J5*M17,J18+J19+J20),0)</f>
        <v>175</v>
      </c>
      <c r="K17" s="3211" t="s">
        <v>657</v>
      </c>
      <c r="L17" s="3212" t="s">
        <v>658</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23</v>
      </c>
      <c r="D18" s="783" t="s">
        <v>648</v>
      </c>
      <c r="E18" s="783" t="s">
        <v>649</v>
      </c>
      <c r="F18" s="808">
        <f>'数据-取费表'!B36</f>
        <v>1.4999999999999999E-2</v>
      </c>
      <c r="G18" s="1592"/>
      <c r="H18" s="1647" t="s">
        <v>1832</v>
      </c>
      <c r="I18" s="783" t="s">
        <v>660</v>
      </c>
      <c r="J18" s="53">
        <f ca="1">ROUND(J5*M18/1.05,1)</f>
        <v>0</v>
      </c>
      <c r="K18" s="3212" t="s">
        <v>661</v>
      </c>
      <c r="L18" s="783" t="s">
        <v>649</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1825</v>
      </c>
      <c r="B19" s="783" t="s">
        <v>662</v>
      </c>
      <c r="C19" s="53">
        <f ca="1">SUM(C14:C18)</f>
        <v>1721</v>
      </c>
      <c r="D19" s="260" t="s">
        <v>663</v>
      </c>
      <c r="E19" s="3214"/>
      <c r="F19" s="56"/>
      <c r="G19" s="1591"/>
      <c r="H19" s="1647" t="s">
        <v>1833</v>
      </c>
      <c r="I19" s="783" t="s">
        <v>664</v>
      </c>
      <c r="J19" s="53">
        <f ca="1">IF(K19="按租金收入计税",ROUND(J5*M19,1),ROUND(C29*F33*0.7,1))</f>
        <v>174.8</v>
      </c>
      <c r="K19" s="810" t="s">
        <v>665</v>
      </c>
      <c r="L19" s="783" t="s">
        <v>649</v>
      </c>
      <c r="M19" s="808">
        <f>IF(K19="按租金收入计税",'数据-取费表'!B51,'数据-取费表'!B50)</f>
        <v>1.2E-2</v>
      </c>
    </row>
    <row r="20" spans="1:33" s="2062" customFormat="1" ht="18" customHeight="1">
      <c r="A20" s="1648" t="s">
        <v>1890</v>
      </c>
      <c r="B20" s="783" t="s">
        <v>666</v>
      </c>
      <c r="C20" s="53">
        <f ca="1">ROUND(C19*F20,0)</f>
        <v>34</v>
      </c>
      <c r="D20" s="811" t="s">
        <v>667</v>
      </c>
      <c r="E20" s="783" t="s">
        <v>649</v>
      </c>
      <c r="F20" s="808">
        <f>'数据-取费表'!B37</f>
        <v>0.02</v>
      </c>
      <c r="G20" s="1592"/>
      <c r="H20" s="1650" t="s">
        <v>1881</v>
      </c>
      <c r="I20" s="340" t="s">
        <v>668</v>
      </c>
      <c r="J20" s="54">
        <f ca="1">ROUND(M20*M21/10000,0)</f>
        <v>0</v>
      </c>
      <c r="K20" s="813" t="s">
        <v>669</v>
      </c>
      <c r="L20" s="783" t="s">
        <v>670</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671</v>
      </c>
      <c r="C21" s="53" t="s">
        <v>1</v>
      </c>
      <c r="D21" s="811" t="s">
        <v>2298</v>
      </c>
      <c r="E21" s="783" t="s">
        <v>673</v>
      </c>
      <c r="F21" s="808">
        <f>'数据-取费表'!B38</f>
        <v>0.02</v>
      </c>
      <c r="G21" s="1592"/>
      <c r="H21" s="2504"/>
      <c r="I21" s="792"/>
      <c r="J21" s="69"/>
      <c r="K21" s="815"/>
      <c r="L21" s="783" t="s">
        <v>674</v>
      </c>
      <c r="M21" s="784">
        <f ca="1">INDIRECT("'数据-取费表'!r"&amp;$G$1)</f>
        <v>2340.38</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675</v>
      </c>
      <c r="C22" s="53"/>
      <c r="D22" s="2570" t="str">
        <f>IF(F23&lt;=1,"单利计息。","复利计息。")&amp;"建造成本、管理费用、销售费用产生的利息。"</f>
        <v>复利计息。建造成本、管理费用、销售费用产生的利息。</v>
      </c>
      <c r="E22" s="3214"/>
      <c r="F22" s="56"/>
      <c r="G22" s="1591"/>
      <c r="H22" s="1648" t="s">
        <v>1890</v>
      </c>
      <c r="I22" s="783" t="s">
        <v>676</v>
      </c>
      <c r="J22" s="53">
        <f ca="1">ROUND(J14*M22,0)</f>
        <v>31</v>
      </c>
      <c r="K22" s="3212" t="s">
        <v>677</v>
      </c>
      <c r="L22" s="783" t="s">
        <v>649</v>
      </c>
      <c r="M22" s="816">
        <f ca="1">INDIRECT("'数据-取费表'!Ak"&amp;$G$1)</f>
        <v>1.4999999999999999E-2</v>
      </c>
    </row>
    <row r="23" spans="1:33" s="2062" customFormat="1" ht="18" customHeight="1">
      <c r="A23" s="1647" t="s">
        <v>1832</v>
      </c>
      <c r="B23" s="783" t="s">
        <v>2435</v>
      </c>
      <c r="C23" s="53">
        <f ca="1">ROUND(IF('数据-取费表'!B22&lt;=1,(C19+C20)*F24*F23/2,(C19+C20)*(POWER((1+F24),F23/2)-1)),0)</f>
        <v>83</v>
      </c>
      <c r="D23" s="2569" t="str">
        <f>IF(F23&lt;=1,"(建造成本+管理费用)×利率×(建设周期÷2)","(建造成本+管理费用)×((1+利率)^(建设周期÷2)-1)")</f>
        <v>(建造成本+管理费用)×((1+利率)^(建设周期÷2)-1)</v>
      </c>
      <c r="E23" s="783" t="s">
        <v>678</v>
      </c>
      <c r="F23" s="639">
        <f>'数据-取费表'!B20</f>
        <v>2</v>
      </c>
      <c r="G23" s="1592"/>
      <c r="H23" s="1648" t="s">
        <v>1891</v>
      </c>
      <c r="I23" s="783" t="s">
        <v>679</v>
      </c>
      <c r="J23" s="53">
        <f ca="1">ROUND(J13*M23,0)</f>
        <v>0</v>
      </c>
      <c r="K23" s="3212" t="s">
        <v>680</v>
      </c>
      <c r="L23" s="783" t="s">
        <v>649</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681</v>
      </c>
      <c r="C24" s="53">
        <f ca="1">ROUND(IF('数据-取费表'!B22&lt;=1,F21*F24*F23/2,F21*(POWER((1+F24),F23/2)-1)),4)</f>
        <v>1E-3</v>
      </c>
      <c r="D24" s="2569" t="str">
        <f>IF(F23&lt;=1,"销售费用×利率×(建设周期÷2)","销售费用×((1+利率)^(建设周期÷2)-1)")</f>
        <v>销售费用×((1+利率)^(建设周期÷2)-1)</v>
      </c>
      <c r="E24" s="783" t="s">
        <v>682</v>
      </c>
      <c r="F24" s="818">
        <f ca="1">'数据-取费表'!B40</f>
        <v>4.7500000000000001E-2</v>
      </c>
      <c r="G24" s="1592"/>
      <c r="H24" s="2549" t="s">
        <v>1892</v>
      </c>
      <c r="I24" s="2544" t="s">
        <v>666</v>
      </c>
      <c r="J24" s="2542">
        <f ca="1">ROUND(J5*M24,0)</f>
        <v>0</v>
      </c>
      <c r="K24" s="2543" t="s">
        <v>683</v>
      </c>
      <c r="L24" s="2544" t="s">
        <v>649</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685</v>
      </c>
      <c r="E25" s="3214"/>
      <c r="F25" s="56"/>
      <c r="G25" s="1591"/>
      <c r="H25" s="1827" t="s">
        <v>1777</v>
      </c>
      <c r="I25" s="3007" t="s">
        <v>2819</v>
      </c>
      <c r="J25" s="791">
        <f ca="1">J5-J16</f>
        <v>-206</v>
      </c>
      <c r="K25" s="2546" t="s">
        <v>700</v>
      </c>
      <c r="L25" s="2547"/>
      <c r="M25" s="2548"/>
    </row>
    <row r="26" spans="1:33" ht="18" customHeight="1">
      <c r="A26" s="1647" t="s">
        <v>1832</v>
      </c>
      <c r="B26" s="783" t="s">
        <v>2436</v>
      </c>
      <c r="C26" s="53">
        <f ca="1">ROUND((C19+C20)*F26,0)</f>
        <v>88</v>
      </c>
      <c r="D26" s="811" t="s">
        <v>701</v>
      </c>
      <c r="E26" s="794" t="s">
        <v>702</v>
      </c>
      <c r="F26" s="793">
        <f ca="1">INDIRECT("'数据-取费表'!q"&amp;$G$1)</f>
        <v>0.05</v>
      </c>
      <c r="G26" s="1591"/>
      <c r="H26" s="2500" t="s">
        <v>1781</v>
      </c>
      <c r="I26" s="2230" t="s">
        <v>2824</v>
      </c>
      <c r="J26" s="782">
        <f ca="1">IF(J5&lt;&gt;0,ROUND(J25*(1-((1+M28)/(1+M26))^M27)/(M26-M28),0),0)</f>
        <v>0</v>
      </c>
      <c r="K26" s="813" t="s">
        <v>704</v>
      </c>
      <c r="L26" s="783" t="s">
        <v>2417</v>
      </c>
      <c r="M26" s="793">
        <f ca="1">INDIRECT("'数据-取费表'!I"&amp;$G$1)</f>
        <v>0.05</v>
      </c>
    </row>
    <row r="27" spans="1:33" ht="18" customHeight="1">
      <c r="A27" s="1647" t="s">
        <v>1833</v>
      </c>
      <c r="B27" s="783" t="s">
        <v>686</v>
      </c>
      <c r="C27" s="53">
        <f ca="1">ROUND(F21*F26,4)</f>
        <v>1E-3</v>
      </c>
      <c r="D27" s="811" t="s">
        <v>706</v>
      </c>
      <c r="E27" s="805"/>
      <c r="F27" s="806"/>
      <c r="G27" s="1591"/>
      <c r="H27" s="2501"/>
      <c r="I27" s="786"/>
      <c r="J27" s="787"/>
      <c r="K27" s="820" t="s">
        <v>707</v>
      </c>
      <c r="L27" s="783" t="s">
        <v>708</v>
      </c>
      <c r="M27" s="821">
        <f ca="1">INDIRECT("'数据-取费表'!ag"&amp;$G$1)</f>
        <v>0</v>
      </c>
    </row>
    <row r="28" spans="1:33" s="2062" customFormat="1" ht="18" customHeight="1">
      <c r="A28" s="1649" t="s">
        <v>1842</v>
      </c>
      <c r="B28" s="783" t="s">
        <v>687</v>
      </c>
      <c r="C28" s="53">
        <f>ROUND(F28/(1+'数据-取费表'!C42),4)</f>
        <v>5.2400000000000002E-2</v>
      </c>
      <c r="D28" s="811" t="s">
        <v>2299</v>
      </c>
      <c r="E28" s="783" t="s">
        <v>649</v>
      </c>
      <c r="F28" s="808">
        <f>'数据-取费表'!B41</f>
        <v>5.5000000000000007E-2</v>
      </c>
      <c r="G28" s="1592"/>
      <c r="H28" s="1827"/>
      <c r="I28" s="790"/>
      <c r="J28" s="791"/>
      <c r="K28" s="815"/>
      <c r="L28" s="783" t="s">
        <v>710</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2081</v>
      </c>
      <c r="D29" s="2543"/>
      <c r="E29" s="2544"/>
      <c r="F29" s="2545"/>
      <c r="G29" s="1592"/>
      <c r="H29" s="822" t="s">
        <v>1788</v>
      </c>
      <c r="I29" s="823" t="s">
        <v>1789</v>
      </c>
      <c r="J29" s="824">
        <f ca="1">ROUND(J26/(1+F40)^F41,0)</f>
        <v>0</v>
      </c>
      <c r="K29" s="825" t="s">
        <v>1790</v>
      </c>
      <c r="L29" s="826"/>
      <c r="M29" s="827">
        <f ca="1">INDIRECT("'数据-取费表'!k"&amp;$G$1)</f>
        <v>5874.31</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1">
        <f ca="1">ROUND(C31+C36+C37+C38,0)</f>
        <v>89</v>
      </c>
      <c r="D30" s="1819" t="s">
        <v>652</v>
      </c>
      <c r="E30" s="3213"/>
      <c r="F30" s="2489"/>
      <c r="G30" s="2060"/>
      <c r="H30" s="2063"/>
      <c r="I30" s="2064"/>
      <c r="J30" s="2065"/>
      <c r="K30" s="2066"/>
      <c r="L30" s="2067"/>
      <c r="M30" s="2068"/>
    </row>
    <row r="31" spans="1:33" ht="18" customHeight="1">
      <c r="A31" s="1648" t="s">
        <v>1825</v>
      </c>
      <c r="B31" s="783" t="s">
        <v>656</v>
      </c>
      <c r="C31" s="53">
        <f ca="1">ROUND(IF(项目基本情况!B11="自然人",C5*F31,C32+C33+C34),1)</f>
        <v>50.2</v>
      </c>
      <c r="D31" s="3211" t="s">
        <v>657</v>
      </c>
      <c r="E31" s="3212"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660</v>
      </c>
      <c r="C32" s="53">
        <f ca="1">ROUND(C5*F32/1.05,1)</f>
        <v>15.1</v>
      </c>
      <c r="D32" s="3212" t="s">
        <v>661</v>
      </c>
      <c r="E32" s="783" t="s">
        <v>649</v>
      </c>
      <c r="F32" s="808">
        <f>'数据-取费表'!B41</f>
        <v>5.5000000000000007E-2</v>
      </c>
      <c r="G32" s="2060"/>
      <c r="H32" s="2069"/>
      <c r="I32" s="2070"/>
      <c r="J32" s="2071"/>
      <c r="K32" s="2072"/>
      <c r="L32" s="2073"/>
      <c r="M32" s="2074"/>
    </row>
    <row r="33" spans="1:18" ht="18" customHeight="1">
      <c r="A33" s="1647" t="s">
        <v>1833</v>
      </c>
      <c r="B33" s="783" t="s">
        <v>664</v>
      </c>
      <c r="C33" s="53">
        <f ca="1">IF(D33="按租金收入计税",ROUND(C5*F33,1),IF(D33="按房产原值计税",ROUND(C29*F33*0.7,1),INDIRECT("'数据-取费表'!Aj"&amp;$G$1)))</f>
        <v>34.700000000000003</v>
      </c>
      <c r="D33" s="810" t="s">
        <v>3235</v>
      </c>
      <c r="E33" s="783" t="s">
        <v>649</v>
      </c>
      <c r="F33" s="808">
        <f>IF(D33="按租金收入计税",'数据-取费表'!B51,'数据-取费表'!B50)</f>
        <v>0.12</v>
      </c>
      <c r="G33" s="2060"/>
      <c r="H33" s="2075"/>
      <c r="I33" s="2075"/>
      <c r="J33" s="2075"/>
      <c r="K33" s="2076"/>
      <c r="L33" s="2075"/>
      <c r="M33" s="2075"/>
    </row>
    <row r="34" spans="1:18" ht="18" customHeight="1">
      <c r="A34" s="1650" t="s">
        <v>1834</v>
      </c>
      <c r="B34" s="340" t="s">
        <v>668</v>
      </c>
      <c r="C34" s="54">
        <f ca="1">ROUND(F34*F35/10000,1)</f>
        <v>0.4</v>
      </c>
      <c r="D34" s="813" t="s">
        <v>669</v>
      </c>
      <c r="E34" s="783" t="s">
        <v>670</v>
      </c>
      <c r="F34" s="639">
        <f>'数据-取费表'!B52</f>
        <v>1.5</v>
      </c>
      <c r="G34" s="2060"/>
      <c r="H34" s="2063"/>
      <c r="I34" s="834" t="s">
        <v>1814</v>
      </c>
      <c r="J34" s="835"/>
      <c r="K34" s="2078"/>
      <c r="L34" s="2077"/>
      <c r="M34" s="2077"/>
    </row>
    <row r="35" spans="1:18" ht="18" customHeight="1">
      <c r="A35" s="814"/>
      <c r="B35" s="792"/>
      <c r="C35" s="69"/>
      <c r="D35" s="815"/>
      <c r="E35" s="783" t="s">
        <v>674</v>
      </c>
      <c r="F35" s="784">
        <f ca="1">INDIRECT("'数据-取费表'!r"&amp;$G$1)</f>
        <v>2340.38</v>
      </c>
      <c r="G35" s="2060"/>
      <c r="H35" s="2063"/>
      <c r="I35" s="836" t="s">
        <v>1815</v>
      </c>
      <c r="J35" s="837">
        <f ca="1">ROUND(C13*J36,0)</f>
        <v>177</v>
      </c>
      <c r="K35" s="2076"/>
      <c r="L35" s="2075"/>
      <c r="M35" s="2075"/>
    </row>
    <row r="36" spans="1:18" ht="18" customHeight="1">
      <c r="A36" s="1648" t="s">
        <v>1890</v>
      </c>
      <c r="B36" s="783" t="s">
        <v>676</v>
      </c>
      <c r="C36" s="53">
        <f ca="1">ROUND(C29*F36,1)</f>
        <v>31.2</v>
      </c>
      <c r="D36" s="3212" t="s">
        <v>691</v>
      </c>
      <c r="E36" s="783" t="s">
        <v>649</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3.1</v>
      </c>
      <c r="D37" s="3212" t="s">
        <v>680</v>
      </c>
      <c r="E37" s="783" t="s">
        <v>649</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4.3</v>
      </c>
      <c r="D38" s="2543" t="s">
        <v>683</v>
      </c>
      <c r="E38" s="2544" t="s">
        <v>649</v>
      </c>
      <c r="F38" s="2540">
        <f ca="1">INDIRECT("'数据-取费表'!Am"&amp;$G$1)</f>
        <v>1.4999999999999999E-2</v>
      </c>
      <c r="G38" s="2060"/>
      <c r="H38" s="2075"/>
      <c r="I38" s="842" t="s">
        <v>1818</v>
      </c>
      <c r="J38" s="843"/>
      <c r="K38" s="2081"/>
      <c r="L38" s="2075"/>
      <c r="M38" s="2075"/>
    </row>
    <row r="39" spans="1:18" ht="24.6" customHeight="1" thickTop="1">
      <c r="A39" s="1827" t="s">
        <v>1777</v>
      </c>
      <c r="B39" s="3007" t="s">
        <v>2819</v>
      </c>
      <c r="C39" s="791">
        <f ca="1">C5-C30</f>
        <v>200</v>
      </c>
      <c r="D39" s="2546" t="s">
        <v>700</v>
      </c>
      <c r="E39" s="2547"/>
      <c r="F39" s="2548"/>
      <c r="G39" s="2060"/>
      <c r="H39" s="2075"/>
      <c r="I39" s="836" t="s">
        <v>1819</v>
      </c>
      <c r="J39" s="844">
        <f ca="1">ROUND(J35/C39,3)</f>
        <v>0.88500000000000001</v>
      </c>
      <c r="K39" s="2081"/>
      <c r="L39" s="2075"/>
      <c r="M39" s="2075"/>
    </row>
    <row r="40" spans="1:18" ht="18" customHeight="1">
      <c r="A40" s="780" t="s">
        <v>1781</v>
      </c>
      <c r="B40" s="2230" t="s">
        <v>2301</v>
      </c>
      <c r="C40" s="782">
        <f ca="1">ROUND(C39*(1-((1+F42)/(1+F40))^F41)/(F40-F42),0)</f>
        <v>5923</v>
      </c>
      <c r="D40" s="813" t="s">
        <v>704</v>
      </c>
      <c r="E40" s="783" t="s">
        <v>2417</v>
      </c>
      <c r="F40" s="793">
        <f ca="1">INDIRECT("'数据-取费表'!I"&amp;$G$1)</f>
        <v>0.05</v>
      </c>
      <c r="G40" s="2060"/>
      <c r="H40" s="2060"/>
      <c r="I40" s="836" t="s">
        <v>1820</v>
      </c>
      <c r="J40" s="844">
        <f ca="1">1-J39</f>
        <v>0.11499999999999999</v>
      </c>
      <c r="K40" s="2081"/>
      <c r="L40" s="2060"/>
      <c r="M40" s="2060"/>
    </row>
    <row r="41" spans="1:18" ht="18" customHeight="1">
      <c r="A41" s="785"/>
      <c r="B41" s="786"/>
      <c r="C41" s="787"/>
      <c r="D41" s="820" t="s">
        <v>1809</v>
      </c>
      <c r="E41" s="783" t="s">
        <v>708</v>
      </c>
      <c r="F41" s="821">
        <f ca="1">IF(INDIRECT("'数据-取费表'!af"&amp;$G$1)=0,INDIRECT("'数据-取费表'!ae"&amp;$G$1),INDIRECT("'数据-取费表'!af"&amp;$G$1))</f>
        <v>46.66</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0.35099999999999998</v>
      </c>
      <c r="K42" s="2080"/>
      <c r="L42" s="1986"/>
      <c r="M42" s="1986"/>
    </row>
    <row r="43" spans="1:18" ht="18" customHeight="1" thickBot="1">
      <c r="A43" s="822" t="s">
        <v>1788</v>
      </c>
      <c r="B43" s="823" t="s">
        <v>1811</v>
      </c>
      <c r="C43" s="824">
        <f ca="1">ROUND(C40*10000/F43,0)</f>
        <v>10083</v>
      </c>
      <c r="D43" s="825" t="s">
        <v>1812</v>
      </c>
      <c r="E43" s="826" t="s">
        <v>1813</v>
      </c>
      <c r="F43" s="827">
        <f ca="1">INDIRECT("'数据-取费表'!k"&amp;$G$1)</f>
        <v>5874.31</v>
      </c>
      <c r="G43" s="2060"/>
      <c r="H43" s="1986"/>
      <c r="I43" s="846" t="s">
        <v>1823</v>
      </c>
      <c r="J43" s="847">
        <f ca="1">1-J42</f>
        <v>0.64900000000000002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-6551</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50</v>
      </c>
      <c r="M47" s="1603"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48.66</v>
      </c>
      <c r="O48" s="2396" t="s">
        <v>2377</v>
      </c>
      <c r="P48" s="2397" t="s">
        <v>2403</v>
      </c>
      <c r="Q48" s="2398">
        <f ca="1">C40+J29</f>
        <v>5923</v>
      </c>
      <c r="R48" s="2397" t="s">
        <v>2378</v>
      </c>
    </row>
    <row r="49" spans="1:18" s="2057" customFormat="1" ht="18" customHeight="1" thickBot="1">
      <c r="A49" s="785"/>
      <c r="B49" s="786"/>
      <c r="C49" s="787"/>
      <c r="D49" s="788"/>
      <c r="E49" s="783" t="s">
        <v>638</v>
      </c>
      <c r="F49" s="784">
        <f ca="1">F7</f>
        <v>5874.31</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639</v>
      </c>
      <c r="F50" s="784">
        <f ca="1">F8</f>
        <v>365</v>
      </c>
      <c r="G50" s="2093"/>
      <c r="H50" s="2091"/>
      <c r="I50" s="3121" t="s">
        <v>2345</v>
      </c>
      <c r="J50" s="3149">
        <f>SUMPRODUCT((I63:I65=J47)*(J62:L62=J48)*(J63:L65))</f>
        <v>60</v>
      </c>
      <c r="K50" s="3154" t="s">
        <v>2351</v>
      </c>
      <c r="L50" s="2382"/>
      <c r="O50" s="2399" t="s">
        <v>2381</v>
      </c>
      <c r="P50" s="2397" t="s">
        <v>2405</v>
      </c>
      <c r="Q50" s="2398">
        <f ca="1">C29</f>
        <v>2081</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453</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46.66</v>
      </c>
      <c r="K53" s="3587" t="s">
        <v>2954</v>
      </c>
      <c r="L53" s="3588"/>
      <c r="O53" s="2399" t="s">
        <v>2386</v>
      </c>
      <c r="P53" s="2397" t="s">
        <v>2387</v>
      </c>
      <c r="Q53" s="2398">
        <f ca="1">J53</f>
        <v>46.66</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5923</v>
      </c>
      <c r="R54" s="2401" t="s">
        <v>2390</v>
      </c>
    </row>
    <row r="55" spans="1:18" s="2057" customFormat="1" ht="18" customHeight="1" thickTop="1" thickBot="1">
      <c r="A55" s="796">
        <v>2</v>
      </c>
      <c r="B55" s="797" t="s">
        <v>644</v>
      </c>
      <c r="C55" s="798">
        <f ca="1">C13</f>
        <v>2081</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2300</v>
      </c>
      <c r="C56" s="53">
        <f ca="1">C29</f>
        <v>2081</v>
      </c>
      <c r="D56" s="3212"/>
      <c r="E56" s="783"/>
      <c r="F56" s="808"/>
      <c r="I56" s="3162" t="s">
        <v>2355</v>
      </c>
      <c r="J56" s="3172" t="s">
        <v>1679</v>
      </c>
      <c r="K56" s="3121" t="s">
        <v>2360</v>
      </c>
      <c r="L56" s="1906" t="str">
        <f ca="1">IF(L48&lt;J51,"——",L48-J51)</f>
        <v>——</v>
      </c>
      <c r="O56" s="2393" t="s">
        <v>2373</v>
      </c>
      <c r="P56" s="2394" t="s">
        <v>2374</v>
      </c>
      <c r="Q56" s="2395" t="s">
        <v>2375</v>
      </c>
      <c r="R56" s="2394" t="s">
        <v>2376</v>
      </c>
    </row>
    <row r="57" spans="1:18" s="2057" customFormat="1" ht="28.5" customHeight="1" thickBot="1">
      <c r="A57" s="796" t="s">
        <v>7</v>
      </c>
      <c r="B57" s="797" t="s">
        <v>651</v>
      </c>
      <c r="C57" s="798">
        <f ca="1">ROUND(C58+C63+C64+C65,0)</f>
        <v>35</v>
      </c>
      <c r="D57" s="26" t="s">
        <v>652</v>
      </c>
      <c r="E57" s="3214"/>
      <c r="F57" s="56"/>
      <c r="I57" s="3163" t="s">
        <v>2356</v>
      </c>
      <c r="J57" s="3164" t="str">
        <f ca="1">IF(OR(M47="住宅",J51&lt;L48,J56="是"),"——",J51-L48)</f>
        <v>——</v>
      </c>
      <c r="K57" s="3121" t="s">
        <v>2361</v>
      </c>
      <c r="L57" s="1906" t="str">
        <f ca="1">IF(L48&lt;J51,"——",IF(L55="比较法",L49,IF(L55="基准地价",L50,L51)))</f>
        <v>——</v>
      </c>
      <c r="O57" s="2396" t="s">
        <v>2377</v>
      </c>
      <c r="P57" s="2397" t="s">
        <v>2403</v>
      </c>
      <c r="Q57" s="2398">
        <f ca="1">C40+J29</f>
        <v>5923</v>
      </c>
      <c r="R57" s="2397" t="s">
        <v>2378</v>
      </c>
    </row>
    <row r="58" spans="1:18" s="2057" customFormat="1" ht="28.5" customHeight="1" thickBot="1">
      <c r="A58" s="1648" t="s">
        <v>1825</v>
      </c>
      <c r="B58" s="783" t="s">
        <v>656</v>
      </c>
      <c r="C58" s="53">
        <f ca="1">ROUND(IF(项目基本情况!B11="自然人",C47*F58,C59+C60+C61),1)</f>
        <v>0.4</v>
      </c>
      <c r="D58" s="3211" t="s">
        <v>657</v>
      </c>
      <c r="E58" s="3212"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12" t="s">
        <v>661</v>
      </c>
      <c r="E59" s="783" t="s">
        <v>649</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664</v>
      </c>
      <c r="C60" s="53">
        <f ca="1">IF(D60="按租金收入计税",ROUND(C47*F60,1),IF(D60="按房产原值计税",ROUND(C56*F60*0.7,1),INDIRECT("'数据-取费表'!Aj"&amp;$G$1)))</f>
        <v>0</v>
      </c>
      <c r="D60" s="3212" t="str">
        <f>D33</f>
        <v>按租金收入计税</v>
      </c>
      <c r="E60" s="783" t="s">
        <v>649</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0.4</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2340.38</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31.2</v>
      </c>
      <c r="D63" s="3212" t="s">
        <v>691</v>
      </c>
      <c r="E63" s="783" t="s">
        <v>649</v>
      </c>
      <c r="F63" s="816">
        <f t="shared" ca="1" si="0"/>
        <v>1.4999999999999999E-2</v>
      </c>
      <c r="I63" s="3168" t="s">
        <v>2368</v>
      </c>
      <c r="J63" s="3169">
        <v>70</v>
      </c>
      <c r="K63" s="3169">
        <v>50</v>
      </c>
      <c r="L63" s="3169">
        <v>80</v>
      </c>
      <c r="M63" s="3171">
        <v>0.02</v>
      </c>
      <c r="O63" s="2396" t="s">
        <v>2389</v>
      </c>
      <c r="P63" s="2397" t="s">
        <v>2406</v>
      </c>
      <c r="Q63" s="2398">
        <f ca="1">Q57+Q58</f>
        <v>5923</v>
      </c>
      <c r="R63" s="2401" t="s">
        <v>2390</v>
      </c>
    </row>
    <row r="64" spans="1:18" s="2057" customFormat="1" ht="16.5" thickBot="1">
      <c r="A64" s="1648" t="s">
        <v>1891</v>
      </c>
      <c r="B64" s="783" t="s">
        <v>679</v>
      </c>
      <c r="C64" s="53">
        <f ca="1">ROUND(C55*F64,1)</f>
        <v>3.1</v>
      </c>
      <c r="D64" s="3212" t="s">
        <v>680</v>
      </c>
      <c r="E64" s="783" t="s">
        <v>649</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12" t="s">
        <v>683</v>
      </c>
      <c r="E65" s="783" t="s">
        <v>649</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-35</v>
      </c>
      <c r="D66" s="3211" t="s">
        <v>700</v>
      </c>
      <c r="E66" s="3209"/>
      <c r="F66" s="819"/>
      <c r="K66" s="2084"/>
      <c r="O66" s="2396" t="s">
        <v>2377</v>
      </c>
      <c r="P66" s="2397" t="s">
        <v>2403</v>
      </c>
      <c r="Q66" s="2398">
        <f ca="1">C40+J29</f>
        <v>5923</v>
      </c>
      <c r="R66" s="2397" t="s">
        <v>2378</v>
      </c>
    </row>
    <row r="67" spans="1:18" s="2057" customFormat="1" ht="20.25" thickBot="1">
      <c r="A67" s="780" t="s">
        <v>1781</v>
      </c>
      <c r="B67" s="2230" t="s">
        <v>2301</v>
      </c>
      <c r="C67" s="782">
        <f ca="1">ROUND(C66*(1-((1+F69)/(1+F67))^F68)/(F67-F69),0)</f>
        <v>-628</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708</v>
      </c>
      <c r="F68" s="821">
        <f ca="1">F41</f>
        <v>46.66</v>
      </c>
      <c r="O68" s="2399" t="s">
        <v>2381</v>
      </c>
      <c r="P68" s="2397" t="s">
        <v>2411</v>
      </c>
      <c r="Q68" s="2403">
        <f ca="1">L51</f>
        <v>453</v>
      </c>
      <c r="R68" s="2404" t="s">
        <v>2414</v>
      </c>
    </row>
    <row r="69" spans="1:18" ht="20.25" thickBot="1">
      <c r="A69" s="789"/>
      <c r="B69" s="790"/>
      <c r="C69" s="791"/>
      <c r="D69" s="815"/>
      <c r="E69" s="783" t="s">
        <v>710</v>
      </c>
      <c r="F69" s="2369"/>
      <c r="O69" s="2399" t="s">
        <v>2382</v>
      </c>
      <c r="P69" s="2405" t="s">
        <v>2396</v>
      </c>
      <c r="Q69" s="2398">
        <f ca="1">ROUND(Q70-Q71*Q72,0)</f>
        <v>23</v>
      </c>
      <c r="R69" s="2401"/>
    </row>
    <row r="70" spans="1:18" ht="15.75" thickBot="1">
      <c r="A70" s="822" t="s">
        <v>1788</v>
      </c>
      <c r="B70" s="823" t="s">
        <v>1811</v>
      </c>
      <c r="C70" s="824">
        <f ca="1">ROUND(C67*10000/F70,0)</f>
        <v>-1069</v>
      </c>
      <c r="D70" s="825" t="s">
        <v>1812</v>
      </c>
      <c r="E70" s="826" t="s">
        <v>1813</v>
      </c>
      <c r="F70" s="827">
        <f ca="1">F43</f>
        <v>5874.31</v>
      </c>
      <c r="O70" s="2399" t="s">
        <v>2397</v>
      </c>
      <c r="P70" s="2405" t="s">
        <v>2398</v>
      </c>
      <c r="Q70" s="2398">
        <f ca="1">C39</f>
        <v>200</v>
      </c>
      <c r="R70" s="2397" t="s">
        <v>2378</v>
      </c>
    </row>
    <row r="71" spans="1:18" ht="15.75" thickBot="1">
      <c r="O71" s="2399" t="s">
        <v>2399</v>
      </c>
      <c r="P71" s="2405" t="s">
        <v>2400</v>
      </c>
      <c r="Q71" s="2398">
        <f ca="1">C13</f>
        <v>2081</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5923</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7" priority="6">
      <formula>$L$48&gt;$J$51</formula>
    </cfRule>
  </conditionalFormatting>
  <conditionalFormatting sqref="I55">
    <cfRule type="expression" dxfId="6" priority="7">
      <formula>$J$51&gt;$L$48</formula>
    </cfRule>
  </conditionalFormatting>
  <conditionalFormatting sqref="I60">
    <cfRule type="expression" dxfId="5" priority="5">
      <formula>$J$51&gt;$L$48</formula>
    </cfRule>
  </conditionalFormatting>
  <conditionalFormatting sqref="K60">
    <cfRule type="expression" dxfId="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8" sqref="F1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120" t="s">
        <v>3233</v>
      </c>
      <c r="E1" s="2385" t="s">
        <v>870</v>
      </c>
      <c r="F1" s="2386">
        <f ca="1">J53</f>
        <v>46.66</v>
      </c>
      <c r="G1" s="773">
        <f>MATCH(C1,'数据-取费表'!A6:A16,0)+5</f>
        <v>10</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16082</v>
      </c>
      <c r="C2" s="2055"/>
      <c r="D2" s="2053"/>
      <c r="E2" s="2054"/>
      <c r="F2" s="2054"/>
      <c r="G2" s="1589"/>
      <c r="H2" s="2055"/>
      <c r="I2" s="2055"/>
      <c r="J2" s="2055"/>
      <c r="K2" s="2056"/>
      <c r="L2" s="2055"/>
      <c r="M2" s="2055"/>
    </row>
    <row r="3" spans="1:33" ht="18" customHeight="1" thickBot="1">
      <c r="A3" s="832" t="s">
        <v>519</v>
      </c>
      <c r="B3" s="833">
        <f ca="1">IF(ISERROR(B2*10000/F43),0,ROUND(B2*10000/F43,0))</f>
        <v>6156</v>
      </c>
      <c r="C3" s="2055"/>
      <c r="D3" s="2053"/>
      <c r="E3" s="2054"/>
      <c r="F3" s="2054"/>
      <c r="G3" s="1589"/>
      <c r="H3" s="775" t="s">
        <v>695</v>
      </c>
      <c r="I3" s="1362"/>
      <c r="J3" s="1362"/>
      <c r="K3" s="1590"/>
      <c r="L3" s="1362"/>
      <c r="M3" s="1362"/>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2456</v>
      </c>
      <c r="C5" s="55">
        <f ca="1">C6+C10+C12</f>
        <v>858</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858</v>
      </c>
      <c r="D6" s="2495" t="s">
        <v>2460</v>
      </c>
      <c r="E6" s="783" t="s">
        <v>637</v>
      </c>
      <c r="F6" s="784">
        <f ca="1">INDIRECT("'数据-取费表'!u"&amp;$G$1)</f>
        <v>1</v>
      </c>
      <c r="G6" s="1591"/>
      <c r="H6" s="2502" t="s">
        <v>1825</v>
      </c>
      <c r="I6" s="3571" t="s">
        <v>2461</v>
      </c>
      <c r="J6" s="782">
        <f ca="1">ROUND(M6*M8*M7*(1-M9)/10000,0)</f>
        <v>0</v>
      </c>
      <c r="K6" s="340" t="s">
        <v>636</v>
      </c>
      <c r="L6" s="783" t="s">
        <v>637</v>
      </c>
      <c r="M6" s="784">
        <f ca="1">INDIRECT("'数据-取费表'!z"&amp;$G$1)</f>
        <v>0</v>
      </c>
    </row>
    <row r="7" spans="1:33" ht="18" customHeight="1">
      <c r="A7" s="2498"/>
      <c r="B7" s="3572"/>
      <c r="C7" s="787"/>
      <c r="D7" s="788"/>
      <c r="E7" s="783" t="s">
        <v>638</v>
      </c>
      <c r="F7" s="784">
        <f ca="1">IF(INDIRECT("'数据-取费表'!ah"&amp;$G$1)="",INDIRECT("'数据-取费表'!k"&amp;$G$1),INDIRECT("'数据-取费表'!ah"&amp;$G$1))</f>
        <v>26123.5</v>
      </c>
      <c r="G7" s="1591"/>
      <c r="H7" s="2487"/>
      <c r="I7" s="3572"/>
      <c r="J7" s="787"/>
      <c r="K7" s="788"/>
      <c r="L7" s="783" t="s">
        <v>638</v>
      </c>
      <c r="M7" s="784">
        <f ca="1">F7</f>
        <v>26123.5</v>
      </c>
    </row>
    <row r="8" spans="1:33" ht="18" customHeight="1">
      <c r="A8" s="2491"/>
      <c r="B8" s="3573"/>
      <c r="C8" s="787"/>
      <c r="D8" s="788"/>
      <c r="E8" s="783" t="s">
        <v>639</v>
      </c>
      <c r="F8" s="784">
        <f ca="1">INDIRECT("'数据-取费表'!ai"&amp;$G$1)</f>
        <v>365</v>
      </c>
      <c r="G8" s="1591"/>
      <c r="H8" s="2487"/>
      <c r="I8" s="3573"/>
      <c r="J8" s="787"/>
      <c r="K8" s="788"/>
      <c r="L8" s="783" t="s">
        <v>639</v>
      </c>
      <c r="M8" s="784">
        <f ca="1">INDIRECT("'数据-取费表'!ai"&amp;$G$1)</f>
        <v>365</v>
      </c>
    </row>
    <row r="9" spans="1:33" ht="18" customHeight="1">
      <c r="A9" s="785"/>
      <c r="B9" s="3574"/>
      <c r="C9" s="787"/>
      <c r="D9" s="788"/>
      <c r="E9" s="783" t="s">
        <v>640</v>
      </c>
      <c r="F9" s="793">
        <f ca="1">INDIRECT("'数据-取费表'!w"&amp;$G$1)</f>
        <v>0.1</v>
      </c>
      <c r="G9" s="1591"/>
      <c r="H9" s="2503"/>
      <c r="I9" s="3573"/>
      <c r="J9" s="787"/>
      <c r="K9" s="788"/>
      <c r="L9" s="794" t="s">
        <v>640</v>
      </c>
      <c r="M9" s="795">
        <f ca="1">INDIRECT("'数据-取费表'!ab"&amp;$G$1)</f>
        <v>0</v>
      </c>
    </row>
    <row r="10" spans="1:33" ht="18" customHeight="1">
      <c r="A10" s="1828" t="s">
        <v>1826</v>
      </c>
      <c r="B10" s="2492" t="s">
        <v>2457</v>
      </c>
      <c r="C10" s="798">
        <f ca="1">ROUND(IF(F10="押一",C6/12*F11,IF(F10="押二",C6/12*2*F11,IF(F10="押三",C6/12*3*F11,C11*F11))),0)</f>
        <v>0</v>
      </c>
      <c r="D10" s="2499" t="s">
        <v>2962</v>
      </c>
      <c r="E10" s="2496" t="s">
        <v>2462</v>
      </c>
      <c r="F10" s="2619" t="s">
        <v>3301</v>
      </c>
      <c r="G10" s="1591"/>
      <c r="H10" s="2559" t="s">
        <v>1826</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2454</v>
      </c>
      <c r="F11" s="795">
        <f ca="1">'数据-取费表'!B39</f>
        <v>1.4999999999999999E-2</v>
      </c>
      <c r="G11" s="1591"/>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1"/>
      <c r="H12" s="2549" t="s">
        <v>2465</v>
      </c>
      <c r="I12" s="2562" t="s">
        <v>2458</v>
      </c>
      <c r="J12" s="2563"/>
      <c r="K12" s="2538"/>
      <c r="L12" s="2539"/>
      <c r="M12" s="2552"/>
    </row>
    <row r="13" spans="1:33" ht="18" customHeight="1" thickTop="1">
      <c r="A13" s="1827">
        <v>2</v>
      </c>
      <c r="B13" s="1825" t="s">
        <v>644</v>
      </c>
      <c r="C13" s="791">
        <f ca="1">ROUND(C29*F13,0)</f>
        <v>9256</v>
      </c>
      <c r="D13" s="1832" t="s">
        <v>2297</v>
      </c>
      <c r="E13" s="1832" t="s">
        <v>643</v>
      </c>
      <c r="F13" s="2534">
        <f ca="1">INDIRECT("'数据-取费表'!y"&amp;$G$1)</f>
        <v>1</v>
      </c>
      <c r="G13" s="1591"/>
      <c r="H13" s="1827">
        <v>2</v>
      </c>
      <c r="I13" s="1825" t="s">
        <v>644</v>
      </c>
      <c r="J13" s="1817">
        <f ca="1">ROUND(J14*J15,0)</f>
        <v>0</v>
      </c>
      <c r="K13" s="1819" t="s">
        <v>642</v>
      </c>
      <c r="L13" s="2550"/>
      <c r="M13" s="2551"/>
    </row>
    <row r="14" spans="1:33" ht="18" customHeight="1">
      <c r="A14" s="1647" t="s">
        <v>1832</v>
      </c>
      <c r="B14" s="783" t="s">
        <v>645</v>
      </c>
      <c r="C14" s="803">
        <f ca="1">INDIRECT("'数据-取费表'!m"&amp;$G$1)+INDIRECT("'数据-取费表'!t"&amp;$G$1)</f>
        <v>6783</v>
      </c>
      <c r="D14" s="3211" t="s">
        <v>646</v>
      </c>
      <c r="E14" s="3210"/>
      <c r="F14" s="804"/>
      <c r="G14" s="1591"/>
      <c r="H14" s="1648" t="s">
        <v>1825</v>
      </c>
      <c r="I14" s="2229" t="s">
        <v>2822</v>
      </c>
      <c r="J14" s="53">
        <f ca="1">C29</f>
        <v>9256</v>
      </c>
      <c r="K14" s="26"/>
      <c r="L14" s="800"/>
      <c r="M14" s="801"/>
    </row>
    <row r="15" spans="1:33" s="2062" customFormat="1" ht="18" customHeight="1" thickBot="1">
      <c r="A15" s="1647" t="s">
        <v>1833</v>
      </c>
      <c r="B15" s="783" t="s">
        <v>647</v>
      </c>
      <c r="C15" s="53">
        <f ca="1">ROUND(C14*F15,0)</f>
        <v>203</v>
      </c>
      <c r="D15" s="805" t="s">
        <v>648</v>
      </c>
      <c r="E15" s="805" t="s">
        <v>649</v>
      </c>
      <c r="F15" s="806">
        <f>'数据-取费表'!B33</f>
        <v>0.03</v>
      </c>
      <c r="G15" s="1592"/>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1834</v>
      </c>
      <c r="B16" s="783" t="s">
        <v>650</v>
      </c>
      <c r="C16" s="53">
        <f ca="1">ROUND(INDIRECT("'数据-取费表'!m"&amp;$G$1)*F16,0)</f>
        <v>0</v>
      </c>
      <c r="D16" s="783" t="s">
        <v>648</v>
      </c>
      <c r="E16" s="783" t="s">
        <v>649</v>
      </c>
      <c r="F16" s="808">
        <f ca="1">IF(INDIRECT("'数据-取费表'!c"&amp;$G$1)="住宅",'数据-取费表'!B34,0)</f>
        <v>0</v>
      </c>
      <c r="G16" s="1591"/>
      <c r="H16" s="1827" t="s">
        <v>7</v>
      </c>
      <c r="I16" s="1825" t="s">
        <v>651</v>
      </c>
      <c r="J16" s="791">
        <f ca="1">ROUND(J17+J22+J23+J24,0)</f>
        <v>919</v>
      </c>
      <c r="K16" s="1819" t="s">
        <v>652</v>
      </c>
      <c r="L16" s="3213"/>
      <c r="M16" s="2489"/>
    </row>
    <row r="17" spans="1:33" s="2062" customFormat="1" ht="18" customHeight="1">
      <c r="A17" s="1647" t="s">
        <v>1888</v>
      </c>
      <c r="B17" s="783" t="s">
        <v>653</v>
      </c>
      <c r="C17" s="53">
        <f ca="1">ROUND(F17*(F43+INDIRECT("'数据-取费表'!S"&amp;$G$1))/10000,0)</f>
        <v>565</v>
      </c>
      <c r="D17" s="783" t="s">
        <v>654</v>
      </c>
      <c r="E17" s="783" t="s">
        <v>655</v>
      </c>
      <c r="F17" s="56">
        <f>'数据-取费表'!B35</f>
        <v>200</v>
      </c>
      <c r="G17" s="1592"/>
      <c r="H17" s="1648" t="s">
        <v>1825</v>
      </c>
      <c r="I17" s="783" t="s">
        <v>656</v>
      </c>
      <c r="J17" s="53">
        <f ca="1">ROUND(IF(项目基本情况!B11="自然人",J5*M17,J18+J19+J20),0)</f>
        <v>780</v>
      </c>
      <c r="K17" s="3211" t="s">
        <v>657</v>
      </c>
      <c r="L17" s="3212" t="s">
        <v>658</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102</v>
      </c>
      <c r="D18" s="783" t="s">
        <v>648</v>
      </c>
      <c r="E18" s="783" t="s">
        <v>649</v>
      </c>
      <c r="F18" s="808">
        <f>'数据-取费表'!B36</f>
        <v>1.4999999999999999E-2</v>
      </c>
      <c r="G18" s="1592"/>
      <c r="H18" s="1647" t="s">
        <v>1832</v>
      </c>
      <c r="I18" s="783" t="s">
        <v>660</v>
      </c>
      <c r="J18" s="53">
        <f ca="1">ROUND(J5*M18/1.05,1)</f>
        <v>0</v>
      </c>
      <c r="K18" s="3212" t="s">
        <v>661</v>
      </c>
      <c r="L18" s="783" t="s">
        <v>649</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1825</v>
      </c>
      <c r="B19" s="783" t="s">
        <v>662</v>
      </c>
      <c r="C19" s="53">
        <f ca="1">SUM(C14:C18)</f>
        <v>7653</v>
      </c>
      <c r="D19" s="260" t="s">
        <v>663</v>
      </c>
      <c r="E19" s="3214"/>
      <c r="F19" s="56"/>
      <c r="G19" s="1591"/>
      <c r="H19" s="1647" t="s">
        <v>1833</v>
      </c>
      <c r="I19" s="783" t="s">
        <v>664</v>
      </c>
      <c r="J19" s="53">
        <f ca="1">IF(K19="按租金收入计税",ROUND(J5*M19,1),ROUND(C29*F33*0.7,1))</f>
        <v>777.5</v>
      </c>
      <c r="K19" s="810" t="s">
        <v>665</v>
      </c>
      <c r="L19" s="783" t="s">
        <v>649</v>
      </c>
      <c r="M19" s="808">
        <f>IF(K19="按租金收入计税",'数据-取费表'!B51,'数据-取费表'!B50)</f>
        <v>1.2E-2</v>
      </c>
    </row>
    <row r="20" spans="1:33" s="2062" customFormat="1" ht="18" customHeight="1">
      <c r="A20" s="1648" t="s">
        <v>1890</v>
      </c>
      <c r="B20" s="783" t="s">
        <v>666</v>
      </c>
      <c r="C20" s="53">
        <f ca="1">ROUND(C19*F20,0)</f>
        <v>153</v>
      </c>
      <c r="D20" s="811" t="s">
        <v>667</v>
      </c>
      <c r="E20" s="783" t="s">
        <v>649</v>
      </c>
      <c r="F20" s="808">
        <f>'数据-取费表'!B37</f>
        <v>0.02</v>
      </c>
      <c r="G20" s="1592"/>
      <c r="H20" s="1650" t="s">
        <v>1881</v>
      </c>
      <c r="I20" s="340" t="s">
        <v>668</v>
      </c>
      <c r="J20" s="54">
        <f ca="1">ROUND(M20*M21/10000,0)</f>
        <v>2</v>
      </c>
      <c r="K20" s="813" t="s">
        <v>669</v>
      </c>
      <c r="L20" s="783" t="s">
        <v>670</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671</v>
      </c>
      <c r="C21" s="53" t="s">
        <v>1</v>
      </c>
      <c r="D21" s="811" t="s">
        <v>2298</v>
      </c>
      <c r="E21" s="783" t="s">
        <v>673</v>
      </c>
      <c r="F21" s="808">
        <f>'数据-取费表'!B38</f>
        <v>0.02</v>
      </c>
      <c r="G21" s="1592"/>
      <c r="H21" s="2504"/>
      <c r="I21" s="792"/>
      <c r="J21" s="69"/>
      <c r="K21" s="815"/>
      <c r="L21" s="783" t="s">
        <v>674</v>
      </c>
      <c r="M21" s="784">
        <f ca="1">INDIRECT("'数据-取费表'!r"&amp;$G$1)</f>
        <v>10407.869999999999</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675</v>
      </c>
      <c r="C22" s="53"/>
      <c r="D22" s="2570" t="str">
        <f>IF(F23&lt;=1,"单利计息。","复利计息。")&amp;"建造成本、管理费用、销售费用产生的利息。"</f>
        <v>复利计息。建造成本、管理费用、销售费用产生的利息。</v>
      </c>
      <c r="E22" s="3214"/>
      <c r="F22" s="56"/>
      <c r="G22" s="1591"/>
      <c r="H22" s="1648" t="s">
        <v>1890</v>
      </c>
      <c r="I22" s="783" t="s">
        <v>676</v>
      </c>
      <c r="J22" s="53">
        <f ca="1">ROUND(J14*M22,0)</f>
        <v>139</v>
      </c>
      <c r="K22" s="3212" t="s">
        <v>677</v>
      </c>
      <c r="L22" s="783" t="s">
        <v>649</v>
      </c>
      <c r="M22" s="816">
        <f ca="1">INDIRECT("'数据-取费表'!Ak"&amp;$G$1)</f>
        <v>1.4999999999999999E-2</v>
      </c>
    </row>
    <row r="23" spans="1:33" s="2062" customFormat="1" ht="18" customHeight="1">
      <c r="A23" s="1647" t="s">
        <v>1832</v>
      </c>
      <c r="B23" s="783" t="s">
        <v>2435</v>
      </c>
      <c r="C23" s="53">
        <f ca="1">ROUND(IF('数据-取费表'!B22&lt;=1,(C19+C20)*F24*F23/2,(C19+C20)*(POWER((1+F24),F23/2)-1)),0)</f>
        <v>371</v>
      </c>
      <c r="D23" s="2569" t="str">
        <f>IF(F23&lt;=1,"(建造成本+管理费用)×利率×(建设周期÷2)","(建造成本+管理费用)×((1+利率)^(建设周期÷2)-1)")</f>
        <v>(建造成本+管理费用)×((1+利率)^(建设周期÷2)-1)</v>
      </c>
      <c r="E23" s="783" t="s">
        <v>678</v>
      </c>
      <c r="F23" s="639">
        <f>'数据-取费表'!B20</f>
        <v>2</v>
      </c>
      <c r="G23" s="1592"/>
      <c r="H23" s="1648" t="s">
        <v>1891</v>
      </c>
      <c r="I23" s="783" t="s">
        <v>679</v>
      </c>
      <c r="J23" s="53">
        <f ca="1">ROUND(J13*M23,0)</f>
        <v>0</v>
      </c>
      <c r="K23" s="3212" t="s">
        <v>680</v>
      </c>
      <c r="L23" s="783" t="s">
        <v>649</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681</v>
      </c>
      <c r="C24" s="53">
        <f ca="1">ROUND(IF('数据-取费表'!B22&lt;=1,F21*F24*F23/2,F21*(POWER((1+F24),F23/2)-1)),4)</f>
        <v>1E-3</v>
      </c>
      <c r="D24" s="2569" t="str">
        <f>IF(F23&lt;=1,"销售费用×利率×(建设周期÷2)","销售费用×((1+利率)^(建设周期÷2)-1)")</f>
        <v>销售费用×((1+利率)^(建设周期÷2)-1)</v>
      </c>
      <c r="E24" s="783" t="s">
        <v>682</v>
      </c>
      <c r="F24" s="818">
        <f ca="1">'数据-取费表'!B40</f>
        <v>4.7500000000000001E-2</v>
      </c>
      <c r="G24" s="1592"/>
      <c r="H24" s="2549" t="s">
        <v>1892</v>
      </c>
      <c r="I24" s="2544" t="s">
        <v>666</v>
      </c>
      <c r="J24" s="2542">
        <f ca="1">ROUND(J5*M24,0)</f>
        <v>0</v>
      </c>
      <c r="K24" s="2543" t="s">
        <v>683</v>
      </c>
      <c r="L24" s="2544" t="s">
        <v>649</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685</v>
      </c>
      <c r="E25" s="3214"/>
      <c r="F25" s="56"/>
      <c r="G25" s="1591"/>
      <c r="H25" s="1827" t="s">
        <v>1777</v>
      </c>
      <c r="I25" s="3007" t="s">
        <v>2819</v>
      </c>
      <c r="J25" s="791">
        <f ca="1">J5-J16</f>
        <v>-919</v>
      </c>
      <c r="K25" s="2546" t="s">
        <v>700</v>
      </c>
      <c r="L25" s="2547"/>
      <c r="M25" s="2548"/>
    </row>
    <row r="26" spans="1:33" ht="18" customHeight="1">
      <c r="A26" s="1647" t="s">
        <v>1832</v>
      </c>
      <c r="B26" s="783" t="s">
        <v>2436</v>
      </c>
      <c r="C26" s="53">
        <f ca="1">ROUND((C19+C20)*F26,0)</f>
        <v>390</v>
      </c>
      <c r="D26" s="811" t="s">
        <v>701</v>
      </c>
      <c r="E26" s="794" t="s">
        <v>702</v>
      </c>
      <c r="F26" s="793">
        <f ca="1">INDIRECT("'数据-取费表'!q"&amp;$G$1)</f>
        <v>0.05</v>
      </c>
      <c r="G26" s="1591"/>
      <c r="H26" s="2500" t="s">
        <v>1781</v>
      </c>
      <c r="I26" s="2230" t="s">
        <v>2824</v>
      </c>
      <c r="J26" s="782">
        <f ca="1">IF(J5&lt;&gt;0,ROUND(J25*(1-((1+M28)/(1+M26))^M27)/(M26-M28),0),0)</f>
        <v>0</v>
      </c>
      <c r="K26" s="813" t="s">
        <v>704</v>
      </c>
      <c r="L26" s="783" t="s">
        <v>2417</v>
      </c>
      <c r="M26" s="793">
        <f ca="1">INDIRECT("'数据-取费表'!I"&amp;$G$1)</f>
        <v>0.05</v>
      </c>
    </row>
    <row r="27" spans="1:33" ht="18" customHeight="1">
      <c r="A27" s="1647" t="s">
        <v>1833</v>
      </c>
      <c r="B27" s="783" t="s">
        <v>686</v>
      </c>
      <c r="C27" s="53">
        <f ca="1">ROUND(F21*F26,4)</f>
        <v>1E-3</v>
      </c>
      <c r="D27" s="811" t="s">
        <v>706</v>
      </c>
      <c r="E27" s="805"/>
      <c r="F27" s="806"/>
      <c r="G27" s="1591"/>
      <c r="H27" s="2501"/>
      <c r="I27" s="786"/>
      <c r="J27" s="787"/>
      <c r="K27" s="820" t="s">
        <v>707</v>
      </c>
      <c r="L27" s="783" t="s">
        <v>708</v>
      </c>
      <c r="M27" s="821">
        <f ca="1">INDIRECT("'数据-取费表'!ag"&amp;$G$1)</f>
        <v>0</v>
      </c>
    </row>
    <row r="28" spans="1:33" s="2062" customFormat="1" ht="18" customHeight="1">
      <c r="A28" s="1649" t="s">
        <v>1842</v>
      </c>
      <c r="B28" s="783" t="s">
        <v>687</v>
      </c>
      <c r="C28" s="53">
        <f>ROUND(F28/(1+'数据-取费表'!C42),4)</f>
        <v>5.2400000000000002E-2</v>
      </c>
      <c r="D28" s="811" t="s">
        <v>2299</v>
      </c>
      <c r="E28" s="783" t="s">
        <v>649</v>
      </c>
      <c r="F28" s="808">
        <f>'数据-取费表'!B41</f>
        <v>5.5000000000000007E-2</v>
      </c>
      <c r="G28" s="1592"/>
      <c r="H28" s="1827"/>
      <c r="I28" s="790"/>
      <c r="J28" s="791"/>
      <c r="K28" s="815"/>
      <c r="L28" s="783" t="s">
        <v>710</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9256</v>
      </c>
      <c r="D29" s="2543"/>
      <c r="E29" s="2544"/>
      <c r="F29" s="2545"/>
      <c r="G29" s="1592"/>
      <c r="H29" s="822" t="s">
        <v>1788</v>
      </c>
      <c r="I29" s="823" t="s">
        <v>1789</v>
      </c>
      <c r="J29" s="824">
        <f ca="1">ROUND(J26/(1+F40)^F41,0)</f>
        <v>0</v>
      </c>
      <c r="K29" s="825" t="s">
        <v>1790</v>
      </c>
      <c r="L29" s="826"/>
      <c r="M29" s="827">
        <f ca="1">INDIRECT("'数据-取费表'!k"&amp;$G$1)</f>
        <v>26123.5</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1">
        <f ca="1">ROUND(C31+C36+C37+C38,0)</f>
        <v>315</v>
      </c>
      <c r="D30" s="1819" t="s">
        <v>652</v>
      </c>
      <c r="E30" s="3213"/>
      <c r="F30" s="2489"/>
      <c r="G30" s="2060"/>
      <c r="H30" s="2063"/>
      <c r="I30" s="2064"/>
      <c r="J30" s="2065"/>
      <c r="K30" s="2066"/>
      <c r="L30" s="2067"/>
      <c r="M30" s="2068"/>
    </row>
    <row r="31" spans="1:33" ht="18" customHeight="1">
      <c r="A31" s="1648" t="s">
        <v>1825</v>
      </c>
      <c r="B31" s="783" t="s">
        <v>656</v>
      </c>
      <c r="C31" s="53">
        <f ca="1">ROUND(IF(项目基本情况!B11="自然人",C5*F31,C32+C33+C34),1)</f>
        <v>149.5</v>
      </c>
      <c r="D31" s="3211" t="s">
        <v>657</v>
      </c>
      <c r="E31" s="3212"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660</v>
      </c>
      <c r="C32" s="53">
        <f ca="1">ROUND(C5*F32/1.05,1)</f>
        <v>44.9</v>
      </c>
      <c r="D32" s="3212" t="s">
        <v>661</v>
      </c>
      <c r="E32" s="783" t="s">
        <v>649</v>
      </c>
      <c r="F32" s="808">
        <f>'数据-取费表'!B41</f>
        <v>5.5000000000000007E-2</v>
      </c>
      <c r="G32" s="2060"/>
      <c r="H32" s="2069"/>
      <c r="I32" s="2070"/>
      <c r="J32" s="2071"/>
      <c r="K32" s="2072"/>
      <c r="L32" s="2073"/>
      <c r="M32" s="2074"/>
    </row>
    <row r="33" spans="1:18" ht="18" customHeight="1">
      <c r="A33" s="1647" t="s">
        <v>1833</v>
      </c>
      <c r="B33" s="783" t="s">
        <v>664</v>
      </c>
      <c r="C33" s="53">
        <f ca="1">IF(D33="按租金收入计税",ROUND(C5*F33,1),IF(D33="按房产原值计税",ROUND(C29*F33*0.7,1),INDIRECT("'数据-取费表'!Aj"&amp;$G$1)))</f>
        <v>103</v>
      </c>
      <c r="D33" s="810" t="s">
        <v>3235</v>
      </c>
      <c r="E33" s="783" t="s">
        <v>649</v>
      </c>
      <c r="F33" s="808">
        <f>IF(D33="按租金收入计税",'数据-取费表'!B51,'数据-取费表'!B50)</f>
        <v>0.12</v>
      </c>
      <c r="G33" s="2060"/>
      <c r="H33" s="2075"/>
      <c r="I33" s="2075"/>
      <c r="J33" s="2075"/>
      <c r="K33" s="2076"/>
      <c r="L33" s="2075"/>
      <c r="M33" s="2075"/>
    </row>
    <row r="34" spans="1:18" ht="18" customHeight="1">
      <c r="A34" s="1650" t="s">
        <v>1834</v>
      </c>
      <c r="B34" s="340" t="s">
        <v>668</v>
      </c>
      <c r="C34" s="54">
        <f ca="1">ROUND(F34*F35/10000,1)</f>
        <v>1.6</v>
      </c>
      <c r="D34" s="813" t="s">
        <v>669</v>
      </c>
      <c r="E34" s="783" t="s">
        <v>670</v>
      </c>
      <c r="F34" s="639">
        <f>'数据-取费表'!B52</f>
        <v>1.5</v>
      </c>
      <c r="G34" s="2060"/>
      <c r="H34" s="2063"/>
      <c r="I34" s="834" t="s">
        <v>1814</v>
      </c>
      <c r="J34" s="835"/>
      <c r="K34" s="2078"/>
      <c r="L34" s="2077"/>
      <c r="M34" s="2077"/>
    </row>
    <row r="35" spans="1:18" ht="18" customHeight="1">
      <c r="A35" s="814"/>
      <c r="B35" s="792"/>
      <c r="C35" s="69"/>
      <c r="D35" s="815"/>
      <c r="E35" s="783" t="s">
        <v>674</v>
      </c>
      <c r="F35" s="784">
        <f ca="1">INDIRECT("'数据-取费表'!r"&amp;$G$1)</f>
        <v>10407.869999999999</v>
      </c>
      <c r="G35" s="2060"/>
      <c r="H35" s="2063"/>
      <c r="I35" s="836" t="s">
        <v>1815</v>
      </c>
      <c r="J35" s="837">
        <f ca="1">ROUND(C13*J36,0)</f>
        <v>787</v>
      </c>
      <c r="K35" s="2076"/>
      <c r="L35" s="2075"/>
      <c r="M35" s="2075"/>
    </row>
    <row r="36" spans="1:18" ht="18" customHeight="1">
      <c r="A36" s="1648" t="s">
        <v>1890</v>
      </c>
      <c r="B36" s="783" t="s">
        <v>676</v>
      </c>
      <c r="C36" s="53">
        <f ca="1">ROUND(C29*F36,1)</f>
        <v>138.80000000000001</v>
      </c>
      <c r="D36" s="3212" t="s">
        <v>691</v>
      </c>
      <c r="E36" s="783" t="s">
        <v>649</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13.9</v>
      </c>
      <c r="D37" s="3212" t="s">
        <v>680</v>
      </c>
      <c r="E37" s="783" t="s">
        <v>649</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12.9</v>
      </c>
      <c r="D38" s="2543" t="s">
        <v>683</v>
      </c>
      <c r="E38" s="2544" t="s">
        <v>649</v>
      </c>
      <c r="F38" s="2540">
        <f ca="1">INDIRECT("'数据-取费表'!Am"&amp;$G$1)</f>
        <v>1.4999999999999999E-2</v>
      </c>
      <c r="G38" s="2060"/>
      <c r="H38" s="2075"/>
      <c r="I38" s="842" t="s">
        <v>1818</v>
      </c>
      <c r="J38" s="843"/>
      <c r="K38" s="2081"/>
      <c r="L38" s="2075"/>
      <c r="M38" s="2075"/>
    </row>
    <row r="39" spans="1:18" ht="24.6" customHeight="1" thickTop="1">
      <c r="A39" s="1827" t="s">
        <v>1777</v>
      </c>
      <c r="B39" s="3007" t="s">
        <v>2819</v>
      </c>
      <c r="C39" s="791">
        <f ca="1">C5-C30</f>
        <v>543</v>
      </c>
      <c r="D39" s="2546" t="s">
        <v>700</v>
      </c>
      <c r="E39" s="2547"/>
      <c r="F39" s="2548"/>
      <c r="G39" s="2060"/>
      <c r="H39" s="2075"/>
      <c r="I39" s="836" t="s">
        <v>1819</v>
      </c>
      <c r="J39" s="844">
        <f ca="1">ROUND(J35/C39,3)</f>
        <v>1.4490000000000001</v>
      </c>
      <c r="K39" s="2081"/>
      <c r="L39" s="2075"/>
      <c r="M39" s="2075"/>
    </row>
    <row r="40" spans="1:18" ht="18" customHeight="1">
      <c r="A40" s="780" t="s">
        <v>1781</v>
      </c>
      <c r="B40" s="2230" t="s">
        <v>2301</v>
      </c>
      <c r="C40" s="782">
        <f ca="1">ROUND(C39*(1-((1+F42)/(1+F40))^F41)/(F40-F42),0)</f>
        <v>16082</v>
      </c>
      <c r="D40" s="813" t="s">
        <v>704</v>
      </c>
      <c r="E40" s="783" t="s">
        <v>2417</v>
      </c>
      <c r="F40" s="793">
        <f ca="1">INDIRECT("'数据-取费表'!I"&amp;$G$1)</f>
        <v>0.05</v>
      </c>
      <c r="G40" s="2060"/>
      <c r="H40" s="2060"/>
      <c r="I40" s="836" t="s">
        <v>1820</v>
      </c>
      <c r="J40" s="844">
        <f ca="1">1-J39</f>
        <v>-0.44900000000000007</v>
      </c>
      <c r="K40" s="2081"/>
      <c r="L40" s="2060"/>
      <c r="M40" s="2060"/>
    </row>
    <row r="41" spans="1:18" ht="18" customHeight="1">
      <c r="A41" s="785"/>
      <c r="B41" s="786"/>
      <c r="C41" s="787"/>
      <c r="D41" s="820" t="s">
        <v>1809</v>
      </c>
      <c r="E41" s="783" t="s">
        <v>708</v>
      </c>
      <c r="F41" s="821">
        <f ca="1">IF(INDIRECT("'数据-取费表'!af"&amp;$G$1)=0,INDIRECT("'数据-取费表'!ae"&amp;$G$1),INDIRECT("'数据-取费表'!af"&amp;$G$1))</f>
        <v>46.66</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0.57599999999999996</v>
      </c>
      <c r="K42" s="2080"/>
      <c r="L42" s="1986"/>
      <c r="M42" s="1986"/>
    </row>
    <row r="43" spans="1:18" ht="18" customHeight="1" thickBot="1">
      <c r="A43" s="822" t="s">
        <v>1788</v>
      </c>
      <c r="B43" s="823" t="s">
        <v>1811</v>
      </c>
      <c r="C43" s="824">
        <f ca="1">ROUND(C40*10000/F43,0)</f>
        <v>6156</v>
      </c>
      <c r="D43" s="825" t="s">
        <v>1812</v>
      </c>
      <c r="E43" s="826" t="s">
        <v>1813</v>
      </c>
      <c r="F43" s="827">
        <f ca="1">INDIRECT("'数据-取费表'!k"&amp;$G$1)</f>
        <v>26123.5</v>
      </c>
      <c r="G43" s="2060"/>
      <c r="H43" s="1986"/>
      <c r="I43" s="846" t="s">
        <v>1823</v>
      </c>
      <c r="J43" s="847">
        <f ca="1">1-J42</f>
        <v>0.42400000000000004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-18846</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50</v>
      </c>
      <c r="M47" s="1603"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48.66</v>
      </c>
      <c r="O48" s="2396" t="s">
        <v>2377</v>
      </c>
      <c r="P48" s="2397" t="s">
        <v>2403</v>
      </c>
      <c r="Q48" s="2398">
        <f ca="1">C40+J29</f>
        <v>16082</v>
      </c>
      <c r="R48" s="2397" t="s">
        <v>2378</v>
      </c>
    </row>
    <row r="49" spans="1:18" s="2057" customFormat="1" ht="18" customHeight="1" thickBot="1">
      <c r="A49" s="785"/>
      <c r="B49" s="786"/>
      <c r="C49" s="787"/>
      <c r="D49" s="788"/>
      <c r="E49" s="783" t="s">
        <v>638</v>
      </c>
      <c r="F49" s="784">
        <f ca="1">F7</f>
        <v>26123.5</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639</v>
      </c>
      <c r="F50" s="784">
        <f ca="1">F8</f>
        <v>365</v>
      </c>
      <c r="G50" s="2093"/>
      <c r="H50" s="2091"/>
      <c r="I50" s="3121" t="s">
        <v>2345</v>
      </c>
      <c r="J50" s="3149">
        <f>SUMPRODUCT((I63:I65=J47)*(J62:L62=J48)*(J63:L65))</f>
        <v>60</v>
      </c>
      <c r="K50" s="3154" t="s">
        <v>2351</v>
      </c>
      <c r="L50" s="2382"/>
      <c r="O50" s="2399" t="s">
        <v>2381</v>
      </c>
      <c r="P50" s="2397" t="s">
        <v>2405</v>
      </c>
      <c r="Q50" s="2398">
        <f ca="1">C29</f>
        <v>9256</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-4781</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46.66</v>
      </c>
      <c r="K53" s="3587" t="s">
        <v>2954</v>
      </c>
      <c r="L53" s="3588"/>
      <c r="O53" s="2399" t="s">
        <v>2386</v>
      </c>
      <c r="P53" s="2397" t="s">
        <v>2387</v>
      </c>
      <c r="Q53" s="2398">
        <f ca="1">J53</f>
        <v>46.66</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16082</v>
      </c>
      <c r="R54" s="2401" t="s">
        <v>2390</v>
      </c>
    </row>
    <row r="55" spans="1:18" s="2057" customFormat="1" ht="18" customHeight="1" thickTop="1" thickBot="1">
      <c r="A55" s="796">
        <v>2</v>
      </c>
      <c r="B55" s="797" t="s">
        <v>644</v>
      </c>
      <c r="C55" s="798">
        <f ca="1">C13</f>
        <v>9256</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2300</v>
      </c>
      <c r="C56" s="53">
        <f ca="1">C29</f>
        <v>9256</v>
      </c>
      <c r="D56" s="3212"/>
      <c r="E56" s="783"/>
      <c r="F56" s="808"/>
      <c r="I56" s="3162" t="s">
        <v>2355</v>
      </c>
      <c r="J56" s="3172" t="s">
        <v>1679</v>
      </c>
      <c r="K56" s="3121" t="s">
        <v>2360</v>
      </c>
      <c r="L56" s="1906" t="str">
        <f ca="1">IF(L48&lt;J51,"——",L48-J51)</f>
        <v>——</v>
      </c>
      <c r="O56" s="2393" t="s">
        <v>2373</v>
      </c>
      <c r="P56" s="2394" t="s">
        <v>2374</v>
      </c>
      <c r="Q56" s="2395" t="s">
        <v>2375</v>
      </c>
      <c r="R56" s="2394" t="s">
        <v>2376</v>
      </c>
    </row>
    <row r="57" spans="1:18" s="2057" customFormat="1" ht="28.5" customHeight="1" thickBot="1">
      <c r="A57" s="796" t="s">
        <v>7</v>
      </c>
      <c r="B57" s="797" t="s">
        <v>651</v>
      </c>
      <c r="C57" s="798">
        <f ca="1">ROUND(C58+C63+C64+C65,0)</f>
        <v>154</v>
      </c>
      <c r="D57" s="26" t="s">
        <v>652</v>
      </c>
      <c r="E57" s="3214"/>
      <c r="F57" s="56"/>
      <c r="I57" s="3163" t="s">
        <v>2356</v>
      </c>
      <c r="J57" s="3164" t="str">
        <f ca="1">IF(OR(M47="住宅",J51&lt;L48,J56="是"),"——",J51-L48)</f>
        <v>——</v>
      </c>
      <c r="K57" s="3121" t="s">
        <v>2361</v>
      </c>
      <c r="L57" s="1906" t="str">
        <f ca="1">IF(L48&lt;J51,"——",IF(L55="比较法",L49,IF(L55="基准地价",L50,L51)))</f>
        <v>——</v>
      </c>
      <c r="O57" s="2396" t="s">
        <v>2377</v>
      </c>
      <c r="P57" s="2397" t="s">
        <v>2403</v>
      </c>
      <c r="Q57" s="2398">
        <f ca="1">C40+J29</f>
        <v>16082</v>
      </c>
      <c r="R57" s="2397" t="s">
        <v>2378</v>
      </c>
    </row>
    <row r="58" spans="1:18" s="2057" customFormat="1" ht="28.5" customHeight="1" thickBot="1">
      <c r="A58" s="1648" t="s">
        <v>1825</v>
      </c>
      <c r="B58" s="783" t="s">
        <v>656</v>
      </c>
      <c r="C58" s="53">
        <f ca="1">ROUND(IF(项目基本情况!B11="自然人",C47*F58,C59+C60+C61),1)</f>
        <v>1.6</v>
      </c>
      <c r="D58" s="3211" t="s">
        <v>657</v>
      </c>
      <c r="E58" s="3212"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12" t="s">
        <v>661</v>
      </c>
      <c r="E59" s="783" t="s">
        <v>649</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664</v>
      </c>
      <c r="C60" s="53">
        <f ca="1">IF(D60="按租金收入计税",ROUND(C47*F60,1),IF(D60="按房产原值计税",ROUND(C56*F60*0.7,1),INDIRECT("'数据-取费表'!Aj"&amp;$G$1)))</f>
        <v>0</v>
      </c>
      <c r="D60" s="3212" t="str">
        <f>D33</f>
        <v>按租金收入计税</v>
      </c>
      <c r="E60" s="783" t="s">
        <v>649</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1.6</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10407.869999999999</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138.80000000000001</v>
      </c>
      <c r="D63" s="3212" t="s">
        <v>691</v>
      </c>
      <c r="E63" s="783" t="s">
        <v>649</v>
      </c>
      <c r="F63" s="816">
        <f t="shared" ca="1" si="0"/>
        <v>1.4999999999999999E-2</v>
      </c>
      <c r="I63" s="3168" t="s">
        <v>2368</v>
      </c>
      <c r="J63" s="3169">
        <v>70</v>
      </c>
      <c r="K63" s="3169">
        <v>50</v>
      </c>
      <c r="L63" s="3169">
        <v>80</v>
      </c>
      <c r="M63" s="3171">
        <v>0.02</v>
      </c>
      <c r="O63" s="2396" t="s">
        <v>2389</v>
      </c>
      <c r="P63" s="2397" t="s">
        <v>2406</v>
      </c>
      <c r="Q63" s="2398">
        <f ca="1">Q57+Q58</f>
        <v>16082</v>
      </c>
      <c r="R63" s="2401" t="s">
        <v>2390</v>
      </c>
    </row>
    <row r="64" spans="1:18" s="2057" customFormat="1" ht="16.5" thickBot="1">
      <c r="A64" s="1648" t="s">
        <v>1891</v>
      </c>
      <c r="B64" s="783" t="s">
        <v>679</v>
      </c>
      <c r="C64" s="53">
        <f ca="1">ROUND(C55*F64,1)</f>
        <v>13.9</v>
      </c>
      <c r="D64" s="3212" t="s">
        <v>680</v>
      </c>
      <c r="E64" s="783" t="s">
        <v>649</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12" t="s">
        <v>683</v>
      </c>
      <c r="E65" s="783" t="s">
        <v>649</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-154</v>
      </c>
      <c r="D66" s="3211" t="s">
        <v>700</v>
      </c>
      <c r="E66" s="3209"/>
      <c r="F66" s="819"/>
      <c r="K66" s="2084"/>
      <c r="O66" s="2396" t="s">
        <v>2377</v>
      </c>
      <c r="P66" s="2397" t="s">
        <v>2403</v>
      </c>
      <c r="Q66" s="2398">
        <f ca="1">C40+J29</f>
        <v>16082</v>
      </c>
      <c r="R66" s="2397" t="s">
        <v>2378</v>
      </c>
    </row>
    <row r="67" spans="1:18" s="2057" customFormat="1" ht="20.25" thickBot="1">
      <c r="A67" s="780" t="s">
        <v>1781</v>
      </c>
      <c r="B67" s="2230" t="s">
        <v>2301</v>
      </c>
      <c r="C67" s="782">
        <f ca="1">ROUND(C66*(1-((1+F69)/(1+F67))^F68)/(F67-F69),0)</f>
        <v>-2764</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708</v>
      </c>
      <c r="F68" s="821">
        <f ca="1">F41</f>
        <v>46.66</v>
      </c>
      <c r="O68" s="2399" t="s">
        <v>2381</v>
      </c>
      <c r="P68" s="2397" t="s">
        <v>2411</v>
      </c>
      <c r="Q68" s="2403">
        <f ca="1">L51</f>
        <v>-4781</v>
      </c>
      <c r="R68" s="2404" t="s">
        <v>2414</v>
      </c>
    </row>
    <row r="69" spans="1:18" ht="20.25" thickBot="1">
      <c r="A69" s="789"/>
      <c r="B69" s="790"/>
      <c r="C69" s="791"/>
      <c r="D69" s="815"/>
      <c r="E69" s="783" t="s">
        <v>710</v>
      </c>
      <c r="F69" s="2369"/>
      <c r="O69" s="2399" t="s">
        <v>2382</v>
      </c>
      <c r="P69" s="2405" t="s">
        <v>2396</v>
      </c>
      <c r="Q69" s="2398">
        <f ca="1">ROUND(Q70-Q71*Q72,0)</f>
        <v>-244</v>
      </c>
      <c r="R69" s="2401"/>
    </row>
    <row r="70" spans="1:18" ht="15.75" thickBot="1">
      <c r="A70" s="822" t="s">
        <v>1788</v>
      </c>
      <c r="B70" s="823" t="s">
        <v>1811</v>
      </c>
      <c r="C70" s="824">
        <f ca="1">ROUND(C67*10000/F70,0)</f>
        <v>-1058</v>
      </c>
      <c r="D70" s="825" t="s">
        <v>1812</v>
      </c>
      <c r="E70" s="826" t="s">
        <v>1813</v>
      </c>
      <c r="F70" s="827">
        <f ca="1">F43</f>
        <v>26123.5</v>
      </c>
      <c r="O70" s="2399" t="s">
        <v>2397</v>
      </c>
      <c r="P70" s="2405" t="s">
        <v>2398</v>
      </c>
      <c r="Q70" s="2398">
        <f ca="1">C39</f>
        <v>543</v>
      </c>
      <c r="R70" s="2397" t="s">
        <v>2378</v>
      </c>
    </row>
    <row r="71" spans="1:18" ht="15.75" thickBot="1">
      <c r="O71" s="2399" t="s">
        <v>2399</v>
      </c>
      <c r="P71" s="2405" t="s">
        <v>2400</v>
      </c>
      <c r="Q71" s="2398">
        <f ca="1">C13</f>
        <v>9256</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16082</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3" priority="6">
      <formula>$L$48&gt;$J$51</formula>
    </cfRule>
  </conditionalFormatting>
  <conditionalFormatting sqref="I55">
    <cfRule type="expression" dxfId="2" priority="7">
      <formula>$J$51&gt;$L$48</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H5" sqref="H5"/>
    </sheetView>
  </sheetViews>
  <sheetFormatPr defaultRowHeight="12"/>
  <cols>
    <col min="1" max="1" width="42.125" style="3175" customWidth="1"/>
    <col min="2" max="6" width="9" style="3175"/>
    <col min="7" max="7" width="4.875" style="3175" customWidth="1"/>
    <col min="8" max="8" width="11" style="3175" customWidth="1"/>
    <col min="9" max="12" width="9" style="3175"/>
    <col min="13" max="13" width="33.625" style="3175" customWidth="1"/>
    <col min="14" max="16384" width="9" style="3175"/>
  </cols>
  <sheetData>
    <row r="1" spans="1:20" s="3231" customFormat="1" ht="24">
      <c r="A1" s="3230" t="s">
        <v>2970</v>
      </c>
      <c r="B1" s="3230" t="s">
        <v>2971</v>
      </c>
      <c r="C1" s="3230" t="s">
        <v>2972</v>
      </c>
      <c r="D1" s="3230" t="s">
        <v>2973</v>
      </c>
      <c r="E1" s="3230" t="s">
        <v>2974</v>
      </c>
      <c r="F1" s="3230" t="s">
        <v>2032</v>
      </c>
      <c r="G1" s="3230" t="s">
        <v>2975</v>
      </c>
      <c r="H1" s="3230" t="s">
        <v>2976</v>
      </c>
      <c r="I1" s="3230" t="s">
        <v>2977</v>
      </c>
      <c r="J1" s="3230" t="s">
        <v>2978</v>
      </c>
      <c r="K1" s="3230" t="s">
        <v>2979</v>
      </c>
      <c r="L1" s="3230" t="s">
        <v>2980</v>
      </c>
      <c r="M1" s="3230" t="s">
        <v>2981</v>
      </c>
      <c r="N1" s="3231" t="s">
        <v>3021</v>
      </c>
    </row>
    <row r="2" spans="1:20" s="3176" customFormat="1" ht="24">
      <c r="A2" s="3218" t="s">
        <v>3279</v>
      </c>
      <c r="B2" s="3218" t="s">
        <v>1948</v>
      </c>
      <c r="C2" s="3218" t="s">
        <v>2982</v>
      </c>
      <c r="D2" s="3218">
        <v>36365.370000000003</v>
      </c>
      <c r="E2" s="3218">
        <v>65458</v>
      </c>
      <c r="F2" s="3218">
        <v>1.8</v>
      </c>
      <c r="G2" s="3218" t="s">
        <v>2983</v>
      </c>
      <c r="H2" s="3234">
        <v>43285</v>
      </c>
      <c r="I2" s="3218">
        <v>180000</v>
      </c>
      <c r="J2" s="3218">
        <v>260000</v>
      </c>
      <c r="K2" s="3218">
        <v>39720.120000000003</v>
      </c>
      <c r="L2" s="3218">
        <v>44.44</v>
      </c>
      <c r="M2" s="3218" t="s">
        <v>2984</v>
      </c>
      <c r="N2" s="3178">
        <v>0</v>
      </c>
    </row>
    <row r="3" spans="1:20" s="3176" customFormat="1" ht="24">
      <c r="A3" s="3218" t="s">
        <v>3280</v>
      </c>
      <c r="B3" s="3218" t="s">
        <v>1948</v>
      </c>
      <c r="C3" s="3218" t="s">
        <v>2985</v>
      </c>
      <c r="D3" s="3218">
        <v>151738.6</v>
      </c>
      <c r="E3" s="3218">
        <v>152374</v>
      </c>
      <c r="F3" s="3218">
        <v>1.004</v>
      </c>
      <c r="G3" s="3218" t="s">
        <v>2983</v>
      </c>
      <c r="H3" s="3234">
        <v>43273</v>
      </c>
      <c r="I3" s="3218">
        <v>460000</v>
      </c>
      <c r="J3" s="3218">
        <v>685400</v>
      </c>
      <c r="K3" s="3218">
        <v>44981.43</v>
      </c>
      <c r="L3" s="3218">
        <v>49</v>
      </c>
      <c r="M3" s="3218" t="s">
        <v>2986</v>
      </c>
      <c r="N3" s="3178">
        <v>0.16</v>
      </c>
    </row>
    <row r="4" spans="1:20" ht="24">
      <c r="A4" s="3217" t="s">
        <v>2987</v>
      </c>
      <c r="B4" s="3217" t="s">
        <v>1948</v>
      </c>
      <c r="C4" s="3217" t="s">
        <v>2985</v>
      </c>
      <c r="D4" s="3217">
        <v>132352.79999999999</v>
      </c>
      <c r="E4" s="3217">
        <v>201775</v>
      </c>
      <c r="F4" s="3217">
        <v>1.52</v>
      </c>
      <c r="G4" s="3217" t="s">
        <v>2983</v>
      </c>
      <c r="H4" s="3217" t="s">
        <v>2988</v>
      </c>
      <c r="I4" s="3217">
        <v>365000</v>
      </c>
      <c r="J4" s="3217">
        <v>380000</v>
      </c>
      <c r="K4" s="3217">
        <v>18832.86</v>
      </c>
      <c r="L4" s="3217">
        <v>4.1100000000000003</v>
      </c>
      <c r="M4" s="3217" t="s">
        <v>2989</v>
      </c>
    </row>
    <row r="5" spans="1:20" s="3176" customFormat="1" ht="36">
      <c r="A5" s="3218" t="s">
        <v>3281</v>
      </c>
      <c r="B5" s="3218" t="s">
        <v>1948</v>
      </c>
      <c r="C5" s="3218" t="s">
        <v>2985</v>
      </c>
      <c r="D5" s="3218">
        <v>65602.95</v>
      </c>
      <c r="E5" s="3218">
        <v>120165</v>
      </c>
      <c r="F5" s="3218">
        <v>1.83</v>
      </c>
      <c r="G5" s="3218" t="s">
        <v>2983</v>
      </c>
      <c r="H5" s="3234">
        <v>43038</v>
      </c>
      <c r="I5" s="3218">
        <v>330000</v>
      </c>
      <c r="J5" s="3218">
        <v>495000</v>
      </c>
      <c r="K5" s="3218">
        <v>41193.360000000001</v>
      </c>
      <c r="L5" s="3218">
        <v>50</v>
      </c>
      <c r="M5" s="3218" t="s">
        <v>2990</v>
      </c>
      <c r="N5" s="3178">
        <v>0.12</v>
      </c>
    </row>
    <row r="6" spans="1:20" ht="24">
      <c r="A6" s="3217" t="s">
        <v>2991</v>
      </c>
      <c r="B6" s="3217" t="s">
        <v>1948</v>
      </c>
      <c r="C6" s="3217" t="s">
        <v>2985</v>
      </c>
      <c r="D6" s="3217">
        <v>151051.70000000001</v>
      </c>
      <c r="E6" s="3217">
        <v>274253</v>
      </c>
      <c r="F6" s="3217" t="s">
        <v>2992</v>
      </c>
      <c r="G6" s="3217" t="s">
        <v>2983</v>
      </c>
      <c r="H6" s="3217" t="s">
        <v>2993</v>
      </c>
      <c r="I6" s="3217">
        <v>385000</v>
      </c>
      <c r="J6" s="3217">
        <v>502000</v>
      </c>
      <c r="K6" s="3217">
        <v>18304.27</v>
      </c>
      <c r="L6" s="3217">
        <v>30.39</v>
      </c>
      <c r="M6" s="3217" t="s">
        <v>2986</v>
      </c>
    </row>
    <row r="7" spans="1:20" s="3177" customFormat="1" ht="54.75" customHeight="1">
      <c r="A7" s="3219" t="s">
        <v>2994</v>
      </c>
      <c r="B7" s="3219" t="s">
        <v>1948</v>
      </c>
      <c r="C7" s="3219" t="s">
        <v>2982</v>
      </c>
      <c r="D7" s="3219">
        <v>155132.79999999999</v>
      </c>
      <c r="E7" s="3219">
        <v>156684</v>
      </c>
      <c r="F7" s="3219">
        <v>1.009999305</v>
      </c>
      <c r="G7" s="3219" t="s">
        <v>2983</v>
      </c>
      <c r="H7" s="3219" t="s">
        <v>2995</v>
      </c>
      <c r="I7" s="3219">
        <v>470000</v>
      </c>
      <c r="J7" s="3219">
        <v>705000</v>
      </c>
      <c r="K7" s="3219">
        <v>44995.01</v>
      </c>
      <c r="L7" s="3219">
        <v>50</v>
      </c>
      <c r="M7" s="3219" t="s">
        <v>2996</v>
      </c>
      <c r="N7" s="3179">
        <v>0.36</v>
      </c>
      <c r="O7" s="3620" t="s">
        <v>3022</v>
      </c>
      <c r="P7" s="3620"/>
      <c r="Q7" s="3620"/>
      <c r="R7" s="3620"/>
      <c r="S7" s="3620"/>
      <c r="T7" s="3620"/>
    </row>
    <row r="8" spans="1:20">
      <c r="A8" s="3217" t="s">
        <v>2997</v>
      </c>
      <c r="B8" s="3217" t="s">
        <v>1948</v>
      </c>
      <c r="C8" s="3217" t="s">
        <v>2982</v>
      </c>
      <c r="D8" s="3217">
        <v>41170.230000000003</v>
      </c>
      <c r="E8" s="3217">
        <v>60109</v>
      </c>
      <c r="F8" s="3217">
        <v>1.46</v>
      </c>
      <c r="G8" s="3217" t="s">
        <v>2983</v>
      </c>
      <c r="H8" s="3217" t="s">
        <v>2998</v>
      </c>
      <c r="I8" s="3217">
        <v>88000</v>
      </c>
      <c r="J8" s="3217">
        <v>121000</v>
      </c>
      <c r="K8" s="3217">
        <v>20130.09</v>
      </c>
      <c r="L8" s="3217">
        <v>37.5</v>
      </c>
      <c r="M8" s="3217" t="s">
        <v>2999</v>
      </c>
    </row>
    <row r="9" spans="1:20" ht="24">
      <c r="A9" s="3217" t="s">
        <v>3000</v>
      </c>
      <c r="B9" s="3217" t="s">
        <v>1948</v>
      </c>
      <c r="C9" s="3217" t="s">
        <v>2982</v>
      </c>
      <c r="D9" s="3217">
        <v>45104.74</v>
      </c>
      <c r="E9" s="3217">
        <v>112093</v>
      </c>
      <c r="F9" s="3217">
        <v>2.5</v>
      </c>
      <c r="G9" s="3217" t="s">
        <v>2983</v>
      </c>
      <c r="H9" s="3217" t="s">
        <v>2998</v>
      </c>
      <c r="I9" s="3217">
        <v>130000</v>
      </c>
      <c r="J9" s="3217">
        <v>193000</v>
      </c>
      <c r="K9" s="3217">
        <v>17217.84</v>
      </c>
      <c r="L9" s="3217">
        <v>48.46</v>
      </c>
      <c r="M9" s="3217" t="s">
        <v>3001</v>
      </c>
    </row>
    <row r="10" spans="1:20" ht="24">
      <c r="A10" s="3217" t="s">
        <v>3002</v>
      </c>
      <c r="B10" s="3217" t="s">
        <v>1948</v>
      </c>
      <c r="C10" s="3217" t="s">
        <v>2985</v>
      </c>
      <c r="D10" s="3217">
        <v>17756.68</v>
      </c>
      <c r="E10" s="3217">
        <v>39065</v>
      </c>
      <c r="F10" s="3217">
        <v>2.2000000000000002</v>
      </c>
      <c r="G10" s="3217" t="s">
        <v>2983</v>
      </c>
      <c r="H10" s="3217" t="s">
        <v>3003</v>
      </c>
      <c r="I10" s="3217">
        <v>50000</v>
      </c>
      <c r="J10" s="3217">
        <v>75000</v>
      </c>
      <c r="K10" s="3217">
        <v>19198.77</v>
      </c>
      <c r="L10" s="3217">
        <v>50</v>
      </c>
      <c r="M10" s="3217" t="s">
        <v>3004</v>
      </c>
    </row>
    <row r="11" spans="1:20" ht="24">
      <c r="A11" s="3217" t="s">
        <v>3005</v>
      </c>
      <c r="B11" s="3217" t="s">
        <v>1948</v>
      </c>
      <c r="C11" s="3217" t="s">
        <v>2985</v>
      </c>
      <c r="D11" s="3217">
        <v>74844.53</v>
      </c>
      <c r="E11" s="3217">
        <v>134689</v>
      </c>
      <c r="F11" s="3217">
        <v>1.8</v>
      </c>
      <c r="G11" s="3217" t="s">
        <v>2983</v>
      </c>
      <c r="H11" s="3217" t="s">
        <v>3006</v>
      </c>
      <c r="I11" s="3217">
        <v>87100</v>
      </c>
      <c r="J11" s="3217">
        <v>126000</v>
      </c>
      <c r="K11" s="3217">
        <v>9354.8700000000008</v>
      </c>
      <c r="L11" s="3217">
        <v>44.66</v>
      </c>
      <c r="M11" s="3217" t="s">
        <v>3007</v>
      </c>
    </row>
    <row r="12" spans="1:20">
      <c r="A12" s="3217" t="s">
        <v>3008</v>
      </c>
      <c r="B12" s="3217" t="s">
        <v>1948</v>
      </c>
      <c r="C12" s="3217" t="s">
        <v>2982</v>
      </c>
      <c r="D12" s="3217">
        <v>118126.9</v>
      </c>
      <c r="E12" s="3217">
        <v>208824</v>
      </c>
      <c r="F12" s="3217">
        <v>1.77</v>
      </c>
      <c r="G12" s="3217" t="s">
        <v>2983</v>
      </c>
      <c r="H12" s="3217" t="s">
        <v>3009</v>
      </c>
      <c r="I12" s="3217">
        <v>176500</v>
      </c>
      <c r="J12" s="3217">
        <v>264750</v>
      </c>
      <c r="K12" s="3217">
        <v>12678.13</v>
      </c>
      <c r="L12" s="3217">
        <v>50</v>
      </c>
      <c r="M12" s="3217" t="s">
        <v>3010</v>
      </c>
    </row>
    <row r="13" spans="1:20" ht="24">
      <c r="A13" s="3217" t="s">
        <v>3011</v>
      </c>
      <c r="B13" s="3217" t="s">
        <v>1948</v>
      </c>
      <c r="C13" s="3217" t="s">
        <v>2985</v>
      </c>
      <c r="D13" s="3217">
        <v>139657.29999999999</v>
      </c>
      <c r="E13" s="3217">
        <v>204355</v>
      </c>
      <c r="F13" s="3217">
        <v>1.46</v>
      </c>
      <c r="G13" s="3217" t="s">
        <v>2983</v>
      </c>
      <c r="H13" s="3217" t="s">
        <v>3009</v>
      </c>
      <c r="I13" s="3217">
        <v>156100</v>
      </c>
      <c r="J13" s="3217">
        <v>234150</v>
      </c>
      <c r="K13" s="3217">
        <v>11458</v>
      </c>
      <c r="L13" s="3217">
        <v>50</v>
      </c>
      <c r="M13" s="3217" t="s">
        <v>3010</v>
      </c>
    </row>
    <row r="14" spans="1:20" ht="24">
      <c r="A14" s="3217" t="s">
        <v>3012</v>
      </c>
      <c r="B14" s="3217" t="s">
        <v>1948</v>
      </c>
      <c r="C14" s="3217" t="s">
        <v>2985</v>
      </c>
      <c r="D14" s="3217">
        <v>79821.14</v>
      </c>
      <c r="E14" s="3217">
        <v>142412</v>
      </c>
      <c r="F14" s="3217">
        <v>1.78</v>
      </c>
      <c r="G14" s="3217" t="s">
        <v>2983</v>
      </c>
      <c r="H14" s="3217" t="s">
        <v>3013</v>
      </c>
      <c r="I14" s="3217">
        <v>142300</v>
      </c>
      <c r="J14" s="3217">
        <v>185000</v>
      </c>
      <c r="K14" s="3217">
        <v>12990.47</v>
      </c>
      <c r="L14" s="3217">
        <v>30.01</v>
      </c>
      <c r="M14" s="3217" t="s">
        <v>3014</v>
      </c>
    </row>
    <row r="15" spans="1:20" ht="24">
      <c r="A15" s="3217" t="s">
        <v>3015</v>
      </c>
      <c r="B15" s="3217" t="s">
        <v>1948</v>
      </c>
      <c r="C15" s="3217" t="s">
        <v>2985</v>
      </c>
      <c r="D15" s="3217">
        <v>85055.53</v>
      </c>
      <c r="E15" s="3217">
        <v>127584</v>
      </c>
      <c r="F15" s="3217">
        <v>1.5</v>
      </c>
      <c r="G15" s="3217" t="s">
        <v>2983</v>
      </c>
      <c r="H15" s="3217" t="s">
        <v>3016</v>
      </c>
      <c r="I15" s="3217">
        <v>46000</v>
      </c>
      <c r="J15" s="3217">
        <v>59800</v>
      </c>
      <c r="K15" s="3217">
        <v>4687.1000000000004</v>
      </c>
      <c r="L15" s="3217">
        <v>30</v>
      </c>
      <c r="M15" s="3217" t="s">
        <v>3017</v>
      </c>
    </row>
    <row r="16" spans="1:20" ht="24">
      <c r="A16" s="3217" t="s">
        <v>3018</v>
      </c>
      <c r="B16" s="3217" t="s">
        <v>1948</v>
      </c>
      <c r="C16" s="3217" t="s">
        <v>2982</v>
      </c>
      <c r="D16" s="3217">
        <v>49068.83</v>
      </c>
      <c r="E16" s="3217">
        <v>137393</v>
      </c>
      <c r="F16" s="3217">
        <v>2.8</v>
      </c>
      <c r="G16" s="3217" t="s">
        <v>2983</v>
      </c>
      <c r="H16" s="3217" t="s">
        <v>3019</v>
      </c>
      <c r="I16" s="3217">
        <v>83000</v>
      </c>
      <c r="J16" s="3217">
        <v>115000</v>
      </c>
      <c r="K16" s="3217">
        <v>8370.14</v>
      </c>
      <c r="L16" s="3217">
        <v>38.549999999999997</v>
      </c>
      <c r="M16" s="3217" t="s">
        <v>3020</v>
      </c>
    </row>
  </sheetData>
  <mergeCells count="1">
    <mergeCell ref="O7:T7"/>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I33" sqref="I33"/>
    </sheetView>
  </sheetViews>
  <sheetFormatPr defaultRowHeight="13.5"/>
  <sheetData>
    <row r="1" spans="1:8" ht="14.25" thickBot="1">
      <c r="A1" s="3624" t="s">
        <v>3282</v>
      </c>
      <c r="B1" s="3634" t="s">
        <v>3283</v>
      </c>
      <c r="C1" s="3634" t="s">
        <v>3284</v>
      </c>
      <c r="D1" s="3636" t="s">
        <v>3285</v>
      </c>
      <c r="E1" s="3637"/>
      <c r="F1" s="3638"/>
    </row>
    <row r="2" spans="1:8" ht="14.25" thickBot="1">
      <c r="A2" s="3625"/>
      <c r="B2" s="3635"/>
      <c r="C2" s="3635"/>
      <c r="D2" s="3235" t="s">
        <v>24</v>
      </c>
      <c r="E2" s="3236" t="s">
        <v>3061</v>
      </c>
      <c r="F2" s="3236" t="s">
        <v>3063</v>
      </c>
    </row>
    <row r="3" spans="1:8" ht="14.25" thickBot="1">
      <c r="A3" s="3625"/>
      <c r="B3" s="3627" t="s">
        <v>3286</v>
      </c>
      <c r="C3" s="3237" t="s">
        <v>3197</v>
      </c>
      <c r="D3" s="3238">
        <v>46712.66</v>
      </c>
      <c r="E3" s="3238">
        <v>46712.66</v>
      </c>
      <c r="F3" s="3238">
        <v>0</v>
      </c>
    </row>
    <row r="4" spans="1:8" ht="14.25" thickBot="1">
      <c r="A4" s="3625"/>
      <c r="B4" s="3628"/>
      <c r="C4" s="3237" t="s">
        <v>3199</v>
      </c>
      <c r="D4" s="3238">
        <v>10848.24</v>
      </c>
      <c r="E4" s="3238">
        <v>10848.24</v>
      </c>
      <c r="F4" s="3238">
        <v>0</v>
      </c>
      <c r="H4" s="3185"/>
    </row>
    <row r="5" spans="1:8" ht="14.25" thickBot="1">
      <c r="A5" s="3625"/>
      <c r="B5" s="3628"/>
      <c r="C5" s="3237" t="s">
        <v>3201</v>
      </c>
      <c r="D5" s="3238">
        <v>31676.1</v>
      </c>
      <c r="E5" s="3238">
        <v>31676.1</v>
      </c>
      <c r="F5" s="3238">
        <v>0</v>
      </c>
      <c r="H5" s="3185"/>
    </row>
    <row r="6" spans="1:8" ht="14.25" thickBot="1">
      <c r="A6" s="3625"/>
      <c r="B6" s="3628"/>
      <c r="C6" s="3237" t="s">
        <v>3033</v>
      </c>
      <c r="D6" s="3238">
        <v>480</v>
      </c>
      <c r="E6" s="3238">
        <v>250</v>
      </c>
      <c r="F6" s="3238">
        <v>230</v>
      </c>
    </row>
    <row r="7" spans="1:8" ht="14.25" thickBot="1">
      <c r="A7" s="3625"/>
      <c r="B7" s="3628"/>
      <c r="C7" s="3237" t="s">
        <v>35</v>
      </c>
      <c r="D7" s="3238">
        <v>36229.14</v>
      </c>
      <c r="E7" s="3238">
        <v>0</v>
      </c>
      <c r="F7" s="3238">
        <v>36229.14</v>
      </c>
    </row>
    <row r="8" spans="1:8" ht="14.25" thickBot="1">
      <c r="A8" s="3625"/>
      <c r="B8" s="3628"/>
      <c r="C8" s="3237" t="s">
        <v>3287</v>
      </c>
      <c r="D8" s="3238">
        <v>10172.129999999999</v>
      </c>
      <c r="E8" s="3238">
        <v>0</v>
      </c>
      <c r="F8" s="3238">
        <v>10172.129999999999</v>
      </c>
    </row>
    <row r="9" spans="1:8" ht="14.25" thickBot="1">
      <c r="A9" s="3625"/>
      <c r="B9" s="3629"/>
      <c r="C9" s="3237" t="s">
        <v>3229</v>
      </c>
      <c r="D9" s="3238">
        <v>72621.73</v>
      </c>
      <c r="E9" s="3238">
        <v>0</v>
      </c>
      <c r="F9" s="3238">
        <v>72621.73</v>
      </c>
    </row>
    <row r="10" spans="1:8" ht="14.25" thickBot="1">
      <c r="A10" s="3625"/>
      <c r="B10" s="3630" t="s">
        <v>3288</v>
      </c>
      <c r="C10" s="3631"/>
      <c r="D10" s="3238">
        <v>208740</v>
      </c>
      <c r="E10" s="3238">
        <v>89487</v>
      </c>
      <c r="F10" s="3238">
        <v>119253</v>
      </c>
    </row>
    <row r="11" spans="1:8" ht="14.25" thickBot="1">
      <c r="A11" s="3625"/>
      <c r="B11" s="3627" t="s">
        <v>1680</v>
      </c>
      <c r="C11" s="3237" t="s">
        <v>2314</v>
      </c>
      <c r="D11" s="3238">
        <v>18135</v>
      </c>
      <c r="E11" s="3238">
        <v>468</v>
      </c>
      <c r="F11" s="3238">
        <v>17667</v>
      </c>
    </row>
    <row r="12" spans="1:8" ht="14.25" thickBot="1">
      <c r="A12" s="3625"/>
      <c r="B12" s="3629"/>
      <c r="C12" s="3237" t="s">
        <v>3289</v>
      </c>
      <c r="D12" s="3238">
        <v>1920</v>
      </c>
      <c r="E12" s="3238">
        <v>1870</v>
      </c>
      <c r="F12" s="3238">
        <v>50</v>
      </c>
    </row>
    <row r="13" spans="1:8" ht="14.25" thickBot="1">
      <c r="A13" s="3625"/>
      <c r="B13" s="3630" t="s">
        <v>3290</v>
      </c>
      <c r="C13" s="3631"/>
      <c r="D13" s="3238">
        <v>20055</v>
      </c>
      <c r="E13" s="3238">
        <v>2338</v>
      </c>
      <c r="F13" s="3238">
        <v>17717</v>
      </c>
    </row>
    <row r="14" spans="1:8" ht="14.25" thickBot="1">
      <c r="A14" s="3626"/>
      <c r="B14" s="3632" t="s">
        <v>3291</v>
      </c>
      <c r="C14" s="3633"/>
      <c r="D14" s="3239">
        <v>228795</v>
      </c>
      <c r="E14" s="3239">
        <v>91825</v>
      </c>
      <c r="F14" s="3239">
        <v>136970</v>
      </c>
    </row>
    <row r="15" spans="1:8" ht="14.25" thickBot="1">
      <c r="A15" s="3624" t="s">
        <v>3292</v>
      </c>
      <c r="B15" s="3627" t="s">
        <v>3286</v>
      </c>
      <c r="C15" s="3237" t="s">
        <v>3197</v>
      </c>
      <c r="D15" s="3238">
        <v>37366</v>
      </c>
      <c r="E15" s="3238">
        <v>37366</v>
      </c>
      <c r="F15" s="3238">
        <v>0</v>
      </c>
    </row>
    <row r="16" spans="1:8" ht="14.25" thickBot="1">
      <c r="A16" s="3625"/>
      <c r="B16" s="3628"/>
      <c r="C16" s="3237" t="s">
        <v>3199</v>
      </c>
      <c r="D16" s="3238">
        <v>3479.62</v>
      </c>
      <c r="E16" s="3238">
        <v>3479.62</v>
      </c>
      <c r="F16" s="3238">
        <v>0</v>
      </c>
    </row>
    <row r="17" spans="1:6" ht="14.25" thickBot="1">
      <c r="A17" s="3625"/>
      <c r="B17" s="3628"/>
      <c r="C17" s="3237" t="s">
        <v>3201</v>
      </c>
      <c r="D17" s="3238">
        <v>23770.38</v>
      </c>
      <c r="E17" s="3238">
        <v>23770.38</v>
      </c>
      <c r="F17" s="3238">
        <v>0</v>
      </c>
    </row>
    <row r="18" spans="1:6" ht="14.25" thickBot="1">
      <c r="A18" s="3625"/>
      <c r="B18" s="3628"/>
      <c r="C18" s="3237" t="s">
        <v>35</v>
      </c>
      <c r="D18" s="3238">
        <v>27049</v>
      </c>
      <c r="E18" s="3238">
        <v>0</v>
      </c>
      <c r="F18" s="3238">
        <v>27049</v>
      </c>
    </row>
    <row r="19" spans="1:6" ht="14.25" thickBot="1">
      <c r="A19" s="3625"/>
      <c r="B19" s="3628"/>
      <c r="C19" s="3237" t="s">
        <v>3287</v>
      </c>
      <c r="D19" s="3238">
        <v>3356</v>
      </c>
      <c r="E19" s="3238">
        <v>0</v>
      </c>
      <c r="F19" s="3238">
        <v>3356</v>
      </c>
    </row>
    <row r="20" spans="1:6" ht="14.25" thickBot="1">
      <c r="A20" s="3625"/>
      <c r="B20" s="3629"/>
      <c r="C20" s="3237" t="s">
        <v>3229</v>
      </c>
      <c r="D20" s="3238">
        <v>61047</v>
      </c>
      <c r="E20" s="3238">
        <v>0</v>
      </c>
      <c r="F20" s="3238">
        <v>61047</v>
      </c>
    </row>
    <row r="21" spans="1:6" ht="14.25" thickBot="1">
      <c r="A21" s="3625"/>
      <c r="B21" s="3630" t="s">
        <v>3293</v>
      </c>
      <c r="C21" s="3631"/>
      <c r="D21" s="3238">
        <v>156068</v>
      </c>
      <c r="E21" s="3238">
        <v>64616</v>
      </c>
      <c r="F21" s="3238">
        <v>91452</v>
      </c>
    </row>
    <row r="22" spans="1:6" ht="14.25" thickBot="1">
      <c r="A22" s="3625"/>
      <c r="B22" s="3627" t="s">
        <v>1680</v>
      </c>
      <c r="C22" s="3237" t="s">
        <v>2314</v>
      </c>
      <c r="D22" s="3238">
        <v>11768</v>
      </c>
      <c r="E22" s="3238">
        <v>78</v>
      </c>
      <c r="F22" s="3238">
        <v>11690</v>
      </c>
    </row>
    <row r="23" spans="1:6" ht="14.25" thickBot="1">
      <c r="A23" s="3625"/>
      <c r="B23" s="3629"/>
      <c r="C23" s="3237" t="s">
        <v>3289</v>
      </c>
      <c r="D23" s="3238">
        <v>990</v>
      </c>
      <c r="E23" s="3238">
        <v>0</v>
      </c>
      <c r="F23" s="3238">
        <v>990</v>
      </c>
    </row>
    <row r="24" spans="1:6" ht="14.25" thickBot="1">
      <c r="A24" s="3625"/>
      <c r="B24" s="3630" t="s">
        <v>3294</v>
      </c>
      <c r="C24" s="3631"/>
      <c r="D24" s="3238">
        <v>12758</v>
      </c>
      <c r="E24" s="3238">
        <v>78</v>
      </c>
      <c r="F24" s="3238">
        <v>12680</v>
      </c>
    </row>
    <row r="25" spans="1:6" ht="14.25" thickBot="1">
      <c r="A25" s="3626"/>
      <c r="B25" s="3632" t="s">
        <v>3295</v>
      </c>
      <c r="C25" s="3633"/>
      <c r="D25" s="3239">
        <v>168826</v>
      </c>
      <c r="E25" s="3239">
        <v>64694</v>
      </c>
      <c r="F25" s="3239">
        <v>104132</v>
      </c>
    </row>
    <row r="26" spans="1:6" ht="14.25" thickBot="1">
      <c r="A26" s="3621" t="s">
        <v>3296</v>
      </c>
      <c r="B26" s="3622"/>
      <c r="C26" s="3623"/>
      <c r="D26" s="3239">
        <v>397621</v>
      </c>
      <c r="E26" s="3239">
        <v>156519</v>
      </c>
      <c r="F26" s="3239">
        <v>241102</v>
      </c>
    </row>
  </sheetData>
  <mergeCells count="16">
    <mergeCell ref="A1:A14"/>
    <mergeCell ref="B1:B2"/>
    <mergeCell ref="C1:C2"/>
    <mergeCell ref="D1:F1"/>
    <mergeCell ref="B3:B9"/>
    <mergeCell ref="B10:C10"/>
    <mergeCell ref="B11:B12"/>
    <mergeCell ref="B13:C13"/>
    <mergeCell ref="B14:C14"/>
    <mergeCell ref="A26:C26"/>
    <mergeCell ref="A15:A25"/>
    <mergeCell ref="B15:B20"/>
    <mergeCell ref="B21:C21"/>
    <mergeCell ref="B22:B23"/>
    <mergeCell ref="B24:C24"/>
    <mergeCell ref="B25:C25"/>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2" t="s">
        <v>2303</v>
      </c>
      <c r="C1" s="3642" t="s">
        <v>2304</v>
      </c>
      <c r="D1" s="3643"/>
      <c r="E1" s="3643"/>
      <c r="F1" s="3643"/>
      <c r="G1" s="3643"/>
      <c r="H1" s="3643"/>
      <c r="I1" s="3643"/>
      <c r="J1" s="3643"/>
      <c r="K1" s="3643"/>
      <c r="L1" s="3643"/>
      <c r="M1" s="3643"/>
      <c r="N1" s="3643"/>
      <c r="O1" s="3643"/>
      <c r="P1" s="3643"/>
      <c r="Q1" s="3643"/>
      <c r="R1" s="3643"/>
      <c r="S1" s="3644"/>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4" t="s">
        <v>2914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2">D6-$T5</f>
        <v>100</v>
      </c>
      <c r="F6" s="1967">
        <f t="shared" si="2"/>
        <v>100</v>
      </c>
      <c r="G6" s="1967">
        <f t="shared" si="2"/>
        <v>100</v>
      </c>
      <c r="H6" s="1967">
        <f t="shared" si="2"/>
        <v>100</v>
      </c>
      <c r="I6" s="1967">
        <f t="shared" si="2"/>
        <v>100</v>
      </c>
      <c r="J6" s="1967">
        <f t="shared" si="2"/>
        <v>100</v>
      </c>
      <c r="K6" s="1967">
        <f t="shared" si="2"/>
        <v>100</v>
      </c>
      <c r="L6" s="1967">
        <f t="shared" si="2"/>
        <v>100</v>
      </c>
      <c r="M6" s="1967">
        <f t="shared" si="2"/>
        <v>100</v>
      </c>
      <c r="N6" s="1967">
        <f t="shared" si="2"/>
        <v>100</v>
      </c>
      <c r="O6" s="1967">
        <f t="shared" si="2"/>
        <v>100</v>
      </c>
      <c r="P6" s="1967">
        <f t="shared" si="2"/>
        <v>100</v>
      </c>
      <c r="Q6" s="1967">
        <f t="shared" si="2"/>
        <v>100</v>
      </c>
      <c r="R6" s="1967">
        <f t="shared" si="2"/>
        <v>100</v>
      </c>
      <c r="S6" s="1967">
        <f t="shared" si="2"/>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6" t="s">
        <v>2913</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3">D8-$T7</f>
        <v>100</v>
      </c>
      <c r="F8" s="1967">
        <f t="shared" si="3"/>
        <v>100</v>
      </c>
      <c r="G8" s="1967">
        <f t="shared" si="3"/>
        <v>100</v>
      </c>
      <c r="H8" s="1967">
        <f t="shared" si="3"/>
        <v>100</v>
      </c>
      <c r="I8" s="1967">
        <f t="shared" si="3"/>
        <v>100</v>
      </c>
      <c r="J8" s="1967">
        <f t="shared" si="3"/>
        <v>100</v>
      </c>
      <c r="K8" s="1967">
        <f t="shared" si="3"/>
        <v>100</v>
      </c>
      <c r="L8" s="1967">
        <f t="shared" si="3"/>
        <v>100</v>
      </c>
      <c r="M8" s="1967">
        <f t="shared" si="3"/>
        <v>100</v>
      </c>
      <c r="N8" s="1967">
        <f t="shared" si="3"/>
        <v>100</v>
      </c>
      <c r="O8" s="1967">
        <f t="shared" si="3"/>
        <v>100</v>
      </c>
      <c r="P8" s="1967">
        <f t="shared" si="3"/>
        <v>100</v>
      </c>
      <c r="Q8" s="1967">
        <f t="shared" si="3"/>
        <v>100</v>
      </c>
      <c r="R8" s="1967">
        <f t="shared" si="3"/>
        <v>100</v>
      </c>
      <c r="S8" s="1967">
        <f t="shared" si="3"/>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6" t="s">
        <v>2912</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5"/>
      <c r="C10" s="2264">
        <v>100</v>
      </c>
      <c r="D10" s="2265">
        <f>C10-$T9</f>
        <v>100</v>
      </c>
      <c r="E10" s="2265">
        <f t="shared" ref="E10:S10" si="4">D10-$T9</f>
        <v>100</v>
      </c>
      <c r="F10" s="2265">
        <f t="shared" si="4"/>
        <v>100</v>
      </c>
      <c r="G10" s="2265">
        <f t="shared" si="4"/>
        <v>100</v>
      </c>
      <c r="H10" s="2265">
        <f t="shared" si="4"/>
        <v>100</v>
      </c>
      <c r="I10" s="2265">
        <f t="shared" si="4"/>
        <v>100</v>
      </c>
      <c r="J10" s="2265">
        <f t="shared" si="4"/>
        <v>100</v>
      </c>
      <c r="K10" s="2265">
        <f t="shared" si="4"/>
        <v>100</v>
      </c>
      <c r="L10" s="2265">
        <f t="shared" si="4"/>
        <v>100</v>
      </c>
      <c r="M10" s="2265">
        <f t="shared" si="4"/>
        <v>100</v>
      </c>
      <c r="N10" s="2265">
        <f t="shared" si="4"/>
        <v>100</v>
      </c>
      <c r="O10" s="2265">
        <f t="shared" si="4"/>
        <v>100</v>
      </c>
      <c r="P10" s="2265">
        <f t="shared" si="4"/>
        <v>100</v>
      </c>
      <c r="Q10" s="2265">
        <f t="shared" si="4"/>
        <v>100</v>
      </c>
      <c r="R10" s="2265">
        <f t="shared" si="4"/>
        <v>100</v>
      </c>
      <c r="S10" s="2265">
        <f t="shared" si="4"/>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4" t="s">
        <v>2927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5">D12-$T11</f>
        <v>100</v>
      </c>
      <c r="F12" s="1967">
        <f t="shared" si="5"/>
        <v>100</v>
      </c>
      <c r="G12" s="1967">
        <f t="shared" si="5"/>
        <v>100</v>
      </c>
      <c r="H12" s="1967">
        <f t="shared" si="5"/>
        <v>100</v>
      </c>
      <c r="I12" s="1967">
        <f t="shared" si="5"/>
        <v>100</v>
      </c>
      <c r="J12" s="1967">
        <f t="shared" si="5"/>
        <v>100</v>
      </c>
      <c r="K12" s="1967">
        <f t="shared" si="5"/>
        <v>100</v>
      </c>
      <c r="L12" s="1967">
        <f t="shared" si="5"/>
        <v>100</v>
      </c>
      <c r="M12" s="1967">
        <f t="shared" si="5"/>
        <v>100</v>
      </c>
      <c r="N12" s="1967">
        <f t="shared" si="5"/>
        <v>100</v>
      </c>
      <c r="O12" s="1967">
        <f t="shared" si="5"/>
        <v>100</v>
      </c>
      <c r="P12" s="1967">
        <f t="shared" si="5"/>
        <v>100</v>
      </c>
      <c r="Q12" s="1967">
        <f t="shared" si="5"/>
        <v>100</v>
      </c>
      <c r="R12" s="1967">
        <f t="shared" si="5"/>
        <v>100</v>
      </c>
      <c r="S12" s="1967">
        <f t="shared" si="5"/>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4" t="s">
        <v>2911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4" t="s">
        <v>2910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639" t="s">
        <v>20</v>
      </c>
      <c r="D22" s="3640"/>
      <c r="E22" s="3640"/>
      <c r="F22" s="3640"/>
      <c r="G22" s="3640"/>
      <c r="H22" s="3640"/>
      <c r="I22" s="3640"/>
      <c r="J22" s="3640"/>
      <c r="K22" s="3640"/>
      <c r="L22" s="3640"/>
      <c r="M22" s="3640"/>
      <c r="N22" s="3640"/>
      <c r="O22" s="3640"/>
      <c r="P22" s="3640"/>
      <c r="Q22" s="3641"/>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89">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89">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89">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89">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89">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89">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89">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89">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89">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89">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89">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89">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89">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89">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89">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89">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89">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89">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89">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89">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89">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89">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89">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89">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89">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89">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89">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89">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89">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89">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89">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89">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89">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89">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89">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89">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89">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89">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89">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89">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89">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89">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89">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89">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89">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89">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89">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89">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89">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89">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89">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89">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89">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89">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89">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89">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89">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89">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89">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89">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89">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89">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89">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89">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89">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89">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89">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89">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89">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89">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89">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89">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89">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89">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89">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89">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89">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89">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89">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89">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89">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89">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89">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89">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89">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89">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89">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89">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89">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89">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89">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89">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89">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89">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89">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89">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89">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89">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89">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89">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89">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89">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89">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89">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89">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89">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89">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89">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89">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89">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89">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89">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89">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89">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89">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89">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89">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89">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89">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89">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89">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89">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89">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89">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89">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89">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89">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89">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89">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89">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89">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89">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89">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89">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89">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89">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89">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89">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89">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89">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89">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89">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89">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89">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89">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89">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89">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89">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89">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89">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89">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89">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89">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89">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89">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89">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89">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89">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89">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89">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89">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89">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89">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89">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89">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89">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89">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89">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89">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89">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89">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89">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89">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89">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89">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89">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89">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89">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89">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89">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89">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89">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89">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89">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89">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89">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89">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89">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89">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89">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89">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89">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89">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89">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89">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89">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89">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89">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89">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89">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89">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89">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89">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89">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89">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89">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89">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89">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89">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89">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89">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89">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89">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89">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89">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89">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89">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89">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89">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89">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89">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89">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89">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89">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89">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89">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89">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89">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89">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89">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89">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89">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89">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89">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89">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89">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89">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89">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89">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89">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89">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89">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89">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89">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89">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89">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89">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89">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89">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89">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89">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89">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89">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89">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89">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89">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89">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89">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89">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89">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89">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89">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89">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89">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89">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89">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89">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89">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89">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89">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89">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89">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89">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89">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89">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89">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89">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89">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89">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89">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89">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89">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89">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89">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89">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89">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89">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89">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89">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89">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89">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89">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89">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89">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89">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89">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89">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89">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89">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89">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89">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89">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89">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89">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89">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89">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89">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89">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89">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89">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89">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89">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89">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89">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89">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89">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89">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89">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89">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89">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89">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89">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89">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89">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89">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89">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89">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89">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89">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89">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89">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89">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89">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89">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89">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89">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89">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89">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89">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89">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89">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89">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89">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89">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89">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89">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89">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89">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89">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89">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89">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89">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89">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89">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89">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89">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89">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89">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89">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89">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89">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89">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89">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89">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89">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89">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89">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89">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89">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89">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89">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89">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89">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89">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89">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89">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89">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89">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89">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89">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89">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89">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89">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89">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89">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89">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89">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89">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89">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89">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89">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89">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89">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89">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89">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89">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89">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89">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89">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89">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89">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89">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89">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89">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89">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89">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89">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89">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89">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89">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89">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89">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89">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89">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89">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89">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89">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89">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89">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89">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89">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89">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89">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89">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89">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89">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89">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89">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89">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89">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89">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89">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89">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89">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89">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89">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89">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89">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89">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89">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89">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89">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89">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89">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89">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89">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89">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89">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89">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89">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89">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89">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89">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89">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89">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89">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89">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89">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89">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89">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89">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89">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89">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89">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89">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89">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89">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89">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89">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89">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89">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89">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89">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89">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89">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89">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89">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89">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89">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89">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89">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89">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89">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89">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89">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89">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89">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89">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89">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89">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89">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89">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89">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89">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89">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89">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89">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89">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2785</v>
      </c>
      <c r="C1" s="3001">
        <f>项目基本情况!D3</f>
        <v>43444</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2816</v>
      </c>
      <c r="C2" s="3002">
        <f>'数据-取费表'!B22</f>
        <v>2</v>
      </c>
      <c r="D2" s="2997" t="s">
        <v>2786</v>
      </c>
      <c r="E2" s="3000">
        <f ca="1">INDIRECT("I"&amp;$I$1)/100</f>
        <v>4.7500000000000001E-2</v>
      </c>
      <c r="G2" s="2937"/>
      <c r="H2" s="2937"/>
      <c r="I2" s="2937" t="s">
        <v>2787</v>
      </c>
      <c r="K2" s="2937"/>
      <c r="L2" s="2937"/>
      <c r="M2" s="2937"/>
      <c r="N2" s="2937" t="s">
        <v>2788</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2818</v>
      </c>
      <c r="C3" s="2999">
        <f>'数据-取费表'!B19</f>
        <v>0</v>
      </c>
      <c r="D3" s="2997" t="s">
        <v>2786</v>
      </c>
      <c r="E3" s="3000">
        <f ca="1">INDIRECT("J"&amp;$J$1)/100</f>
        <v>0</v>
      </c>
      <c r="G3" s="2939" t="s">
        <v>2789</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2817</v>
      </c>
      <c r="C4" s="3000">
        <f ca="1">N4/100</f>
        <v>1.4999999999999999E-2</v>
      </c>
      <c r="G4" s="2945" t="s">
        <v>2790</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2791</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2792</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2793</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2794</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2795</v>
      </c>
      <c r="C10" s="2964"/>
      <c r="D10" s="2964"/>
      <c r="E10" s="2964"/>
      <c r="F10" s="2964"/>
      <c r="G10" s="2964"/>
      <c r="H10" s="2964"/>
      <c r="I10" s="2938"/>
      <c r="J10" s="2938"/>
      <c r="K10" s="2964"/>
      <c r="L10" s="2965" t="s">
        <v>2796</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2797</v>
      </c>
      <c r="C11" s="2969" t="s">
        <v>2798</v>
      </c>
      <c r="D11" s="2970" t="s">
        <v>2799</v>
      </c>
      <c r="E11" s="2971"/>
      <c r="F11" s="2970" t="s">
        <v>2800</v>
      </c>
      <c r="G11" s="2972"/>
      <c r="H11" s="2971"/>
      <c r="I11" s="2970" t="s">
        <v>2801</v>
      </c>
      <c r="J11" s="2971"/>
      <c r="K11" s="2967"/>
      <c r="L11" s="2968" t="s">
        <v>2797</v>
      </c>
      <c r="M11" s="2969" t="s">
        <v>2798</v>
      </c>
      <c r="N11" s="2968" t="s">
        <v>2802</v>
      </c>
      <c r="O11" s="2970" t="s">
        <v>2803</v>
      </c>
      <c r="P11" s="2972"/>
      <c r="Q11" s="2972"/>
      <c r="R11" s="2972"/>
      <c r="S11" s="2972"/>
      <c r="T11" s="2971"/>
      <c r="U11" s="2970" t="s">
        <v>2804</v>
      </c>
      <c r="V11" s="2972"/>
      <c r="W11" s="2971"/>
      <c r="X11" s="2968" t="s">
        <v>2805</v>
      </c>
      <c r="Y11" s="2968" t="s">
        <v>2806</v>
      </c>
      <c r="Z11" s="2968" t="s">
        <v>2807</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2808</v>
      </c>
      <c r="E12" s="2977" t="s">
        <v>2809</v>
      </c>
      <c r="F12" s="2977" t="s">
        <v>2810</v>
      </c>
      <c r="G12" s="2977" t="s">
        <v>2811</v>
      </c>
      <c r="H12" s="2977" t="s">
        <v>2793</v>
      </c>
      <c r="I12" s="2978" t="s">
        <v>2812</v>
      </c>
      <c r="J12" s="2978" t="s">
        <v>2812</v>
      </c>
      <c r="K12" s="2974"/>
      <c r="L12" s="2975"/>
      <c r="M12" s="2976"/>
      <c r="N12" s="2975"/>
      <c r="O12" s="2978" t="s">
        <v>2813</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2814</v>
      </c>
      <c r="C13" s="2982">
        <v>42301</v>
      </c>
      <c r="D13" s="2983">
        <v>4.3499999999999996</v>
      </c>
      <c r="E13" s="2983">
        <v>4.3499999999999996</v>
      </c>
      <c r="F13" s="2983">
        <v>4.75</v>
      </c>
      <c r="G13" s="2983">
        <v>4.75</v>
      </c>
      <c r="H13" s="2983">
        <v>4.9000000000000004</v>
      </c>
      <c r="I13" s="2983">
        <v>2.75</v>
      </c>
      <c r="J13" s="2983">
        <v>3.25</v>
      </c>
      <c r="K13" s="2980"/>
      <c r="L13" s="2981" t="s">
        <v>2814</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2815</v>
      </c>
      <c r="Y42" s="2987" t="s">
        <v>2815</v>
      </c>
      <c r="Z42" s="2987" t="s">
        <v>2815</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2815</v>
      </c>
      <c r="Y43" s="2987" t="s">
        <v>2815</v>
      </c>
      <c r="Z43" s="2987" t="s">
        <v>2815</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2815</v>
      </c>
      <c r="Y44" s="2987" t="s">
        <v>2815</v>
      </c>
      <c r="Z44" s="2987" t="s">
        <v>2815</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2815</v>
      </c>
      <c r="Y45" s="2987" t="s">
        <v>2815</v>
      </c>
      <c r="Z45" s="2987" t="s">
        <v>2815</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2815</v>
      </c>
      <c r="Y46" s="2987" t="s">
        <v>2815</v>
      </c>
      <c r="Z46" s="2987" t="s">
        <v>2815</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2815</v>
      </c>
      <c r="Y47" s="2987" t="s">
        <v>2815</v>
      </c>
      <c r="Z47" s="2987" t="s">
        <v>2815</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2815</v>
      </c>
      <c r="Y48" s="2987" t="s">
        <v>2815</v>
      </c>
      <c r="Z48" s="2987" t="s">
        <v>2815</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2815</v>
      </c>
      <c r="Y49" s="2987" t="s">
        <v>2815</v>
      </c>
      <c r="Z49" s="2987" t="s">
        <v>2815</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2815</v>
      </c>
      <c r="Y50" s="2987" t="s">
        <v>2815</v>
      </c>
      <c r="Z50" s="2987" t="s">
        <v>2815</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2815</v>
      </c>
      <c r="V51" s="2987" t="s">
        <v>2815</v>
      </c>
      <c r="W51" s="2987" t="s">
        <v>2815</v>
      </c>
      <c r="X51" s="2987" t="s">
        <v>2815</v>
      </c>
      <c r="Y51" s="2987" t="s">
        <v>2815</v>
      </c>
      <c r="Z51" s="2987" t="s">
        <v>2815</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2815</v>
      </c>
      <c r="J55" s="2987" t="s">
        <v>2815</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1" t="s">
        <v>2038</v>
      </c>
      <c r="B1" s="3281"/>
      <c r="C1" s="3281"/>
      <c r="D1" s="3281"/>
      <c r="E1" s="3281"/>
      <c r="F1" s="3281"/>
      <c r="G1" s="3281"/>
      <c r="H1" s="3281"/>
      <c r="I1" s="3281"/>
      <c r="J1" s="3281"/>
      <c r="K1" s="3281"/>
      <c r="L1" s="3281"/>
      <c r="M1" s="3281"/>
      <c r="N1" s="3281"/>
      <c r="O1" s="3281"/>
      <c r="P1" s="3281"/>
      <c r="Q1" s="3281"/>
      <c r="R1" s="3281"/>
    </row>
    <row r="2" spans="1:18">
      <c r="A2" s="1806" t="s">
        <v>2040</v>
      </c>
      <c r="B2" s="1806"/>
      <c r="C2" s="1806"/>
      <c r="D2" s="1806"/>
      <c r="E2" s="1806"/>
      <c r="F2" s="1806"/>
      <c r="G2" s="1806"/>
      <c r="H2" s="1806"/>
      <c r="I2" s="1807"/>
      <c r="J2" s="1807"/>
      <c r="K2" s="1808" t="str">
        <f>"估价期日："&amp;TEXT(项目基本情况!D3,"yyyy年m月d日;;")</f>
        <v>估价期日：2018年12月10日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82" t="s">
        <v>2029</v>
      </c>
      <c r="B3" s="3282" t="s">
        <v>2728</v>
      </c>
      <c r="C3" s="3283" t="s">
        <v>2030</v>
      </c>
      <c r="D3" s="3282" t="s">
        <v>2732</v>
      </c>
      <c r="E3" s="3285" t="s">
        <v>2031</v>
      </c>
      <c r="F3" s="3285"/>
      <c r="G3" s="3285"/>
      <c r="H3" s="3285" t="s">
        <v>2032</v>
      </c>
      <c r="I3" s="3285"/>
      <c r="J3" s="3285"/>
      <c r="K3" s="3283" t="s">
        <v>2033</v>
      </c>
      <c r="L3" s="3283" t="s">
        <v>2034</v>
      </c>
      <c r="M3" s="3282" t="s">
        <v>2729</v>
      </c>
      <c r="N3" s="3284" t="str">
        <f>"（分摊）"&amp;项目基本情况!B16&amp;"国有建设用地使用权面积/㎡"</f>
        <v>（分摊）出让国有建设用地使用权面积/㎡</v>
      </c>
      <c r="O3" s="3282" t="s">
        <v>2063</v>
      </c>
      <c r="P3" s="3283" t="s">
        <v>2043</v>
      </c>
      <c r="Q3" s="3283" t="s">
        <v>2064</v>
      </c>
      <c r="R3" s="3283" t="s">
        <v>2035</v>
      </c>
    </row>
    <row r="4" spans="1:18" ht="36.75" customHeight="1">
      <c r="A4" s="3282"/>
      <c r="B4" s="3282"/>
      <c r="C4" s="3283"/>
      <c r="D4" s="3282"/>
      <c r="E4" s="2647" t="s">
        <v>2042</v>
      </c>
      <c r="F4" s="2647" t="s">
        <v>2741</v>
      </c>
      <c r="G4" s="2647" t="s">
        <v>2036</v>
      </c>
      <c r="H4" s="2647" t="s">
        <v>2037</v>
      </c>
      <c r="I4" s="2647" t="s">
        <v>2742</v>
      </c>
      <c r="J4" s="2647" t="s">
        <v>2036</v>
      </c>
      <c r="K4" s="3283"/>
      <c r="L4" s="3283"/>
      <c r="M4" s="3282"/>
      <c r="N4" s="3284"/>
      <c r="O4" s="3282"/>
      <c r="P4" s="3283"/>
      <c r="Q4" s="3283"/>
      <c r="R4" s="3283"/>
    </row>
    <row r="5" spans="1:18" ht="135" customHeight="1">
      <c r="A5" s="1941" t="s">
        <v>2652</v>
      </c>
      <c r="B5" s="2865" t="s">
        <v>2650</v>
      </c>
      <c r="C5" s="2646">
        <v>22</v>
      </c>
      <c r="D5" s="2645" t="s">
        <v>2651</v>
      </c>
      <c r="E5" s="1809" t="str">
        <f>项目基本情况!B12</f>
        <v>住宅、商业、地下仓储、地下车库</v>
      </c>
      <c r="F5" s="2645">
        <v>258</v>
      </c>
      <c r="G5" s="1809" t="str">
        <f>项目基本情况!B13</f>
        <v>住宅、商业、地下仓储、地下车库</v>
      </c>
      <c r="H5" s="2645">
        <v>1.5</v>
      </c>
      <c r="I5" s="2645">
        <v>1.5</v>
      </c>
      <c r="J5" s="2645">
        <v>1.5</v>
      </c>
      <c r="K5" s="1809" t="str">
        <f>"红线外"&amp;项目基本情况!T40&amp;"、宗地红线内"&amp;项目基本情况!B35</f>
        <v>红线外三通、宗地红线内宗地内已开工建设</v>
      </c>
      <c r="L5" s="1809" t="str">
        <f>"红线外"&amp;项目基本情况!T40&amp;"、宗地红线内场地"&amp;项目基本情况!D36</f>
        <v>红线外三通、宗地红线内场地平整</v>
      </c>
      <c r="M5" s="1809" t="str">
        <f>IF(项目基本情况!B16="出让",项目基本情况!D20,"——")</f>
        <v>住宅68.8年、商业38.8年、地下车库48.8年、仓储48.8</v>
      </c>
      <c r="N5" s="1809">
        <f>项目基本情况!C22</f>
        <v>62541.33</v>
      </c>
      <c r="O5" s="1809">
        <f>项目基本情况!C21</f>
        <v>169816</v>
      </c>
      <c r="P5" s="1809">
        <f ca="1">结果表!E42</f>
        <v>49838</v>
      </c>
      <c r="Q5" s="1809">
        <f ca="1">结果表!D42</f>
        <v>18355</v>
      </c>
      <c r="R5" s="1810">
        <f ca="1">结果表!C42</f>
        <v>311695</v>
      </c>
    </row>
    <row r="6" spans="1:18">
      <c r="A6" s="3286" t="str">
        <f>IF(项目基本情况!B9="市场价格","——","抵押价格")</f>
        <v>抵押价格</v>
      </c>
      <c r="B6" s="3287"/>
      <c r="C6" s="3287"/>
      <c r="D6" s="3287"/>
      <c r="E6" s="3287"/>
      <c r="F6" s="3287"/>
      <c r="G6" s="3287"/>
      <c r="H6" s="3287"/>
      <c r="I6" s="3287"/>
      <c r="J6" s="3287"/>
      <c r="K6" s="3287"/>
      <c r="L6" s="3287"/>
      <c r="M6" s="3287"/>
      <c r="N6" s="3287"/>
      <c r="O6" s="3287"/>
      <c r="P6" s="3287"/>
      <c r="Q6" s="3288"/>
      <c r="R6" s="1811">
        <f ca="1">结果表!O39</f>
        <v>311695</v>
      </c>
    </row>
    <row r="7" spans="1:18">
      <c r="A7" s="3286" t="str">
        <f>IF(项目基本情况!B9="市场价格","——",IF(项目基本情况!E8="已注销及未注销","抵押担保权已注销时的抵押价格","——"))</f>
        <v>——</v>
      </c>
      <c r="B7" s="3287"/>
      <c r="C7" s="3287"/>
      <c r="D7" s="3287"/>
      <c r="E7" s="3287"/>
      <c r="F7" s="3287"/>
      <c r="G7" s="3287"/>
      <c r="H7" s="3287"/>
      <c r="I7" s="3287"/>
      <c r="J7" s="3287"/>
      <c r="K7" s="3287"/>
      <c r="L7" s="3287"/>
      <c r="M7" s="3287"/>
      <c r="N7" s="3287"/>
      <c r="O7" s="3287"/>
      <c r="P7" s="3287"/>
      <c r="Q7" s="3288"/>
      <c r="R7" s="1811" t="str">
        <f>结果表!O40</f>
        <v>——</v>
      </c>
    </row>
    <row r="8" spans="1:18">
      <c r="A8" s="3286" t="str">
        <f>IF(项目基本情况!B9="市场价格","——",项目基本情况!E9)</f>
        <v>——</v>
      </c>
      <c r="B8" s="3287"/>
      <c r="C8" s="3287"/>
      <c r="D8" s="3287"/>
      <c r="E8" s="3287"/>
      <c r="F8" s="3287"/>
      <c r="G8" s="3287"/>
      <c r="H8" s="3287"/>
      <c r="I8" s="3287"/>
      <c r="J8" s="3287"/>
      <c r="K8" s="3287"/>
      <c r="L8" s="3287"/>
      <c r="M8" s="3287"/>
      <c r="N8" s="3287"/>
      <c r="O8" s="3287"/>
      <c r="P8" s="3287"/>
      <c r="Q8" s="3288"/>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90" t="s">
        <v>2065</v>
      </c>
      <c r="B1" s="3290"/>
      <c r="C1" s="3290"/>
      <c r="D1" s="3290"/>
    </row>
    <row r="2" spans="1:4" ht="47.25" customHeight="1">
      <c r="A2" s="3291" t="str">
        <f>"1.权利限制："&amp;项目基本情况!L24&amp;"未设定租赁等其他他项权利。"</f>
        <v>1.权利限制：根据估价对象、，截至估价期日，估价对象抵押权未见登记。未设定租赁等其他他项权利。</v>
      </c>
      <c r="B2" s="3291"/>
      <c r="C2" s="3291"/>
      <c r="D2" s="3291"/>
    </row>
    <row r="3" spans="1:4" ht="48" customHeight="1">
      <c r="A3" s="3290" t="str">
        <f>"2.基础设施条件：估价对象实际开发程度为"&amp;'预评函-2'!K5&amp;"；本次评估设定开发程度为"&amp;'预评函-2'!L5&amp;"。"</f>
        <v>2.基础设施条件：估价对象实际开发程度为红线外三通、宗地红线内宗地内已开工建设；本次评估设定开发程度为红线外三通、宗地红线内场地平整。</v>
      </c>
      <c r="B3" s="3290"/>
      <c r="C3" s="3290"/>
      <c r="D3" s="3290"/>
    </row>
    <row r="4" spans="1:4" ht="36.75" customHeight="1">
      <c r="A4" s="3290" t="str">
        <f>"3.估价规划限制条件：详见"&amp;项目基本情况!E21&amp;"。"</f>
        <v>3.估价规划限制条件：详见。</v>
      </c>
      <c r="B4" s="3290"/>
      <c r="C4" s="3290"/>
      <c r="D4" s="3290"/>
    </row>
    <row r="5" spans="1:4">
      <c r="A5" s="3289" t="s">
        <v>2066</v>
      </c>
      <c r="B5" s="3289"/>
      <c r="C5" s="3289"/>
      <c r="D5" s="3289"/>
    </row>
    <row r="6" spans="1:4">
      <c r="A6" s="3290" t="s">
        <v>2044</v>
      </c>
      <c r="B6" s="3290"/>
      <c r="C6" s="3290"/>
      <c r="D6" s="3290"/>
    </row>
    <row r="7" spans="1:4" ht="33" customHeight="1">
      <c r="A7" s="3290" t="s">
        <v>2573</v>
      </c>
      <c r="B7" s="3290"/>
      <c r="C7" s="3290"/>
      <c r="D7" s="3290"/>
    </row>
    <row r="8" spans="1:4" ht="32.25" customHeight="1">
      <c r="A8" s="32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0"/>
      <c r="C8" s="3290"/>
      <c r="D8" s="3290"/>
    </row>
    <row r="9" spans="1:4" ht="33.75" customHeight="1">
      <c r="A9" s="32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0"/>
      <c r="C9" s="3290"/>
      <c r="D9" s="3290"/>
    </row>
    <row r="10" spans="1:4">
      <c r="A10" s="3290" t="str">
        <f>IF(项目基本情况!B8="抵押","4.估价师所知悉的法定优先受偿款情况为：","——")</f>
        <v>4.估价师所知悉的法定优先受偿款情况为：</v>
      </c>
      <c r="B10" s="3290"/>
      <c r="C10" s="3290"/>
      <c r="D10" s="3290"/>
    </row>
    <row r="11" spans="1:4" ht="37.5" customHeight="1">
      <c r="A11" s="3292" t="str">
        <f>IF(项目基本情况!B8="抵押","（1）"&amp;CONCATENATE(项目基本情况!L24,项目基本情况!L25,项目基本情况!L26),"——")</f>
        <v>（1）根据估价对象、，截至估价期日，估价对象抵押权未见登记。</v>
      </c>
      <c r="B11" s="3292"/>
      <c r="C11" s="3292"/>
      <c r="D11" s="3292"/>
    </row>
    <row r="12" spans="1:4" ht="168" customHeight="1">
      <c r="A12" s="3289" t="s">
        <v>2068</v>
      </c>
      <c r="B12" s="3289"/>
      <c r="C12" s="3289"/>
      <c r="D12" s="3289"/>
    </row>
    <row r="13" spans="1:4">
      <c r="A13" s="3293" t="s">
        <v>2743</v>
      </c>
      <c r="B13" s="3293"/>
      <c r="C13" s="3293"/>
      <c r="D13" s="3293"/>
    </row>
    <row r="14" spans="1:4">
      <c r="A14" s="3292" t="str">
        <f>IF(项目基本情况!B8="抵押","综上，"&amp;结果表!K47,"——")</f>
        <v>综上，本次评估不存在估价师知悉的法定优先受偿款</v>
      </c>
      <c r="B14" s="3292"/>
      <c r="C14" s="3292"/>
      <c r="D14" s="3292"/>
    </row>
    <row r="15" spans="1:4" ht="58.5" customHeight="1">
      <c r="A15" s="32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0"/>
      <c r="C15" s="3290"/>
      <c r="D15" s="3290"/>
    </row>
    <row r="16" spans="1:4" ht="70.5" customHeight="1">
      <c r="A16" s="32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0"/>
      <c r="C16" s="3290"/>
      <c r="D16" s="3290"/>
    </row>
    <row r="17" spans="1:4">
      <c r="A17" s="3290" t="s">
        <v>2699</v>
      </c>
      <c r="B17" s="3290"/>
      <c r="C17" s="3290"/>
      <c r="D17" s="3290"/>
    </row>
    <row r="18" spans="1:4">
      <c r="A18" s="3290" t="s">
        <v>2691</v>
      </c>
      <c r="B18" s="3290"/>
      <c r="C18" s="3290"/>
      <c r="D18" s="3290"/>
    </row>
    <row r="19" spans="1:4">
      <c r="A19" s="2866" t="s">
        <v>2692</v>
      </c>
      <c r="B19" s="2866" t="s">
        <v>2693</v>
      </c>
      <c r="C19" s="2866" t="s">
        <v>2694</v>
      </c>
      <c r="D19" s="2866" t="s">
        <v>2695</v>
      </c>
    </row>
    <row r="20" spans="1:4">
      <c r="A20" s="2866" t="str">
        <f>项目基本情况!B4</f>
        <v>吴薇</v>
      </c>
      <c r="B20" s="2866">
        <f ca="1">项目基本情况!C4</f>
        <v>2002110125</v>
      </c>
      <c r="C20" s="2868"/>
      <c r="D20" s="1799" t="s">
        <v>2700</v>
      </c>
    </row>
    <row r="21" spans="1:4">
      <c r="A21" s="2866" t="str">
        <f>项目基本情况!D4</f>
        <v>郑燚</v>
      </c>
      <c r="B21" s="2866">
        <f>项目基本情况!E4</f>
        <v>2014110011</v>
      </c>
      <c r="C21" s="2868"/>
      <c r="D21" s="1799" t="s">
        <v>2701</v>
      </c>
    </row>
    <row r="23" spans="1:4">
      <c r="A23" s="3290" t="s">
        <v>2696</v>
      </c>
      <c r="B23" s="3290"/>
      <c r="C23" s="3290"/>
      <c r="D23" s="3290"/>
    </row>
    <row r="24" spans="1:4">
      <c r="A24" s="2866" t="s">
        <v>2692</v>
      </c>
      <c r="B24" s="2866" t="s">
        <v>2697</v>
      </c>
      <c r="C24" s="2866" t="s">
        <v>2694</v>
      </c>
      <c r="D24" s="2866" t="s">
        <v>2695</v>
      </c>
    </row>
    <row r="25" spans="1:4">
      <c r="A25" s="2869" t="s">
        <v>2698</v>
      </c>
      <c r="B25" s="2866" t="s">
        <v>952</v>
      </c>
      <c r="C25" s="2868"/>
      <c r="D25" s="1799" t="s">
        <v>2701</v>
      </c>
    </row>
    <row r="29" spans="1:4">
      <c r="D29" s="2867" t="s">
        <v>2039</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301" t="s">
        <v>53</v>
      </c>
      <c r="B15" s="3302" t="s">
        <v>846</v>
      </c>
      <c r="C15" s="3298"/>
    </row>
    <row r="16" spans="1:7" ht="14.25">
      <c r="A16" s="3301"/>
      <c r="B16" s="3299" t="s">
        <v>54</v>
      </c>
      <c r="C16" s="1171" t="s">
        <v>53</v>
      </c>
    </row>
    <row r="17" spans="1:3" ht="14.25">
      <c r="A17" s="3301"/>
      <c r="B17" s="3299"/>
      <c r="C17" s="1171" t="s">
        <v>55</v>
      </c>
    </row>
    <row r="18" spans="1:3" ht="14.25">
      <c r="A18" s="3301"/>
      <c r="B18" s="3299"/>
      <c r="C18" s="1171" t="s">
        <v>56</v>
      </c>
    </row>
    <row r="19" spans="1:3" ht="14.25">
      <c r="A19" s="3301"/>
      <c r="B19" s="3297" t="s">
        <v>57</v>
      </c>
      <c r="C19" s="3298"/>
    </row>
    <row r="20" spans="1:3" ht="14.25">
      <c r="A20" s="1172" t="s">
        <v>58</v>
      </c>
      <c r="B20" s="1173"/>
      <c r="C20" s="1174"/>
    </row>
    <row r="21" spans="1:3" ht="14.25">
      <c r="A21" s="3300" t="s">
        <v>59</v>
      </c>
      <c r="B21" s="3297" t="s">
        <v>60</v>
      </c>
      <c r="C21" s="3298"/>
    </row>
    <row r="22" spans="1:3" ht="14.25">
      <c r="A22" s="3300"/>
      <c r="B22" s="3297" t="s">
        <v>61</v>
      </c>
      <c r="C22" s="3298"/>
    </row>
    <row r="23" spans="1:3" ht="14.25">
      <c r="A23" s="3300"/>
      <c r="B23" s="3297" t="s">
        <v>62</v>
      </c>
      <c r="C23" s="3298"/>
    </row>
    <row r="24" spans="1:3" ht="14.25">
      <c r="A24" s="3300"/>
      <c r="B24" s="3303" t="s">
        <v>63</v>
      </c>
      <c r="C24" s="1175" t="s">
        <v>837</v>
      </c>
    </row>
    <row r="25" spans="1:3" ht="14.25">
      <c r="A25" s="3300"/>
      <c r="B25" s="3304"/>
      <c r="C25" s="1175" t="s">
        <v>838</v>
      </c>
    </row>
    <row r="26" spans="1:3" ht="14.25">
      <c r="A26" s="3300"/>
      <c r="B26" s="3304"/>
      <c r="C26" s="1175" t="s">
        <v>839</v>
      </c>
    </row>
    <row r="27" spans="1:3" ht="14.25">
      <c r="A27" s="3300"/>
      <c r="B27" s="3304"/>
      <c r="C27" s="1175" t="s">
        <v>840</v>
      </c>
    </row>
    <row r="28" spans="1:3" ht="14.25">
      <c r="A28" s="3300"/>
      <c r="B28" s="3304"/>
      <c r="C28" s="1175" t="s">
        <v>841</v>
      </c>
    </row>
    <row r="29" spans="1:3" ht="14.25">
      <c r="A29" s="3300"/>
      <c r="B29" s="3304"/>
      <c r="C29" s="1175" t="s">
        <v>842</v>
      </c>
    </row>
    <row r="30" spans="1:3" ht="14.25">
      <c r="A30" s="3300"/>
      <c r="B30" s="3304"/>
      <c r="C30" s="1175" t="s">
        <v>843</v>
      </c>
    </row>
    <row r="31" spans="1:3" ht="14.25">
      <c r="A31" s="3300"/>
      <c r="B31" s="3304"/>
      <c r="C31" s="1175" t="s">
        <v>844</v>
      </c>
    </row>
    <row r="32" spans="1:3" ht="14.25">
      <c r="A32" s="3300"/>
      <c r="B32" s="3304"/>
      <c r="C32" s="1175" t="s">
        <v>1647</v>
      </c>
    </row>
    <row r="33" spans="1:3" ht="14.25">
      <c r="A33" s="3300"/>
      <c r="B33" s="3294" t="s">
        <v>1653</v>
      </c>
      <c r="C33" s="1175" t="s">
        <v>1648</v>
      </c>
    </row>
    <row r="34" spans="1:3" ht="14.25">
      <c r="A34" s="3300"/>
      <c r="B34" s="3295"/>
      <c r="C34" s="1180" t="s">
        <v>1649</v>
      </c>
    </row>
    <row r="35" spans="1:3" ht="14.25">
      <c r="A35" s="3300"/>
      <c r="B35" s="3295"/>
      <c r="C35" s="1181" t="s">
        <v>1650</v>
      </c>
    </row>
    <row r="36" spans="1:3" ht="14.25">
      <c r="A36" s="3300"/>
      <c r="B36" s="3295"/>
      <c r="C36" s="1181" t="s">
        <v>1651</v>
      </c>
    </row>
    <row r="37" spans="1:3" ht="14.25">
      <c r="A37" s="3300"/>
      <c r="B37" s="3296"/>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6">
        <f ca="1">TODAY()</f>
        <v>43481</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3">
        <v>43849</v>
      </c>
      <c r="D4" s="2341" t="s">
        <v>1915</v>
      </c>
      <c r="E4" s="2341">
        <f ca="1">IF(F4&lt;B2,"已过期",96010014)</f>
        <v>96010014</v>
      </c>
      <c r="F4" s="3004">
        <v>47118</v>
      </c>
    </row>
    <row r="5" spans="1:6" ht="20.25" customHeight="1">
      <c r="A5" s="2341" t="s">
        <v>1916</v>
      </c>
      <c r="B5" s="2341">
        <f ca="1">IF(C5&lt;B2,"已过期",1119970074)</f>
        <v>1119970074</v>
      </c>
      <c r="C5" s="3003">
        <v>43849</v>
      </c>
      <c r="D5" s="2341" t="s">
        <v>1916</v>
      </c>
      <c r="E5" s="2341">
        <f ca="1">IF(F5&lt;B2,"已过期",2002110027)</f>
        <v>2002110027</v>
      </c>
      <c r="F5" s="3004">
        <v>46752</v>
      </c>
    </row>
    <row r="6" spans="1:6" ht="20.25" customHeight="1">
      <c r="A6" s="2341" t="s">
        <v>1917</v>
      </c>
      <c r="B6" s="2341">
        <f ca="1">IF(C6&lt;B2,"已过期",1119970111)</f>
        <v>1119970111</v>
      </c>
      <c r="C6" s="3003">
        <v>43849</v>
      </c>
      <c r="D6" s="2341" t="s">
        <v>1917</v>
      </c>
      <c r="E6" s="2341">
        <f ca="1">IF(F6&lt;B2,"已过期",94010078)</f>
        <v>94010078</v>
      </c>
      <c r="F6" s="3004">
        <v>46387</v>
      </c>
    </row>
    <row r="7" spans="1:6" ht="20.25" customHeight="1">
      <c r="A7" s="2341" t="s">
        <v>1918</v>
      </c>
      <c r="B7" s="2341">
        <f ca="1">IF(C7&lt;B2,"已过期",1120050019)</f>
        <v>1120050019</v>
      </c>
      <c r="C7" s="3003">
        <v>44395</v>
      </c>
      <c r="D7" s="2341" t="s">
        <v>1918</v>
      </c>
      <c r="E7" s="2341">
        <f ca="1">IF(F7&lt;B2,"已过期",2002110030)</f>
        <v>2002110030</v>
      </c>
      <c r="F7" s="3004">
        <v>46387</v>
      </c>
    </row>
    <row r="8" spans="1:6" ht="20.25" customHeight="1">
      <c r="A8" s="2341" t="s">
        <v>1919</v>
      </c>
      <c r="B8" s="2341">
        <f ca="1">IF(C8&lt;B2,"已过期",1120000080)</f>
        <v>1120000080</v>
      </c>
      <c r="C8" s="3003">
        <v>43849</v>
      </c>
      <c r="D8" s="2341" t="s">
        <v>1919</v>
      </c>
      <c r="E8" s="2341">
        <f ca="1">IF(F8&lt;B2,"已过期",2000110082)</f>
        <v>2000110082</v>
      </c>
      <c r="F8" s="3004">
        <v>46387</v>
      </c>
    </row>
    <row r="9" spans="1:6" ht="20.25" customHeight="1">
      <c r="A9" s="2341" t="s">
        <v>1920</v>
      </c>
      <c r="B9" s="2341">
        <f ca="1">IF(C9&lt;B2,"已过期",1419970001)</f>
        <v>1419970001</v>
      </c>
      <c r="C9" s="3003">
        <v>43867</v>
      </c>
      <c r="D9" s="2341" t="s">
        <v>1920</v>
      </c>
      <c r="E9" s="2341">
        <f ca="1">IF(F9&lt;B2,"已过期",2002110125)</f>
        <v>2002110125</v>
      </c>
      <c r="F9" s="3004">
        <v>47118</v>
      </c>
    </row>
    <row r="10" spans="1:6" ht="20.25" customHeight="1">
      <c r="A10" s="2341" t="s">
        <v>1921</v>
      </c>
      <c r="B10" s="2341">
        <f ca="1">IF(C10&lt;B2,"已过期",1120060040)</f>
        <v>1120060040</v>
      </c>
      <c r="C10" s="3003">
        <v>43483</v>
      </c>
      <c r="D10" s="2341" t="s">
        <v>1921</v>
      </c>
      <c r="E10" s="2341">
        <f ca="1">IF(F10&lt;B2,"已过期",2004110096)</f>
        <v>2004110096</v>
      </c>
      <c r="F10" s="3004">
        <v>47118</v>
      </c>
    </row>
    <row r="11" spans="1:6" ht="20.25" customHeight="1">
      <c r="A11" s="2341" t="s">
        <v>1922</v>
      </c>
      <c r="B11" s="2341">
        <f ca="1">IF(C11&lt;B2,"已过期",1120100036)</f>
        <v>1120100036</v>
      </c>
      <c r="C11" s="3003">
        <v>43622</v>
      </c>
      <c r="D11" s="2341" t="s">
        <v>1922</v>
      </c>
      <c r="E11" s="2341">
        <f ca="1">IF(F11&lt;B2,"已过期",2010110070)</f>
        <v>2010110070</v>
      </c>
      <c r="F11" s="3004">
        <v>47907</v>
      </c>
    </row>
    <row r="12" spans="1:6" ht="20.25" customHeight="1">
      <c r="A12" s="2341" t="s">
        <v>2965</v>
      </c>
      <c r="B12" s="2341">
        <v>1120110054</v>
      </c>
      <c r="C12" s="3003">
        <v>43937</v>
      </c>
      <c r="D12" s="2341" t="s">
        <v>2965</v>
      </c>
      <c r="E12" s="2341">
        <v>2008110060</v>
      </c>
      <c r="F12" s="3004">
        <v>47177</v>
      </c>
    </row>
    <row r="13" spans="1:6" ht="20.25" customHeight="1">
      <c r="A13" s="2341" t="s">
        <v>1923</v>
      </c>
      <c r="B13" s="2341">
        <f ca="1">IF(C13&lt;B2,"已过期",1120070131)</f>
        <v>1120070131</v>
      </c>
      <c r="C13" s="3003">
        <v>43814</v>
      </c>
      <c r="D13" s="2341" t="s">
        <v>1923</v>
      </c>
      <c r="E13" s="2341">
        <v>2014110011</v>
      </c>
      <c r="F13" s="3004">
        <v>49302</v>
      </c>
    </row>
    <row r="14" spans="1:6" ht="20.25" customHeight="1">
      <c r="A14" s="2341" t="s">
        <v>1924</v>
      </c>
      <c r="B14" s="2341">
        <f ca="1">IF(C14&lt;B2,"已过期",1120130020)</f>
        <v>1120130020</v>
      </c>
      <c r="C14" s="3003">
        <v>43622</v>
      </c>
      <c r="D14" s="2341"/>
      <c r="E14" s="2341"/>
      <c r="F14" s="2341"/>
    </row>
    <row r="15" spans="1:6" ht="20.25" customHeight="1">
      <c r="A15" s="2341" t="s">
        <v>2572</v>
      </c>
      <c r="B15" s="2341">
        <v>1120070085</v>
      </c>
      <c r="C15" s="3003">
        <v>43814</v>
      </c>
      <c r="D15" s="2341" t="s">
        <v>2572</v>
      </c>
      <c r="E15" s="2341">
        <v>2004110128</v>
      </c>
      <c r="F15" s="3004">
        <v>47118</v>
      </c>
    </row>
    <row r="16" spans="1:6" ht="20.25" customHeight="1">
      <c r="A16" s="2341" t="s">
        <v>1925</v>
      </c>
      <c r="B16" s="2341">
        <f ca="1">IF(C16&lt;B2,"已过期",1120140022)</f>
        <v>1120140022</v>
      </c>
      <c r="C16" s="3003">
        <v>44029</v>
      </c>
      <c r="D16" s="2341" t="s">
        <v>1925</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1926</v>
      </c>
      <c r="E21" s="2341">
        <f ca="1">IF(F21&lt;B2,"已过期",2011110090)</f>
        <v>2011110090</v>
      </c>
      <c r="F21" s="3004">
        <v>48302</v>
      </c>
    </row>
    <row r="22" spans="1:7" ht="20.25" customHeight="1">
      <c r="A22" s="2341" t="s">
        <v>1927</v>
      </c>
      <c r="B22" s="2341">
        <f ca="1">IF(C22&lt;B2,"已过期",1120020033)</f>
        <v>1120020033</v>
      </c>
      <c r="C22" s="3003">
        <v>44339</v>
      </c>
      <c r="D22" s="2341" t="s">
        <v>1927</v>
      </c>
      <c r="E22" s="2341">
        <f ca="1">IF(F22&lt;B2,"已过期",2000110137)</f>
        <v>2000110137</v>
      </c>
      <c r="F22" s="3004">
        <v>46387</v>
      </c>
    </row>
    <row r="23" spans="1:7" ht="20.25" customHeight="1">
      <c r="A23" s="2341" t="s">
        <v>1928</v>
      </c>
      <c r="B23" s="2341">
        <f ca="1">IF(C23&lt;B2,"已过期",1120130048)</f>
        <v>1120130048</v>
      </c>
      <c r="C23" s="3003">
        <v>43686</v>
      </c>
      <c r="D23" s="2341"/>
      <c r="E23" s="2341"/>
      <c r="F23" s="2341"/>
    </row>
    <row r="24" spans="1:7" s="2345" customFormat="1" ht="20.25" customHeight="1">
      <c r="A24" s="2343" t="s">
        <v>2053</v>
      </c>
      <c r="B24" s="2343" t="s">
        <v>2053</v>
      </c>
      <c r="C24" s="3003"/>
      <c r="D24" s="3005" t="s">
        <v>2053</v>
      </c>
      <c r="E24" s="2343" t="s">
        <v>2053</v>
      </c>
      <c r="F24" s="2344"/>
    </row>
    <row r="25" spans="1:7" ht="20.25" customHeight="1">
      <c r="A25" s="3305" t="s">
        <v>1929</v>
      </c>
      <c r="B25" s="3305"/>
      <c r="C25" s="3305"/>
      <c r="D25" s="3305"/>
      <c r="E25" s="3305"/>
      <c r="F25" s="3305"/>
      <c r="G25" s="3305"/>
    </row>
    <row r="26" spans="1:7" ht="20.25" customHeight="1">
      <c r="A26" s="3306" t="s">
        <v>1930</v>
      </c>
      <c r="B26" s="3306"/>
      <c r="C26" s="3306"/>
      <c r="D26" s="3306" t="s">
        <v>1931</v>
      </c>
      <c r="E26" s="3306"/>
      <c r="F26" s="3306"/>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2931</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202" priority="90">
      <formula>AND($C24-TODAY()&lt;30,TODAY()&lt;$C24)</formula>
    </cfRule>
  </conditionalFormatting>
  <conditionalFormatting sqref="C28">
    <cfRule type="expression" dxfId="201" priority="89">
      <formula>AND($C28-TODAY()&lt;30,TODAY()&lt;$C28)</formula>
    </cfRule>
  </conditionalFormatting>
  <conditionalFormatting sqref="C28 F4">
    <cfRule type="cellIs" dxfId="200" priority="91" stopIfTrue="1" operator="lessThan">
      <formula>$B$2</formula>
    </cfRule>
  </conditionalFormatting>
  <conditionalFormatting sqref="F5">
    <cfRule type="cellIs" dxfId="199" priority="87" stopIfTrue="1" operator="lessThan">
      <formula>$B$2</formula>
    </cfRule>
  </conditionalFormatting>
  <conditionalFormatting sqref="F6 F8 F10">
    <cfRule type="cellIs" dxfId="198" priority="85" stopIfTrue="1" operator="lessThan">
      <formula>$B$2</formula>
    </cfRule>
  </conditionalFormatting>
  <conditionalFormatting sqref="C24:D24">
    <cfRule type="expression" dxfId="197" priority="83">
      <formula>AND($C24-TODAY()&lt;30,TODAY()&lt;$C24)</formula>
    </cfRule>
  </conditionalFormatting>
  <conditionalFormatting sqref="F7 F9 F11 C24:D24">
    <cfRule type="cellIs" dxfId="196" priority="84" stopIfTrue="1" operator="lessThan">
      <formula>$B$2</formula>
    </cfRule>
  </conditionalFormatting>
  <conditionalFormatting sqref="F16">
    <cfRule type="cellIs" dxfId="195" priority="57" stopIfTrue="1" operator="lessThan">
      <formula>$B$2</formula>
    </cfRule>
  </conditionalFormatting>
  <conditionalFormatting sqref="F18">
    <cfRule type="cellIs" dxfId="194" priority="56" stopIfTrue="1" operator="lessThan">
      <formula>$B$2</formula>
    </cfRule>
  </conditionalFormatting>
  <conditionalFormatting sqref="F22">
    <cfRule type="cellIs" dxfId="193" priority="55" stopIfTrue="1" operator="lessThan">
      <formula>$B$2</formula>
    </cfRule>
  </conditionalFormatting>
  <conditionalFormatting sqref="F21">
    <cfRule type="cellIs" dxfId="192" priority="54" stopIfTrue="1" operator="lessThan">
      <formula>$B$2</formula>
    </cfRule>
  </conditionalFormatting>
  <conditionalFormatting sqref="F17">
    <cfRule type="cellIs" dxfId="191" priority="53" stopIfTrue="1" operator="lessThan">
      <formula>$B$2</formula>
    </cfRule>
  </conditionalFormatting>
  <conditionalFormatting sqref="B4:B11 E4:E11 E16:E23 B16:B23 B13:B14 E13:E14">
    <cfRule type="cellIs" dxfId="190" priority="52" stopIfTrue="1" operator="equal">
      <formula>"已过期"</formula>
    </cfRule>
  </conditionalFormatting>
  <conditionalFormatting sqref="F28">
    <cfRule type="cellIs" dxfId="189" priority="49" stopIfTrue="1" operator="lessThan">
      <formula>$B$2</formula>
    </cfRule>
  </conditionalFormatting>
  <conditionalFormatting sqref="F29">
    <cfRule type="cellIs" dxfId="188" priority="47" stopIfTrue="1" operator="lessThan">
      <formula>$B$2</formula>
    </cfRule>
  </conditionalFormatting>
  <conditionalFormatting sqref="F28">
    <cfRule type="expression" dxfId="187" priority="93">
      <formula>AND($E28-TODAY()&lt;30,TODAY()&lt;$E28)</formula>
    </cfRule>
  </conditionalFormatting>
  <conditionalFormatting sqref="F29">
    <cfRule type="expression" dxfId="186" priority="94" stopIfTrue="1">
      <formula>AND($E29-TODAY()&lt;30,TODAY()&lt;$E29)</formula>
    </cfRule>
  </conditionalFormatting>
  <conditionalFormatting sqref="C5">
    <cfRule type="expression" dxfId="185" priority="44">
      <formula>AND($C5-TODAY()&lt;30,TODAY()&lt;$C5)</formula>
    </cfRule>
  </conditionalFormatting>
  <conditionalFormatting sqref="C5">
    <cfRule type="cellIs" dxfId="184" priority="45" stopIfTrue="1" operator="lessThan">
      <formula>$B$2</formula>
    </cfRule>
  </conditionalFormatting>
  <conditionalFormatting sqref="C4:C6">
    <cfRule type="expression" dxfId="183" priority="42">
      <formula>AND($C4-TODAY()&lt;30,TODAY()&lt;$C4)</formula>
    </cfRule>
  </conditionalFormatting>
  <conditionalFormatting sqref="C4:C6">
    <cfRule type="cellIs" dxfId="182" priority="43" stopIfTrue="1" operator="lessThan">
      <formula>$B$2</formula>
    </cfRule>
  </conditionalFormatting>
  <conditionalFormatting sqref="C8:C9">
    <cfRule type="expression" dxfId="181" priority="40">
      <formula>AND($C8-TODAY()&lt;30,TODAY()&lt;$C8)</formula>
    </cfRule>
  </conditionalFormatting>
  <conditionalFormatting sqref="C8:C9">
    <cfRule type="cellIs" dxfId="180" priority="41" stopIfTrue="1" operator="lessThan">
      <formula>$B$2</formula>
    </cfRule>
  </conditionalFormatting>
  <conditionalFormatting sqref="B15 E15">
    <cfRule type="cellIs" dxfId="179" priority="28" stopIfTrue="1" operator="equal">
      <formula>"已过期"</formula>
    </cfRule>
  </conditionalFormatting>
  <conditionalFormatting sqref="F15">
    <cfRule type="cellIs" dxfId="178" priority="25" stopIfTrue="1" operator="lessThan">
      <formula>$B$2</formula>
    </cfRule>
  </conditionalFormatting>
  <conditionalFormatting sqref="C7">
    <cfRule type="expression" dxfId="177" priority="23">
      <formula>AND($C7-TODAY()&lt;30,TODAY()&lt;$C7)</formula>
    </cfRule>
  </conditionalFormatting>
  <conditionalFormatting sqref="C7">
    <cfRule type="cellIs" dxfId="176" priority="24" stopIfTrue="1" operator="lessThan">
      <formula>$B$2</formula>
    </cfRule>
  </conditionalFormatting>
  <conditionalFormatting sqref="C10:C11 C13:C21 C23">
    <cfRule type="expression" dxfId="175" priority="21">
      <formula>AND($C10-TODAY()&lt;30,TODAY()&lt;$C10)</formula>
    </cfRule>
  </conditionalFormatting>
  <conditionalFormatting sqref="C10:C11 C13:C21 C23">
    <cfRule type="cellIs" dxfId="174" priority="22" stopIfTrue="1" operator="lessThan">
      <formula>$B$2</formula>
    </cfRule>
  </conditionalFormatting>
  <conditionalFormatting sqref="F13">
    <cfRule type="cellIs" dxfId="173" priority="20" stopIfTrue="1" operator="lessThan">
      <formula>$B$2</formula>
    </cfRule>
  </conditionalFormatting>
  <conditionalFormatting sqref="F12">
    <cfRule type="cellIs" dxfId="172" priority="12" stopIfTrue="1" operator="lessThan">
      <formula>$B$2</formula>
    </cfRule>
  </conditionalFormatting>
  <conditionalFormatting sqref="B12 E12">
    <cfRule type="cellIs" dxfId="171" priority="11" stopIfTrue="1" operator="equal">
      <formula>"已过期"</formula>
    </cfRule>
  </conditionalFormatting>
  <conditionalFormatting sqref="C12">
    <cfRule type="expression" dxfId="170" priority="9">
      <formula>AND($C12-TODAY()&lt;30,TODAY()&lt;$C12)</formula>
    </cfRule>
  </conditionalFormatting>
  <conditionalFormatting sqref="C12">
    <cfRule type="cellIs" dxfId="169" priority="10" stopIfTrue="1" operator="lessThan">
      <formula>$B$2</formula>
    </cfRule>
  </conditionalFormatting>
  <conditionalFormatting sqref="C22">
    <cfRule type="expression" dxfId="168" priority="1">
      <formula>AND($C22-TODAY()&lt;30,TODAY()&lt;$C22)</formula>
    </cfRule>
  </conditionalFormatting>
  <conditionalFormatting sqref="C22">
    <cfRule type="cellIs" dxfId="16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8" sqref="H28"/>
    </sheetView>
  </sheetViews>
  <sheetFormatPr defaultColWidth="10" defaultRowHeight="14.25"/>
  <cols>
    <col min="1" max="1" width="15.375" style="1688" customWidth="1"/>
    <col min="2" max="2" width="11.375" style="1688" customWidth="1"/>
    <col min="3" max="3" width="12.625" style="1688" customWidth="1"/>
    <col min="4" max="4" width="1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322" t="str">
        <f>IF(B10="北京市","北京市",C10)&amp;F10&amp;B16&amp;"国有建设用地使用权"&amp;B9&amp;"预评估"</f>
        <v>北京市顺义区高丽营镇于庄03-21地块出让国有建设用地使用权抵押价格预评估</v>
      </c>
      <c r="C1" s="3323"/>
      <c r="D1" s="3323"/>
      <c r="E1" s="3323"/>
      <c r="F1" s="3323"/>
      <c r="G1" s="3323"/>
      <c r="H1" s="3323"/>
      <c r="I1" s="3324"/>
      <c r="J1" s="1691"/>
      <c r="K1" s="2452" t="str">
        <f>IF(B10="北京市","北京市",C10)&amp;F10&amp;B16&amp;"国有建设用地使用权"&amp;B9</f>
        <v>北京市顺义区高丽营镇于庄03-21地块出让国有建设用地使用权抵押价格</v>
      </c>
      <c r="L1" s="1720"/>
      <c r="M1" s="1720"/>
      <c r="N1" s="1691"/>
      <c r="O1" s="1692"/>
      <c r="P1" s="1691"/>
      <c r="Q1" s="1691"/>
      <c r="R1" s="1691"/>
      <c r="S1" s="1691"/>
      <c r="T1" s="1691"/>
      <c r="U1" s="1691"/>
    </row>
    <row r="2" spans="1:21">
      <c r="A2" s="1658" t="s">
        <v>1941</v>
      </c>
      <c r="B2" s="1838" t="s">
        <v>3242</v>
      </c>
      <c r="D2" s="1691"/>
      <c r="E2" s="1691"/>
      <c r="F2" s="1691"/>
      <c r="G2" s="1691"/>
      <c r="H2" s="1658"/>
      <c r="I2" s="1692"/>
      <c r="J2" s="1691"/>
      <c r="K2" s="2452" t="str">
        <f>IF(B10="北京市","北京市",C10)&amp;F10&amp;B16&amp;"国有建设用地使用权"</f>
        <v>北京市顺义区高丽营镇于庄03-21地块出让国有建设用地使用权</v>
      </c>
      <c r="L2" s="1720"/>
      <c r="M2" s="1720"/>
      <c r="N2" s="1691"/>
      <c r="O2" s="1692"/>
      <c r="P2" s="1691"/>
      <c r="Q2" s="1691"/>
      <c r="R2" s="1691"/>
      <c r="S2" s="1691"/>
      <c r="T2" s="1691"/>
      <c r="U2" s="1691"/>
    </row>
    <row r="3" spans="1:21">
      <c r="A3" s="1659" t="s">
        <v>1942</v>
      </c>
      <c r="B3" s="1660">
        <v>43444</v>
      </c>
      <c r="C3" s="1661" t="s">
        <v>1996</v>
      </c>
      <c r="D3" s="1660">
        <f>B3</f>
        <v>43444</v>
      </c>
      <c r="E3" s="1691"/>
      <c r="F3" s="1691"/>
      <c r="G3" s="1691"/>
      <c r="H3" s="1658"/>
      <c r="I3" s="1692"/>
      <c r="J3" s="1691"/>
      <c r="K3" s="1771"/>
      <c r="L3" s="1720"/>
      <c r="M3" s="1720"/>
      <c r="N3" s="1691"/>
      <c r="O3" s="1692"/>
      <c r="P3" s="1691"/>
      <c r="Q3" s="1691"/>
      <c r="R3" s="1691"/>
      <c r="S3" s="1691"/>
      <c r="T3" s="1691"/>
      <c r="U3" s="1691"/>
    </row>
    <row r="4" spans="1:21" ht="15" thickBot="1">
      <c r="A4" s="1662" t="s">
        <v>1943</v>
      </c>
      <c r="B4" s="1839" t="s">
        <v>3243</v>
      </c>
      <c r="C4" s="1842">
        <f ca="1">SUMIF(土地估价师,B4,估价师及机构信息!E3:E24)</f>
        <v>2002110125</v>
      </c>
      <c r="D4" s="1839" t="s">
        <v>3244</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1"/>
      <c r="K4" s="2452" t="str">
        <f>IF(AND(F4="——",H4="——"),B4&amp;"、"&amp;D4,IF(AND(F4&lt;&gt;"——",H4="——"),B4&amp;"、"&amp;D4&amp;"、"&amp;F4,B4&amp;"、"&amp;D4&amp;"、"&amp;F4&amp;"、"&amp;H4))</f>
        <v>吴薇、郑燚</v>
      </c>
      <c r="L4" s="1720"/>
      <c r="M4" s="1720"/>
      <c r="N4" s="1691"/>
      <c r="O4" s="1692"/>
      <c r="P4" s="1691"/>
      <c r="Q4" s="1691"/>
      <c r="R4" s="1691"/>
      <c r="S4" s="1691"/>
      <c r="T4" s="1691"/>
      <c r="U4" s="1691"/>
    </row>
    <row r="5" spans="1:21" ht="15" thickTop="1">
      <c r="A5" s="1663" t="s">
        <v>1944</v>
      </c>
      <c r="B5" s="1786" t="s">
        <v>3245</v>
      </c>
      <c r="C5" s="1664"/>
      <c r="D5" s="1665"/>
      <c r="E5" s="1691"/>
      <c r="F5" s="1691"/>
      <c r="G5" s="1691"/>
      <c r="H5" s="1658"/>
      <c r="I5" s="1692"/>
      <c r="J5" s="1691"/>
      <c r="K5" s="1771"/>
      <c r="L5" s="1720"/>
      <c r="M5" s="1720"/>
      <c r="N5" s="1691"/>
      <c r="O5" s="1692"/>
      <c r="P5" s="1691"/>
      <c r="Q5" s="1691"/>
      <c r="R5" s="1691"/>
      <c r="S5" s="1691"/>
      <c r="T5" s="1691"/>
      <c r="U5" s="1691"/>
    </row>
    <row r="6" spans="1:21" ht="26.25">
      <c r="A6" s="1661" t="s">
        <v>2703</v>
      </c>
      <c r="B6" s="1786" t="s">
        <v>3247</v>
      </c>
      <c r="C6" s="1758"/>
      <c r="D6" s="1666"/>
      <c r="E6" s="1691"/>
      <c r="F6" s="1691"/>
      <c r="G6" s="1691"/>
      <c r="H6" s="1658"/>
      <c r="I6" s="1692"/>
      <c r="J6" s="1691"/>
      <c r="K6" s="3052" t="str">
        <f>IF(COUNTIF(B6,"*上海银行*"),"上海银行","")</f>
        <v/>
      </c>
      <c r="L6" s="1720"/>
      <c r="M6" s="1720"/>
      <c r="N6" s="1691"/>
      <c r="O6" s="1692"/>
      <c r="P6" s="1691"/>
      <c r="Q6" s="1691"/>
      <c r="R6" s="1691"/>
      <c r="S6" s="1691"/>
      <c r="T6" s="1691"/>
      <c r="U6" s="1691"/>
    </row>
    <row r="7" spans="1:21">
      <c r="A7" s="1667" t="s">
        <v>2704</v>
      </c>
      <c r="B7" s="1786" t="s">
        <v>3246</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3028</v>
      </c>
      <c r="C8" s="1669"/>
      <c r="D8" s="3328" t="s">
        <v>1947</v>
      </c>
      <c r="E8" s="1840" t="s">
        <v>3029</v>
      </c>
      <c r="F8" s="1670"/>
      <c r="G8" s="1658"/>
      <c r="H8" s="1658"/>
      <c r="I8" s="1704"/>
      <c r="J8" s="1691"/>
      <c r="K8" s="1771"/>
      <c r="L8" s="1720"/>
      <c r="M8" s="1720"/>
      <c r="N8" s="1691"/>
      <c r="O8" s="1692"/>
      <c r="P8" s="1691"/>
      <c r="Q8" s="1691"/>
      <c r="R8" s="1691"/>
      <c r="S8" s="1691"/>
      <c r="T8" s="1691"/>
      <c r="U8" s="1691"/>
    </row>
    <row r="9" spans="1:21" ht="15" thickBot="1">
      <c r="A9" s="1671" t="s">
        <v>1946</v>
      </c>
      <c r="B9" s="1672" t="s">
        <v>3029</v>
      </c>
      <c r="C9" s="1673"/>
      <c r="D9" s="3329"/>
      <c r="E9" s="1672" t="s">
        <v>952</v>
      </c>
      <c r="F9" s="1744"/>
      <c r="G9" s="1739"/>
      <c r="H9" s="1739"/>
      <c r="I9" s="1740"/>
      <c r="J9" s="1691"/>
      <c r="K9" s="1771"/>
      <c r="L9" s="1720"/>
      <c r="M9" s="1720"/>
      <c r="N9" s="1691"/>
      <c r="O9" s="1692"/>
      <c r="P9" s="1691"/>
      <c r="Q9" s="1691"/>
      <c r="R9" s="1691"/>
      <c r="S9" s="1691"/>
      <c r="T9" s="1691"/>
      <c r="U9" s="1691"/>
    </row>
    <row r="10" spans="1:21" ht="15" thickTop="1">
      <c r="A10" s="1741" t="s">
        <v>1999</v>
      </c>
      <c r="B10" s="1716" t="s">
        <v>1948</v>
      </c>
      <c r="C10" s="1674"/>
      <c r="D10" s="1665"/>
      <c r="E10" s="1675" t="s">
        <v>1949</v>
      </c>
      <c r="F10" s="3215" t="s">
        <v>3297</v>
      </c>
      <c r="G10" s="1742"/>
      <c r="H10" s="1743"/>
      <c r="I10" s="1665"/>
      <c r="J10" s="1691"/>
      <c r="K10" s="1771"/>
      <c r="L10" s="1720"/>
      <c r="M10" s="1720"/>
      <c r="N10" s="1691"/>
      <c r="O10" s="1692"/>
      <c r="P10" s="1691"/>
      <c r="Q10" s="1691"/>
      <c r="R10" s="1691"/>
      <c r="S10" s="1691"/>
      <c r="T10" s="1691"/>
      <c r="U10" s="1691"/>
    </row>
    <row r="11" spans="1:21">
      <c r="A11" s="1694" t="s">
        <v>2000</v>
      </c>
      <c r="B11" s="1695" t="s">
        <v>3030</v>
      </c>
      <c r="C11" s="1676"/>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325" t="s">
        <v>3248</v>
      </c>
      <c r="C12" s="3326"/>
      <c r="D12" s="3327"/>
      <c r="E12" s="1696" t="s">
        <v>2061</v>
      </c>
      <c r="F12" s="3343"/>
      <c r="G12" s="3344"/>
      <c r="H12" s="3344"/>
      <c r="I12" s="3345"/>
      <c r="J12" s="1691"/>
      <c r="K12" s="1771"/>
      <c r="L12" s="1720"/>
      <c r="M12" s="1720"/>
      <c r="N12" s="1691"/>
      <c r="O12" s="1692"/>
      <c r="P12" s="1691"/>
      <c r="Q12" s="1691"/>
      <c r="R12" s="1691"/>
      <c r="S12" s="1691"/>
      <c r="T12" s="1691"/>
      <c r="U12" s="1691"/>
    </row>
    <row r="13" spans="1:21">
      <c r="A13" s="1684" t="s">
        <v>2059</v>
      </c>
      <c r="B13" s="3325" t="s">
        <v>3248</v>
      </c>
      <c r="C13" s="3326"/>
      <c r="D13" s="3327"/>
      <c r="E13" s="1696" t="s">
        <v>2061</v>
      </c>
      <c r="F13" s="3343"/>
      <c r="G13" s="3344"/>
      <c r="H13" s="3344"/>
      <c r="I13" s="3345"/>
      <c r="J13" s="1691"/>
      <c r="K13" s="1771"/>
      <c r="L13" s="1720"/>
      <c r="M13" s="1720"/>
      <c r="N13" s="1691"/>
      <c r="O13" s="1692"/>
      <c r="P13" s="1691"/>
      <c r="Q13" s="1691"/>
      <c r="R13" s="1691"/>
      <c r="S13" s="1691"/>
      <c r="T13" s="1691"/>
      <c r="U13" s="1691"/>
    </row>
    <row r="14" spans="1:21">
      <c r="A14" s="1659" t="s">
        <v>2062</v>
      </c>
      <c r="B14" s="1696"/>
      <c r="C14" s="1841" t="s">
        <v>3031</v>
      </c>
      <c r="D14" s="1730" t="str">
        <f>IF(C14="不一致","是否符合证载地类范围","")</f>
        <v/>
      </c>
      <c r="E14" s="1696"/>
      <c r="F14" s="1787" t="s">
        <v>3249</v>
      </c>
      <c r="G14" s="1725"/>
      <c r="H14" s="1725"/>
      <c r="I14" s="1833"/>
      <c r="J14" s="1691"/>
      <c r="K14" s="1771"/>
      <c r="L14" s="1720"/>
      <c r="M14" s="1720"/>
      <c r="N14" s="1691"/>
      <c r="O14" s="1692"/>
      <c r="P14" s="1691"/>
      <c r="Q14" s="1691"/>
      <c r="R14" s="1691"/>
      <c r="S14" s="1691"/>
      <c r="T14" s="1691"/>
      <c r="U14" s="1691"/>
    </row>
    <row r="15" spans="1:21" hidden="1">
      <c r="A15" s="2642"/>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3032</v>
      </c>
      <c r="C16" s="1696" t="s">
        <v>1951</v>
      </c>
      <c r="D16" s="2643" t="s">
        <v>1952</v>
      </c>
      <c r="E16" s="1719" t="s">
        <v>3033</v>
      </c>
      <c r="F16" s="1719"/>
      <c r="G16" s="1719" t="s">
        <v>35</v>
      </c>
      <c r="H16" s="1719" t="s">
        <v>3194</v>
      </c>
      <c r="I16" s="1683" t="s">
        <v>1957</v>
      </c>
      <c r="J16" s="1691"/>
      <c r="K16" s="2453" t="str">
        <f>IF(D17="","",D16&amp;TEXT(D17,"yyyy年m月d日;;"))</f>
        <v>住宅2087年7月27日</v>
      </c>
      <c r="L16" s="1696" t="str">
        <f>IF(OR(K16="",M16=""),"","、")</f>
        <v>、</v>
      </c>
      <c r="M16" s="2453" t="str">
        <f>IF(E17="","",E16&amp;TEXT(E17,"yyyy年m月d日;;"))</f>
        <v>商业2057年7月27日</v>
      </c>
      <c r="N16" s="1696" t="str">
        <f>IF(OR(M16="",O16=""),"","、")</f>
        <v/>
      </c>
      <c r="O16" s="2453" t="str">
        <f>IF(F17="","",F16&amp;TEXT(F17,"yyyy年m月d日;;"))</f>
        <v/>
      </c>
      <c r="P16" s="1696" t="str">
        <f>IF(OR(O16="",Q16=""),"","、")</f>
        <v/>
      </c>
      <c r="Q16" s="2453" t="str">
        <f>IF(G17="","",G16&amp;TEXT(G17,"yyyy年m月d日;;"))</f>
        <v>地下车库2067年7月27日</v>
      </c>
      <c r="R16" s="1696" t="str">
        <f>IF(OR(Q16="",S16=""),"","、")</f>
        <v>、</v>
      </c>
      <c r="S16" s="2453" t="str">
        <f>IF(H17="","",H16&amp;TEXT(H17,"yyyy年m月d日;;"))</f>
        <v>仓储2067年7月27日</v>
      </c>
      <c r="T16" s="1696" t="str">
        <f>IF(OR(S16="",U16=""),"","、")</f>
        <v/>
      </c>
      <c r="U16" s="2453" t="str">
        <f>IF(I17="","",I16&amp;TEXT(I17,"yyyy年m月d日;;"))</f>
        <v/>
      </c>
    </row>
    <row r="17" spans="1:21">
      <c r="A17" s="1760"/>
      <c r="B17" s="1679"/>
      <c r="C17" s="1680" t="s">
        <v>1958</v>
      </c>
      <c r="D17" s="1697">
        <v>68510</v>
      </c>
      <c r="E17" s="1697">
        <v>57553</v>
      </c>
      <c r="F17" s="1697"/>
      <c r="G17" s="1697">
        <v>61205</v>
      </c>
      <c r="H17" s="1697">
        <f>G17</f>
        <v>61205</v>
      </c>
      <c r="I17" s="1697"/>
      <c r="J17" s="1691"/>
      <c r="K17" s="2452" t="str">
        <f>CONCATENATE(K16,L16,M16,N16,O16,P16,Q16,R16,S16,T16,,U16)</f>
        <v>住宅2087年7月27日、商业2057年7月27日地下车库2067年7月27日、仓储2067年7月27日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68.67</v>
      </c>
      <c r="E19" s="1682">
        <f>IF(B16="出让",IF(E17="","",ROUNDDOWN(MIN((E17-$D$3)/365,E18),2)),E18)</f>
        <v>38.65</v>
      </c>
      <c r="F19" s="1682" t="str">
        <f>IF(B16="出让",IF(F17="","",ROUNDDOWN(MIN((F17-$D$3)/365,F18),2)),F18)</f>
        <v/>
      </c>
      <c r="G19" s="1682">
        <f>IF(B16="出让",IF(G17="","",ROUNDDOWN(MIN((G17-$D$3)/365,G18),2)),G18)</f>
        <v>48.66</v>
      </c>
      <c r="H19" s="1682">
        <f>IF(B16="出让",IF(H17="","",ROUNDDOWN(MIN((H17-$D$3)/365,H18),2)),H18)</f>
        <v>48.66</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40" t="s">
        <v>3250</v>
      </c>
      <c r="E20" s="3341"/>
      <c r="F20" s="3341"/>
      <c r="G20" s="3341"/>
      <c r="H20" s="3341"/>
      <c r="I20" s="3342"/>
      <c r="J20" s="1691"/>
      <c r="K20" s="1771"/>
      <c r="L20" s="1720"/>
      <c r="M20" s="1720"/>
      <c r="N20" s="1691"/>
      <c r="O20" s="1692"/>
      <c r="P20" s="1691"/>
      <c r="Q20" s="1691"/>
      <c r="R20" s="1691"/>
      <c r="S20" s="1691"/>
      <c r="T20" s="1691"/>
      <c r="U20" s="1691"/>
    </row>
    <row r="21" spans="1:21">
      <c r="A21" s="1760" t="s">
        <v>1961</v>
      </c>
      <c r="B21" s="1761" t="s">
        <v>1962</v>
      </c>
      <c r="C21" s="1756">
        <f>'数据-汇总表'!E3</f>
        <v>169816</v>
      </c>
      <c r="D21" s="1757" t="s">
        <v>1963</v>
      </c>
      <c r="E21" s="3330"/>
      <c r="F21" s="3331"/>
      <c r="G21" s="3331"/>
      <c r="H21" s="3331"/>
      <c r="I21" s="3332"/>
      <c r="J21" s="1691"/>
      <c r="K21" s="1771"/>
      <c r="L21" s="1720"/>
      <c r="M21" s="1720"/>
      <c r="N21" s="1691"/>
      <c r="O21" s="1692"/>
      <c r="P21" s="1691"/>
      <c r="Q21" s="1691"/>
      <c r="R21" s="1691"/>
      <c r="S21" s="1691"/>
      <c r="T21" s="1691"/>
      <c r="U21" s="1691"/>
    </row>
    <row r="22" spans="1:21">
      <c r="A22" s="3142" t="s">
        <v>952</v>
      </c>
      <c r="B22" s="1659" t="s">
        <v>1964</v>
      </c>
      <c r="C22" s="1683">
        <f>'数据-汇总表'!D3</f>
        <v>62541.33</v>
      </c>
      <c r="D22" s="1684" t="s">
        <v>1963</v>
      </c>
      <c r="E22" s="3330"/>
      <c r="F22" s="3331"/>
      <c r="G22" s="3331"/>
      <c r="H22" s="3331"/>
      <c r="I22" s="3332"/>
      <c r="J22" s="1691"/>
      <c r="K22" s="1771"/>
      <c r="L22" s="1720"/>
      <c r="M22" s="1720"/>
      <c r="N22" s="1691"/>
      <c r="O22" s="1692"/>
      <c r="P22" s="1691"/>
      <c r="Q22" s="1691"/>
      <c r="R22" s="1691"/>
      <c r="S22" s="1691"/>
      <c r="T22" s="1691"/>
      <c r="U22" s="1691"/>
    </row>
    <row r="23" spans="1:21" ht="43.5" thickBot="1">
      <c r="A23" s="1762" t="s">
        <v>1965</v>
      </c>
      <c r="B23" s="1698" t="s">
        <v>1966</v>
      </c>
      <c r="C23" s="1699" t="s">
        <v>3251</v>
      </c>
      <c r="D23" s="1700" t="s">
        <v>1967</v>
      </c>
      <c r="E23" s="1701" t="s">
        <v>952</v>
      </c>
      <c r="F23" s="1702" t="str">
        <f>IF(AND(C23="是",E23="否"),"是否提供他项权证或相关说明","")</f>
        <v/>
      </c>
      <c r="G23" s="1703" t="s">
        <v>952</v>
      </c>
      <c r="H23" s="1691"/>
      <c r="I23" s="1704"/>
      <c r="J23" s="1691"/>
      <c r="K23" s="1771"/>
      <c r="L23" s="1720"/>
      <c r="M23" s="1720"/>
      <c r="N23" s="1691"/>
      <c r="O23" s="1692"/>
      <c r="P23" s="1691"/>
      <c r="Q23" s="1691"/>
      <c r="R23" s="1691"/>
      <c r="S23" s="1691"/>
      <c r="T23" s="1691"/>
      <c r="U23" s="1691"/>
    </row>
    <row r="24" spans="1:21">
      <c r="A24" s="1747" t="s">
        <v>1968</v>
      </c>
      <c r="B24" s="3333" t="s">
        <v>1969</v>
      </c>
      <c r="C24" s="3334"/>
      <c r="D24" s="3335" t="s">
        <v>1970</v>
      </c>
      <c r="E24" s="3336"/>
      <c r="F24" s="1705" t="s">
        <v>1971</v>
      </c>
      <c r="G24" s="1691"/>
      <c r="H24" s="1691"/>
      <c r="I24" s="1704"/>
      <c r="J24" s="1691"/>
      <c r="K24" s="3321" t="s">
        <v>1972</v>
      </c>
      <c r="L24" s="2454" t="str">
        <f>"根据估价对象"&amp;IF(B26="——",B25&amp;C25,B25&amp;C25&amp;"、"&amp;B26&amp;C26)&amp;"，"&amp;IF(C23="是","截至估价期日，估价对象已设定抵押。","截至估价期日，估价对象抵押权未见登记。")</f>
        <v>根据估价对象、，截至估价期日，估价对象抵押权未见登记。</v>
      </c>
      <c r="M24" s="1720"/>
      <c r="N24" s="1691"/>
      <c r="O24" s="1692"/>
      <c r="P24" s="1691"/>
      <c r="Q24" s="1691"/>
      <c r="R24" s="1691"/>
      <c r="S24" s="1691"/>
      <c r="T24" s="1691"/>
      <c r="U24" s="1691"/>
    </row>
    <row r="25" spans="1:21">
      <c r="A25" s="1748"/>
      <c r="B25" s="1745"/>
      <c r="C25" s="1706"/>
      <c r="D25" s="1707"/>
      <c r="E25" s="1708" t="s">
        <v>952</v>
      </c>
      <c r="F25" s="1709"/>
      <c r="G25" s="1691"/>
      <c r="H25" s="1691"/>
      <c r="I25" s="1704"/>
      <c r="J25" s="1691"/>
      <c r="K25" s="3321"/>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321"/>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4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4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307" t="s">
        <v>2001</v>
      </c>
      <c r="B31" s="1761" t="s">
        <v>2002</v>
      </c>
      <c r="C31" s="3346" t="s">
        <v>3252</v>
      </c>
      <c r="D31" s="3347"/>
      <c r="E31" s="1691"/>
      <c r="F31" s="1691"/>
      <c r="G31" s="1691"/>
      <c r="H31" s="1691"/>
      <c r="I31" s="1704"/>
      <c r="J31" s="1691"/>
      <c r="K31" s="2455"/>
      <c r="L31" s="1691"/>
      <c r="M31" s="1691"/>
      <c r="N31" s="1691"/>
      <c r="O31" s="1691"/>
      <c r="P31" s="1691"/>
      <c r="Q31" s="1691"/>
      <c r="R31" s="1691"/>
      <c r="S31" s="1691"/>
      <c r="T31" s="1691"/>
      <c r="U31" s="1691"/>
    </row>
    <row r="32" spans="1:21">
      <c r="A32" s="3307"/>
      <c r="B32" s="1659" t="s">
        <v>2003</v>
      </c>
      <c r="C32" s="1716" t="s">
        <v>3253</v>
      </c>
      <c r="D32" s="1717"/>
      <c r="E32" s="1691"/>
      <c r="F32" s="1691"/>
      <c r="G32" s="1691"/>
      <c r="H32" s="1691"/>
      <c r="I32" s="1704"/>
      <c r="J32" s="1691"/>
      <c r="K32" s="2455"/>
      <c r="L32" s="1691"/>
      <c r="M32" s="1691"/>
      <c r="N32" s="1691"/>
      <c r="O32" s="1691"/>
      <c r="P32" s="1691"/>
      <c r="Q32" s="1691"/>
      <c r="R32" s="1691"/>
      <c r="S32" s="1691"/>
      <c r="T32" s="1691"/>
      <c r="U32" s="1691"/>
    </row>
    <row r="33" spans="1:21">
      <c r="A33" s="3307"/>
      <c r="B33" s="1659" t="s">
        <v>2004</v>
      </c>
      <c r="C33" s="1718" t="s">
        <v>3251</v>
      </c>
      <c r="D33" s="1834"/>
      <c r="E33" s="1691"/>
      <c r="F33" s="1691"/>
      <c r="G33" s="1691"/>
      <c r="H33" s="1691"/>
      <c r="I33" s="1704"/>
      <c r="J33" s="1691"/>
      <c r="K33" s="2455"/>
      <c r="L33" s="1691"/>
      <c r="M33" s="1691"/>
      <c r="N33" s="1691"/>
      <c r="O33" s="1691"/>
      <c r="P33" s="1691"/>
      <c r="Q33" s="1691"/>
      <c r="R33" s="1691"/>
      <c r="S33" s="1691"/>
      <c r="T33" s="1691"/>
      <c r="U33" s="1691"/>
    </row>
    <row r="34" spans="1:21">
      <c r="A34" s="3308"/>
      <c r="B34" s="1659" t="s">
        <v>2005</v>
      </c>
      <c r="C34" s="3309"/>
      <c r="D34" s="3310"/>
      <c r="E34" s="1691"/>
      <c r="F34" s="1691"/>
      <c r="G34" s="1691"/>
      <c r="H34" s="1691"/>
      <c r="I34" s="1704"/>
      <c r="J34" s="1691"/>
      <c r="K34" s="2455"/>
      <c r="L34" s="1691"/>
      <c r="M34" s="1691"/>
      <c r="N34" s="1691"/>
      <c r="O34" s="1691"/>
      <c r="P34" s="1691"/>
      <c r="Q34" s="1691"/>
      <c r="R34" s="1691"/>
      <c r="S34" s="1691"/>
      <c r="T34" s="1691"/>
      <c r="U34" s="1691"/>
    </row>
    <row r="35" spans="1:21" ht="28.5">
      <c r="A35" s="3311" t="s">
        <v>847</v>
      </c>
      <c r="B35" s="1719" t="s">
        <v>3254</v>
      </c>
      <c r="C35" s="1773" t="str">
        <f>IF(B35="场地平整","——","具体情况：")</f>
        <v>具体情况：</v>
      </c>
      <c r="D35" s="3313"/>
      <c r="E35" s="3314"/>
      <c r="F35" s="3314"/>
      <c r="G35" s="3314"/>
      <c r="H35" s="3314"/>
      <c r="I35" s="3315"/>
      <c r="J35" s="1691"/>
      <c r="K35" s="1772"/>
      <c r="L35" s="1720"/>
      <c r="M35" s="1720"/>
      <c r="N35" s="1691"/>
      <c r="O35" s="1692"/>
      <c r="P35" s="1691"/>
      <c r="Q35" s="1691"/>
      <c r="R35" s="1691"/>
      <c r="S35" s="1691"/>
      <c r="T35" s="1691"/>
      <c r="U35" s="1691"/>
    </row>
    <row r="36" spans="1:21">
      <c r="A36" s="3307"/>
      <c r="B36" s="3316" t="s">
        <v>2054</v>
      </c>
      <c r="C36" s="3317"/>
      <c r="D36" s="1789" t="s">
        <v>3255</v>
      </c>
      <c r="E36" s="3318"/>
      <c r="F36" s="3318"/>
      <c r="G36" s="1684" t="str">
        <f>IF(B35="场地未平整","估价结果处理","")</f>
        <v/>
      </c>
      <c r="H36" s="3319"/>
      <c r="I36" s="3319"/>
      <c r="J36" s="1691"/>
      <c r="K36" s="1772"/>
      <c r="L36" s="1720"/>
      <c r="M36" s="1720"/>
      <c r="N36" s="1691"/>
      <c r="O36" s="1692"/>
      <c r="P36" s="1691"/>
      <c r="Q36" s="1691"/>
      <c r="R36" s="1691"/>
      <c r="S36" s="1691"/>
      <c r="T36" s="1691"/>
      <c r="U36" s="1691"/>
    </row>
    <row r="37" spans="1:21" ht="28.5">
      <c r="A37" s="3307"/>
      <c r="B37" s="3337"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307"/>
      <c r="B38" s="3338"/>
      <c r="C38" s="1667" t="s">
        <v>850</v>
      </c>
      <c r="D38" s="1788">
        <f>ROUNDDOWN(MIN(('数据-取费表'!$B$2-D37)/365,D34),1)</f>
        <v>119</v>
      </c>
      <c r="E38" s="1724" t="s">
        <v>851</v>
      </c>
      <c r="F38" s="1691"/>
      <c r="G38" s="1691"/>
      <c r="H38" s="1691"/>
      <c r="I38" s="1704"/>
      <c r="J38" s="1691"/>
      <c r="K38" s="1772"/>
      <c r="L38" s="1691"/>
      <c r="M38" s="1691"/>
      <c r="N38" s="1691"/>
      <c r="O38" s="1691"/>
      <c r="P38" s="1691"/>
      <c r="Q38" s="1691"/>
      <c r="R38" s="1691"/>
      <c r="S38" s="1691"/>
      <c r="T38" s="1691"/>
      <c r="U38" s="1691"/>
    </row>
    <row r="39" spans="1:21">
      <c r="A39" s="3308"/>
      <c r="B39" s="3339"/>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3236</v>
      </c>
      <c r="C40" s="1687" t="s">
        <v>3237</v>
      </c>
      <c r="D40" s="1687" t="s">
        <v>3238</v>
      </c>
      <c r="E40" s="1687" t="s">
        <v>952</v>
      </c>
      <c r="F40" s="1687" t="s">
        <v>952</v>
      </c>
      <c r="G40" s="1687" t="s">
        <v>952</v>
      </c>
      <c r="H40" s="1687" t="s">
        <v>952</v>
      </c>
      <c r="I40" s="1704"/>
      <c r="J40" s="1691"/>
      <c r="K40" s="1727">
        <f>COUNTIF(B40:H40,"——")</f>
        <v>4</v>
      </c>
      <c r="L40" s="1696" t="s">
        <v>1979</v>
      </c>
      <c r="M40" s="1693" t="s">
        <v>1980</v>
      </c>
      <c r="N40" s="1693" t="s">
        <v>1981</v>
      </c>
      <c r="O40" s="1693" t="s">
        <v>1982</v>
      </c>
      <c r="P40" s="1693" t="s">
        <v>1983</v>
      </c>
      <c r="Q40" s="1693" t="s">
        <v>1984</v>
      </c>
      <c r="R40" s="1693" t="s">
        <v>1985</v>
      </c>
      <c r="S40" s="3320" t="s">
        <v>1986</v>
      </c>
      <c r="T40" s="1728" t="str">
        <f>NUMBERSTRING(7-K40,1)&amp;"通"</f>
        <v>三通</v>
      </c>
      <c r="U40" s="1691"/>
    </row>
    <row r="41" spans="1:21">
      <c r="A41" s="1661"/>
      <c r="B41" s="3312" t="s">
        <v>1722</v>
      </c>
      <c r="C41" s="3312"/>
      <c r="D41" s="3312"/>
      <c r="E41" s="3312"/>
      <c r="F41" s="1729">
        <f>C10</f>
        <v>0</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320"/>
      <c r="T41" s="1730" t="str">
        <f>IF(T40="一通",L41,IF(T40="二通",M41,IF(T40="三通",N41,IF(T40="四通",O41,IF(T40="五通",P41,IF(T40="六通",Q41,R41))))))</f>
        <v>通路、通电、通上水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1414</v>
      </c>
      <c r="C43" s="1735" t="s">
        <v>1414</v>
      </c>
      <c r="D43" s="1735" t="s">
        <v>1414</v>
      </c>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3256</v>
      </c>
      <c r="C44" s="1735" t="s">
        <v>3256</v>
      </c>
      <c r="D44" s="1735" t="s">
        <v>3256</v>
      </c>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2886</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5"/>
      <c r="K49" s="1836"/>
      <c r="L49" s="1836"/>
      <c r="M49" s="1727"/>
      <c r="N49" s="1727"/>
      <c r="O49" s="1727"/>
      <c r="P49" s="1727"/>
      <c r="Q49" s="1727"/>
      <c r="R49" s="1727"/>
      <c r="S49" s="1691"/>
      <c r="T49" s="1691"/>
      <c r="U49" s="1691"/>
    </row>
    <row r="50" spans="1:21">
      <c r="A50" s="1693"/>
      <c r="B50" s="1693"/>
      <c r="C50" s="1727"/>
      <c r="D50" s="1727"/>
      <c r="E50" s="1727"/>
      <c r="F50" s="1727"/>
      <c r="G50" s="1727"/>
      <c r="H50" s="1727"/>
      <c r="I50" s="1727"/>
      <c r="J50" s="1835"/>
      <c r="K50" s="1836"/>
      <c r="L50" s="1836"/>
      <c r="M50" s="1727"/>
      <c r="N50" s="1727"/>
      <c r="O50" s="1727"/>
      <c r="P50" s="1727"/>
      <c r="Q50" s="1727"/>
      <c r="R50" s="1727"/>
      <c r="S50" s="1691"/>
      <c r="T50" s="1691"/>
      <c r="U50" s="1691"/>
    </row>
    <row r="51" spans="1:21">
      <c r="A51" s="1693"/>
      <c r="B51" s="1693"/>
      <c r="C51" s="1727"/>
      <c r="D51" s="1727"/>
      <c r="E51" s="1727"/>
      <c r="F51" s="1727"/>
      <c r="G51" s="1727"/>
      <c r="H51" s="1727"/>
      <c r="I51" s="1727"/>
      <c r="J51" s="1835"/>
      <c r="K51" s="1836"/>
      <c r="L51" s="1836"/>
      <c r="M51" s="1727"/>
      <c r="N51" s="1727"/>
      <c r="O51" s="1727"/>
      <c r="P51" s="1727"/>
      <c r="Q51" s="1727"/>
      <c r="R51" s="1727"/>
      <c r="S51" s="1691"/>
      <c r="T51" s="1691"/>
      <c r="U51" s="1691"/>
    </row>
    <row r="52" spans="1:21">
      <c r="A52" s="1693"/>
      <c r="B52" s="1693"/>
      <c r="C52" s="1727"/>
      <c r="D52" s="1727"/>
      <c r="E52" s="1727"/>
      <c r="F52" s="1727"/>
      <c r="G52" s="1727"/>
      <c r="H52" s="1727"/>
      <c r="I52" s="1727"/>
      <c r="J52" s="1835"/>
      <c r="K52" s="1836"/>
      <c r="L52" s="1836"/>
      <c r="M52" s="1727"/>
      <c r="N52" s="1727"/>
      <c r="O52" s="1727"/>
      <c r="P52" s="1727"/>
      <c r="Q52" s="1727"/>
      <c r="R52" s="1727"/>
      <c r="S52" s="1691"/>
      <c r="T52" s="1691"/>
      <c r="U52" s="1691"/>
    </row>
    <row r="53" spans="1:21">
      <c r="A53" s="1693"/>
      <c r="B53" s="1693"/>
      <c r="C53" s="1727"/>
      <c r="D53" s="1727"/>
      <c r="E53" s="1727"/>
      <c r="F53" s="1727"/>
      <c r="G53" s="1727"/>
      <c r="H53" s="1727"/>
      <c r="I53" s="1727"/>
      <c r="J53" s="1835"/>
      <c r="K53" s="1836"/>
      <c r="L53" s="1836"/>
      <c r="M53" s="1727"/>
      <c r="N53" s="1727"/>
      <c r="O53" s="1727"/>
      <c r="P53" s="1727"/>
      <c r="Q53" s="1727"/>
      <c r="R53" s="1727"/>
      <c r="S53" s="1691"/>
      <c r="T53" s="1691"/>
      <c r="U53" s="1691"/>
    </row>
    <row r="54" spans="1:21">
      <c r="A54" s="1693"/>
      <c r="B54" s="1693"/>
      <c r="C54" s="1693"/>
      <c r="D54" s="1693"/>
      <c r="E54" s="1693"/>
      <c r="F54" s="1727"/>
      <c r="G54" s="1693"/>
      <c r="H54" s="1693"/>
      <c r="I54" s="1693"/>
      <c r="J54" s="1837"/>
      <c r="K54" s="1836"/>
      <c r="L54" s="1836"/>
      <c r="M54" s="1836"/>
      <c r="N54" s="1693"/>
      <c r="O54" s="1693"/>
      <c r="P54" s="1693"/>
      <c r="Q54" s="1693"/>
      <c r="R54" s="1693"/>
      <c r="S54" s="1691"/>
      <c r="T54" s="1691"/>
      <c r="U54" s="1691"/>
    </row>
    <row r="55" spans="1:21">
      <c r="A55" s="1693"/>
      <c r="B55" s="1693"/>
      <c r="C55" s="1693"/>
      <c r="D55" s="1693"/>
      <c r="E55" s="1693"/>
      <c r="F55" s="1727"/>
      <c r="G55" s="1693"/>
      <c r="H55" s="1693"/>
      <c r="I55" s="1693"/>
      <c r="J55" s="1837"/>
      <c r="K55" s="1836"/>
      <c r="L55" s="1836"/>
      <c r="M55" s="1836"/>
      <c r="N55" s="1693"/>
      <c r="O55" s="1693"/>
      <c r="P55" s="1693"/>
      <c r="Q55" s="1693"/>
      <c r="R55" s="1693"/>
      <c r="S55" s="1691"/>
      <c r="T55" s="1691"/>
      <c r="U55" s="1691"/>
    </row>
    <row r="56" spans="1:21">
      <c r="A56" s="1693"/>
      <c r="B56" s="1693"/>
      <c r="C56" s="1693"/>
      <c r="D56" s="1693"/>
      <c r="E56" s="1693"/>
      <c r="F56" s="1727"/>
      <c r="G56" s="1693"/>
      <c r="H56" s="1693"/>
      <c r="I56" s="1693"/>
      <c r="J56" s="1837"/>
      <c r="K56" s="1836"/>
      <c r="L56" s="1836"/>
      <c r="M56" s="1836"/>
      <c r="N56" s="1693"/>
      <c r="O56" s="1693"/>
      <c r="P56" s="1693"/>
      <c r="Q56" s="1693"/>
      <c r="R56" s="1693"/>
      <c r="S56" s="1691"/>
      <c r="T56" s="1691"/>
      <c r="U56" s="1691"/>
    </row>
    <row r="57" spans="1:21">
      <c r="A57" s="1693"/>
      <c r="B57" s="1693"/>
      <c r="C57" s="1693"/>
      <c r="D57" s="1693"/>
      <c r="E57" s="1693"/>
      <c r="F57" s="1727"/>
      <c r="G57" s="1693"/>
      <c r="H57" s="1693"/>
      <c r="I57" s="1693"/>
      <c r="J57" s="1837"/>
      <c r="K57" s="1836"/>
      <c r="L57" s="1836"/>
      <c r="M57" s="1836"/>
      <c r="N57" s="1693"/>
      <c r="O57" s="1693"/>
      <c r="P57" s="1693"/>
      <c r="Q57" s="1693"/>
      <c r="R57" s="1693"/>
      <c r="S57" s="1691"/>
      <c r="T57" s="1691"/>
      <c r="U57" s="1691"/>
    </row>
    <row r="58" spans="1:21">
      <c r="A58" s="1693"/>
      <c r="B58" s="1693"/>
      <c r="C58" s="1693"/>
      <c r="D58" s="1693"/>
      <c r="E58" s="1693"/>
      <c r="F58" s="1727"/>
      <c r="G58" s="1693"/>
      <c r="H58" s="1693"/>
      <c r="I58" s="1693"/>
      <c r="J58" s="1837"/>
      <c r="K58" s="1836"/>
      <c r="L58" s="1836"/>
      <c r="M58" s="1836"/>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2"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142</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项目基本情况</vt:lpstr>
      <vt:lpstr>数据-基础表</vt:lpstr>
      <vt:lpstr>抵押物清单（分楼）</vt:lpstr>
      <vt:lpstr>面积规证</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vt:lpstr>
      <vt:lpstr>定义</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不动产收益法（商业）</vt:lpstr>
      <vt:lpstr>不动产收益法（仓储）</vt:lpstr>
      <vt:lpstr>不动产收益法（车库）</vt:lpstr>
      <vt:lpstr>土地案例</vt:lpstr>
      <vt:lpstr>Sheet1</vt:lpstr>
      <vt:lpstr>典型户型修正</vt:lpstr>
      <vt:lpstr>存贷款利率</vt:lpstr>
      <vt:lpstr>'比较法-住宅、综合'!Print_Area</vt:lpstr>
      <vt:lpstr>'不动产收益）'!Print_Area</vt:lpstr>
      <vt:lpstr>不动产收益法!Print_Area</vt:lpstr>
      <vt:lpstr>'不动产收益法（仓储）'!Print_Area</vt:lpstr>
      <vt:lpstr>'不动产收益法（车库）'!Print_Area</vt:lpstr>
      <vt:lpstr>'不动产收益法（商业）'!Print_Area</vt:lpstr>
      <vt:lpstr>估价对象房地状况!Print_Area</vt:lpstr>
      <vt:lpstr>结果表!Print_Area</vt:lpstr>
      <vt:lpstr>'剩余法-待开发'!Print_Area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2018-09-25T09:43:36Z</cp:lastPrinted>
  <dcterms:created xsi:type="dcterms:W3CDTF">2015-07-13T07:17:23Z</dcterms:created>
  <dcterms:modified xsi:type="dcterms:W3CDTF">2019-01-16T02:35:59Z</dcterms:modified>
</cp:coreProperties>
</file>