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160北京市西城区新风南里7号楼3层6门631号\"/>
    </mc:Choice>
  </mc:AlternateContent>
  <bookViews>
    <workbookView xWindow="0" yWindow="0" windowWidth="21600" windowHeight="9735"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90" i="21" l="1"/>
  <c r="D90" i="21"/>
  <c r="C90" i="21"/>
  <c r="F59" i="21" l="1"/>
  <c r="E59" i="21"/>
  <c r="D5" i="9"/>
  <c r="L59" i="21"/>
  <c r="K59" i="21"/>
  <c r="I59" i="21"/>
  <c r="H59" i="21"/>
  <c r="C33" i="2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M25" i="79"/>
  <c r="P25" i="79" s="1"/>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14" i="79" l="1"/>
  <c r="U16" i="79"/>
  <c r="T28" i="79"/>
  <c r="W28" i="79" s="1"/>
  <c r="U34" i="79"/>
  <c r="AD35" i="79"/>
  <c r="S36" i="79"/>
  <c r="U38" i="79"/>
  <c r="AD39" i="79"/>
  <c r="S13" i="79"/>
  <c r="T14" i="79"/>
  <c r="W14" i="79" s="1"/>
  <c r="U15" i="79"/>
  <c r="R16" i="79"/>
  <c r="V16" i="79"/>
  <c r="T25" i="79"/>
  <c r="W25" i="79" s="1"/>
  <c r="N3" i="79"/>
  <c r="V3" i="79"/>
  <c r="S12" i="79"/>
  <c r="U14" i="79"/>
  <c r="S16" i="79"/>
  <c r="K3" i="79"/>
  <c r="O3" i="79"/>
  <c r="AB3" i="79"/>
  <c r="T12" i="79"/>
  <c r="W12" i="79" s="1"/>
  <c r="U13" i="79"/>
  <c r="R14" i="79"/>
  <c r="V14" i="79"/>
  <c r="R15" i="79"/>
  <c r="V15" i="79"/>
  <c r="U12" i="79"/>
  <c r="R13" i="79"/>
  <c r="V13" i="79"/>
  <c r="U25" i="79"/>
  <c r="T27" i="79"/>
  <c r="U28" i="79"/>
  <c r="AD34" i="79"/>
  <c r="S35" i="79"/>
  <c r="U37" i="79"/>
  <c r="AD38" i="79"/>
  <c r="S3" i="79"/>
  <c r="Y3" i="79"/>
  <c r="AC3" i="79"/>
  <c r="Z3" i="79"/>
  <c r="U3" i="79"/>
  <c r="R12" i="79"/>
  <c r="V12" i="79"/>
  <c r="U36" i="79"/>
  <c r="AD37" i="79"/>
  <c r="S38" i="79"/>
  <c r="S28" i="79"/>
  <c r="T34" i="79"/>
  <c r="U35" i="79"/>
  <c r="AD36" i="79"/>
  <c r="S37" i="79"/>
  <c r="S27" i="79"/>
  <c r="M3" i="79"/>
  <c r="P3" i="79" s="1"/>
  <c r="T3" i="79"/>
  <c r="W3" i="79" s="1"/>
  <c r="U27" i="79"/>
  <c r="AD33" i="79"/>
  <c r="T32" i="79"/>
  <c r="W32" i="79" s="1"/>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Q39" i="71"/>
  <c r="AB39" i="71" s="1"/>
  <c r="P39" i="71"/>
  <c r="O39" i="71"/>
  <c r="N39" i="71"/>
  <c r="Q38" i="71"/>
  <c r="AB38" i="71" s="1"/>
  <c r="P38" i="71"/>
  <c r="O38" i="71"/>
  <c r="N38" i="71"/>
  <c r="Q37" i="71"/>
  <c r="F38" i="71" s="1"/>
  <c r="P37" i="71"/>
  <c r="O37" i="71"/>
  <c r="N37" i="71"/>
  <c r="X35" i="71" s="1"/>
  <c r="D37" i="71"/>
  <c r="Q36" i="71"/>
  <c r="P36" i="71"/>
  <c r="O36" i="71"/>
  <c r="Y36" i="71" s="1"/>
  <c r="Z36" i="71" s="1"/>
  <c r="N36" i="71"/>
  <c r="Q35" i="71"/>
  <c r="P35" i="71"/>
  <c r="O35" i="71"/>
  <c r="Y35" i="71" s="1"/>
  <c r="Z35" i="71" s="1"/>
  <c r="N35" i="71"/>
  <c r="Q34" i="71"/>
  <c r="P34" i="71"/>
  <c r="O34" i="71"/>
  <c r="N34" i="71"/>
  <c r="Q33" i="71"/>
  <c r="F34" i="71" s="1"/>
  <c r="F35" i="71" s="1"/>
  <c r="F36" i="71" s="1"/>
  <c r="V36" i="71" s="1"/>
  <c r="P33" i="71"/>
  <c r="AA32" i="71" s="1"/>
  <c r="O33" i="71"/>
  <c r="C34" i="71" s="1"/>
  <c r="N33" i="71"/>
  <c r="D33" i="71"/>
  <c r="Q32" i="71"/>
  <c r="P32" i="71"/>
  <c r="O32" i="71"/>
  <c r="N32" i="71"/>
  <c r="Q31" i="71"/>
  <c r="P31" i="71"/>
  <c r="O31" i="71"/>
  <c r="N31" i="71"/>
  <c r="Q30" i="71"/>
  <c r="P30" i="71"/>
  <c r="O30" i="71"/>
  <c r="N30" i="71"/>
  <c r="F30" i="71"/>
  <c r="F31" i="71" s="1"/>
  <c r="F32" i="71" s="1"/>
  <c r="V32" i="71" s="1"/>
  <c r="Q29" i="71"/>
  <c r="P29" i="71"/>
  <c r="E30" i="71" s="1"/>
  <c r="E31" i="71" s="1"/>
  <c r="E32" i="71" s="1"/>
  <c r="U32" i="71" s="1"/>
  <c r="O29" i="71"/>
  <c r="N29" i="71"/>
  <c r="D29" i="71"/>
  <c r="O28" i="71"/>
  <c r="C28" i="71" s="1"/>
  <c r="N28" i="71"/>
  <c r="B30" i="71"/>
  <c r="B31" i="71" s="1"/>
  <c r="B32" i="71" s="1"/>
  <c r="S32" i="71" s="1"/>
  <c r="B34" i="71"/>
  <c r="B35" i="71" s="1"/>
  <c r="B36" i="71" s="1"/>
  <c r="S36" i="71" s="1"/>
  <c r="E38" i="71"/>
  <c r="E39" i="71" s="1"/>
  <c r="E40" i="71" s="1"/>
  <c r="U40" i="71" s="1"/>
  <c r="N68" i="71"/>
  <c r="C30" i="71"/>
  <c r="AA35" i="71"/>
  <c r="X38" i="71"/>
  <c r="AA38" i="71"/>
  <c r="B28" i="71"/>
  <c r="C47" i="71"/>
  <c r="D47" i="71" s="1"/>
  <c r="D50" i="71"/>
  <c r="P28" i="71"/>
  <c r="U68" i="71"/>
  <c r="E67" i="71"/>
  <c r="Q28" i="71"/>
  <c r="AB25" i="71" s="1"/>
  <c r="C71" i="71"/>
  <c r="D71" i="71" s="1"/>
  <c r="D72" i="71"/>
  <c r="E75" i="71"/>
  <c r="E74" i="71"/>
  <c r="E79" i="71"/>
  <c r="E78" i="71"/>
  <c r="C83" i="71"/>
  <c r="D83" i="71" s="1"/>
  <c r="C87" i="71"/>
  <c r="E28" i="71"/>
  <c r="V28" i="71" s="1"/>
  <c r="C82" i="71"/>
  <c r="D82" i="71" s="1"/>
  <c r="D87" i="71"/>
  <c r="C86" i="71"/>
  <c r="D86"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Z21" i="34"/>
  <c r="Q21" i="34"/>
  <c r="D84" i="34"/>
  <c r="E84" i="34"/>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2" i="20"/>
  <c r="S25" i="40"/>
  <c r="H25" i="40"/>
  <c r="J25" i="40"/>
  <c r="H29" i="39"/>
  <c r="AB29" i="39" s="1"/>
  <c r="J29" i="39"/>
  <c r="AC29" i="39" s="1"/>
  <c r="J18" i="36"/>
  <c r="AC18" i="36" s="1"/>
  <c r="H18" i="35"/>
  <c r="AB18" i="35" s="1"/>
  <c r="J18" i="35"/>
  <c r="W18" i="35" s="1"/>
  <c r="H21" i="37"/>
  <c r="F21" i="37"/>
  <c r="H21" i="34"/>
  <c r="H21" i="33"/>
  <c r="F21" i="33"/>
  <c r="H1" i="69"/>
  <c r="AC25" i="40"/>
  <c r="W25" i="40"/>
  <c r="W18" i="36"/>
  <c r="AB21" i="34"/>
  <c r="U21" i="34"/>
  <c r="J21" i="37"/>
  <c r="AC21" i="37" s="1"/>
  <c r="G84" i="34"/>
  <c r="J21" i="34"/>
  <c r="J21" i="33"/>
  <c r="H21" i="21"/>
  <c r="U21" i="21" s="1"/>
  <c r="F38" i="69"/>
  <c r="E37" i="69"/>
  <c r="F36" i="69"/>
  <c r="F35" i="69"/>
  <c r="F21" i="69"/>
  <c r="F40" i="69" s="1"/>
  <c r="F20" i="69"/>
  <c r="F39" i="69" s="1"/>
  <c r="E10" i="69"/>
  <c r="E9" i="69"/>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AZ561" i="3" s="1"/>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L565" i="3" s="1"/>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F26" i="37" s="1"/>
  <c r="AA26" i="37" s="1"/>
  <c r="D79" i="37"/>
  <c r="E79" i="37" s="1"/>
  <c r="D75" i="37"/>
  <c r="E75" i="37" s="1"/>
  <c r="D73" i="37"/>
  <c r="E73" i="37" s="1"/>
  <c r="F73" i="37" s="1"/>
  <c r="D71" i="37"/>
  <c r="H15" i="37"/>
  <c r="AB15" i="37" s="1"/>
  <c r="B68" i="37"/>
  <c r="H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F30" i="37"/>
  <c r="AA30" i="37" s="1"/>
  <c r="Q29" i="37"/>
  <c r="Z29" i="37" s="1"/>
  <c r="H29" i="37"/>
  <c r="AB29" i="37" s="1"/>
  <c r="Q28" i="37"/>
  <c r="Z28" i="37" s="1"/>
  <c r="Q27" i="37"/>
  <c r="Z27" i="37" s="1"/>
  <c r="Q26" i="37"/>
  <c r="Z26" i="37" s="1"/>
  <c r="J26" i="37"/>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D62" i="36"/>
  <c r="E62" i="36"/>
  <c r="F62" i="36" s="1"/>
  <c r="G62" i="36" s="1"/>
  <c r="B59" i="36"/>
  <c r="F13" i="36" s="1"/>
  <c r="S13" i="36" s="1"/>
  <c r="B57" i="36"/>
  <c r="J12" i="36" s="1"/>
  <c r="W12" i="36" s="1"/>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s="1"/>
  <c r="B101" i="35"/>
  <c r="H36" i="35"/>
  <c r="AB36" i="35" s="1"/>
  <c r="B99" i="35"/>
  <c r="B97" i="35"/>
  <c r="B77" i="35"/>
  <c r="B75" i="35"/>
  <c r="J24" i="35"/>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Q33" i="35"/>
  <c r="Z33" i="35" s="1"/>
  <c r="Q32" i="35"/>
  <c r="Z32" i="35" s="1"/>
  <c r="H32" i="35"/>
  <c r="AB32" i="35" s="1"/>
  <c r="F32" i="35"/>
  <c r="AA32" i="35" s="1"/>
  <c r="Q31" i="35"/>
  <c r="Z31" i="35" s="1"/>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F12" i="34"/>
  <c r="S12" i="34" s="1"/>
  <c r="Q11" i="34"/>
  <c r="Z11" i="34" s="1"/>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J44" i="21" s="1"/>
  <c r="B98" i="2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J26" i="21"/>
  <c r="W26" i="21" s="1"/>
  <c r="AA41" i="21"/>
  <c r="J44" i="39"/>
  <c r="AC44" i="39"/>
  <c r="F36" i="39"/>
  <c r="S36" i="39"/>
  <c r="H36" i="39"/>
  <c r="AB36" i="39"/>
  <c r="J35" i="39"/>
  <c r="AC35" i="39"/>
  <c r="F35" i="39"/>
  <c r="AA35" i="39"/>
  <c r="J36" i="39"/>
  <c r="AC36" i="39"/>
  <c r="W40" i="39"/>
  <c r="W25" i="37"/>
  <c r="E103" i="37"/>
  <c r="F103" i="37" s="1"/>
  <c r="G103" i="37" s="1"/>
  <c r="H103" i="37" s="1"/>
  <c r="I103" i="37" s="1"/>
  <c r="J103" i="37" s="1"/>
  <c r="K103" i="37" s="1"/>
  <c r="L103" i="37" s="1"/>
  <c r="M103" i="37" s="1"/>
  <c r="F39" i="37"/>
  <c r="F29" i="36"/>
  <c r="AA29" i="36" s="1"/>
  <c r="F16" i="36"/>
  <c r="AA16" i="36" s="1"/>
  <c r="U31" i="36"/>
  <c r="J33" i="36"/>
  <c r="AC33" i="36" s="1"/>
  <c r="H22" i="35"/>
  <c r="AB22" i="35"/>
  <c r="AC27" i="35"/>
  <c r="W28" i="35"/>
  <c r="W36" i="35"/>
  <c r="W22" i="35"/>
  <c r="S31" i="35"/>
  <c r="F36" i="34"/>
  <c r="J35" i="34"/>
  <c r="H39" i="33"/>
  <c r="AB39" i="33" s="1"/>
  <c r="F26" i="33"/>
  <c r="U33" i="33"/>
  <c r="S40" i="33"/>
  <c r="W39" i="33"/>
  <c r="H39" i="37"/>
  <c r="F11" i="40"/>
  <c r="AA11" i="40" s="1"/>
  <c r="H11" i="40"/>
  <c r="AB11" i="40" s="1"/>
  <c r="W8" i="40"/>
  <c r="AA9" i="40"/>
  <c r="AC9" i="40"/>
  <c r="S34" i="40"/>
  <c r="F42" i="39"/>
  <c r="F41" i="39"/>
  <c r="S41" i="39" s="1"/>
  <c r="H40" i="39"/>
  <c r="AB40" i="39" s="1"/>
  <c r="H39" i="39"/>
  <c r="U39" i="39" s="1"/>
  <c r="S38" i="39"/>
  <c r="S34" i="39"/>
  <c r="H34" i="39"/>
  <c r="U34"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W11" i="40"/>
  <c r="S44" i="39"/>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J32" i="35"/>
  <c r="AC32" i="35" s="1"/>
  <c r="J16" i="35"/>
  <c r="AC16" i="35" s="1"/>
  <c r="H16" i="35"/>
  <c r="U16" i="35" s="1"/>
  <c r="F16" i="35"/>
  <c r="S16" i="35" s="1"/>
  <c r="H14" i="35"/>
  <c r="AB14" i="35" s="1"/>
  <c r="J29" i="35"/>
  <c r="H33" i="35"/>
  <c r="AB33" i="35"/>
  <c r="J20" i="35"/>
  <c r="W20" i="35" s="1"/>
  <c r="F35" i="37"/>
  <c r="S35" i="37"/>
  <c r="E101" i="37"/>
  <c r="F101" i="37" s="1"/>
  <c r="G101" i="37" s="1"/>
  <c r="H101" i="37" s="1"/>
  <c r="I101" i="37" s="1"/>
  <c r="J101" i="37" s="1"/>
  <c r="K101" i="37" s="1"/>
  <c r="L101" i="37" s="1"/>
  <c r="M101" i="37" s="1"/>
  <c r="J34" i="37"/>
  <c r="W34" i="37" s="1"/>
  <c r="AB34" i="37"/>
  <c r="J33" i="37"/>
  <c r="AC33" i="37" s="1"/>
  <c r="H40" i="34"/>
  <c r="H36" i="34"/>
  <c r="U36" i="34" s="1"/>
  <c r="F37" i="34"/>
  <c r="AA37" i="34" s="1"/>
  <c r="S35" i="34"/>
  <c r="F28" i="34"/>
  <c r="AA28" i="34" s="1"/>
  <c r="F25" i="34"/>
  <c r="S25" i="34" s="1"/>
  <c r="H23" i="34"/>
  <c r="J23" i="34"/>
  <c r="F19" i="34"/>
  <c r="H17" i="34"/>
  <c r="U17" i="34" s="1"/>
  <c r="F15" i="34"/>
  <c r="AA15" i="34" s="1"/>
  <c r="J15" i="34"/>
  <c r="AC15" i="34" s="1"/>
  <c r="H15" i="34"/>
  <c r="W8" i="34"/>
  <c r="J28" i="34"/>
  <c r="W28" i="34" s="1"/>
  <c r="F41" i="33"/>
  <c r="AA41" i="33" s="1"/>
  <c r="S38" i="33"/>
  <c r="E113" i="33"/>
  <c r="F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U33" i="35"/>
  <c r="F29" i="35"/>
  <c r="H29" i="35"/>
  <c r="AB29" i="35" s="1"/>
  <c r="H33" i="37"/>
  <c r="F33" i="37"/>
  <c r="AA33" i="37" s="1"/>
  <c r="U34" i="37"/>
  <c r="AA34" i="37"/>
  <c r="J43" i="34"/>
  <c r="AC43" i="34" s="1"/>
  <c r="J40" i="34"/>
  <c r="H38" i="34"/>
  <c r="AB38" i="34" s="1"/>
  <c r="J36" i="34"/>
  <c r="H37" i="34"/>
  <c r="U37" i="34" s="1"/>
  <c r="H25" i="34"/>
  <c r="AB25" i="34" s="1"/>
  <c r="J25" i="34"/>
  <c r="AC25" i="34" s="1"/>
  <c r="F23" i="34"/>
  <c r="AA23" i="34" s="1"/>
  <c r="J19" i="34"/>
  <c r="AC19" i="34" s="1"/>
  <c r="F17" i="34"/>
  <c r="AA17" i="34"/>
  <c r="J17" i="34"/>
  <c r="W17" i="34" s="1"/>
  <c r="AB17" i="34"/>
  <c r="S15" i="34"/>
  <c r="G113" i="33"/>
  <c r="H113" i="33" s="1"/>
  <c r="I113" i="33"/>
  <c r="J113" i="33" s="1"/>
  <c r="K113" i="33" s="1"/>
  <c r="L113" i="33" s="1"/>
  <c r="M113" i="33" s="1"/>
  <c r="H37" i="33"/>
  <c r="AB37" i="33" s="1"/>
  <c r="H15" i="33"/>
  <c r="AB15" i="33" s="1"/>
  <c r="H11" i="33"/>
  <c r="F28" i="40"/>
  <c r="AA28" i="40" s="1"/>
  <c r="AA42" i="34"/>
  <c r="S42" i="34"/>
  <c r="J37" i="34"/>
  <c r="AC37" i="34" s="1"/>
  <c r="J11" i="33"/>
  <c r="W11" i="33" s="1"/>
  <c r="U23" i="40"/>
  <c r="J42" i="21"/>
  <c r="AC42" i="21" s="1"/>
  <c r="J44" i="34"/>
  <c r="AC44" i="34" s="1"/>
  <c r="F44" i="34"/>
  <c r="AA44" i="34" s="1"/>
  <c r="J10" i="35"/>
  <c r="AC10" i="35" s="1"/>
  <c r="H44" i="21"/>
  <c r="AB44" i="21" s="1"/>
  <c r="J46" i="21"/>
  <c r="W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U27" i="21" s="1"/>
  <c r="H29" i="21"/>
  <c r="U29" i="21" s="1"/>
  <c r="AA27" i="33"/>
  <c r="J13" i="33"/>
  <c r="H13" i="33"/>
  <c r="U13" i="33" s="1"/>
  <c r="F13" i="33"/>
  <c r="S13" i="33"/>
  <c r="H29" i="33"/>
  <c r="U29" i="33" s="1"/>
  <c r="J31" i="33"/>
  <c r="W31" i="33"/>
  <c r="H31" i="33"/>
  <c r="F31" i="33"/>
  <c r="F45" i="33"/>
  <c r="H30" i="34"/>
  <c r="F30" i="34"/>
  <c r="J30" i="34"/>
  <c r="W30" i="34"/>
  <c r="H32" i="34"/>
  <c r="H46" i="34"/>
  <c r="U46" i="34"/>
  <c r="F46" i="34"/>
  <c r="J46" i="34"/>
  <c r="W46" i="34" s="1"/>
  <c r="H11" i="35"/>
  <c r="AB11" i="35" s="1"/>
  <c r="J11" i="35"/>
  <c r="F11" i="35"/>
  <c r="S11" i="35" s="1"/>
  <c r="J26" i="36"/>
  <c r="W26" i="36" s="1"/>
  <c r="H28" i="36"/>
  <c r="U28" i="36" s="1"/>
  <c r="J11" i="36"/>
  <c r="AC11" i="36" s="1"/>
  <c r="H11" i="36"/>
  <c r="U11" i="36" s="1"/>
  <c r="F11" i="36"/>
  <c r="AA11" i="36" s="1"/>
  <c r="J29" i="37"/>
  <c r="W29" i="37" s="1"/>
  <c r="F29" i="37"/>
  <c r="S29" i="37" s="1"/>
  <c r="H36" i="37"/>
  <c r="AB36" i="37" s="1"/>
  <c r="F107" i="37"/>
  <c r="J37" i="37"/>
  <c r="AC37" i="37" s="1"/>
  <c r="H37" i="37"/>
  <c r="U37" i="37" s="1"/>
  <c r="H30" i="33"/>
  <c r="AB30" i="33" s="1"/>
  <c r="H44" i="33"/>
  <c r="J29" i="34"/>
  <c r="H13" i="37"/>
  <c r="AB13" i="37" s="1"/>
  <c r="F13" i="37"/>
  <c r="S13" i="37" s="1"/>
  <c r="J13" i="37"/>
  <c r="W13" i="37" s="1"/>
  <c r="F28" i="37"/>
  <c r="AA28" i="37" s="1"/>
  <c r="J28" i="37"/>
  <c r="AC28" i="37"/>
  <c r="H28" i="37"/>
  <c r="J14" i="39"/>
  <c r="AC14" i="39" s="1"/>
  <c r="F12" i="40"/>
  <c r="H30" i="40"/>
  <c r="AB30" i="40" s="1"/>
  <c r="H33" i="40"/>
  <c r="U33" i="40" s="1"/>
  <c r="J35" i="40"/>
  <c r="J37" i="40"/>
  <c r="AC37" i="40" s="1"/>
  <c r="J13" i="40"/>
  <c r="W13" i="40" s="1"/>
  <c r="F13" i="40"/>
  <c r="AA13" i="40" s="1"/>
  <c r="F14" i="37"/>
  <c r="F13" i="39"/>
  <c r="J13" i="39"/>
  <c r="W13" i="39" s="1"/>
  <c r="H13" i="39"/>
  <c r="H14" i="40"/>
  <c r="AB14" i="40"/>
  <c r="J14" i="40"/>
  <c r="W14" i="40" s="1"/>
  <c r="F14" i="40"/>
  <c r="AA14" i="40"/>
  <c r="J14" i="37"/>
  <c r="J36" i="37"/>
  <c r="AC36" i="37" s="1"/>
  <c r="J10" i="36"/>
  <c r="AC10" i="36" s="1"/>
  <c r="AB26" i="33"/>
  <c r="AB46" i="34"/>
  <c r="AC30" i="34"/>
  <c r="AB31" i="33"/>
  <c r="U31" i="33"/>
  <c r="S44" i="34"/>
  <c r="F17" i="21"/>
  <c r="AA17" i="21" s="1"/>
  <c r="H17" i="21"/>
  <c r="AB17" i="21"/>
  <c r="F15" i="21"/>
  <c r="S15" i="21" s="1"/>
  <c r="J41" i="39"/>
  <c r="W41" i="39" s="1"/>
  <c r="W44" i="39"/>
  <c r="W36" i="39"/>
  <c r="W35" i="39"/>
  <c r="U36" i="39"/>
  <c r="S35" i="39"/>
  <c r="G572" i="3"/>
  <c r="G554" i="3"/>
  <c r="BL514" i="3"/>
  <c r="BA502" i="3"/>
  <c r="G583" i="3"/>
  <c r="G579" i="3"/>
  <c r="G573" i="3"/>
  <c r="G563" i="3"/>
  <c r="AC557" i="3"/>
  <c r="G557" i="3" s="1"/>
  <c r="BQ557" i="3"/>
  <c r="BQ583" i="3"/>
  <c r="BQ581" i="3"/>
  <c r="BQ579" i="3"/>
  <c r="BQ577" i="3"/>
  <c r="BQ575" i="3"/>
  <c r="BQ573" i="3"/>
  <c r="BQ571" i="3"/>
  <c r="BQ569" i="3"/>
  <c r="BQ567" i="3"/>
  <c r="BQ565" i="3"/>
  <c r="BQ563" i="3"/>
  <c r="BQ561" i="3"/>
  <c r="BQ559" i="3"/>
  <c r="G547" i="3"/>
  <c r="G545" i="3"/>
  <c r="G539"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U17" i="37"/>
  <c r="U32" i="33"/>
  <c r="AA36" i="39"/>
  <c r="F39" i="33"/>
  <c r="AA39" i="33" s="1"/>
  <c r="E123" i="33"/>
  <c r="F123" i="33" s="1"/>
  <c r="G123" i="33" s="1"/>
  <c r="H123" i="33" s="1"/>
  <c r="I123" i="33" s="1"/>
  <c r="J123" i="33" s="1"/>
  <c r="K123" i="33" s="1"/>
  <c r="L123" i="33" s="1"/>
  <c r="M123" i="33" s="1"/>
  <c r="F42" i="33"/>
  <c r="AA42" i="33" s="1"/>
  <c r="AB28" i="34"/>
  <c r="F14" i="36"/>
  <c r="AA14" i="36"/>
  <c r="F22" i="36"/>
  <c r="S22" i="36"/>
  <c r="F26" i="36"/>
  <c r="S26" i="36"/>
  <c r="H35" i="34"/>
  <c r="U35" i="34"/>
  <c r="F41" i="34"/>
  <c r="AA41" i="34" s="1"/>
  <c r="S41" i="34"/>
  <c r="H41" i="34"/>
  <c r="U41" i="34"/>
  <c r="J41" i="34"/>
  <c r="AC41" i="34"/>
  <c r="F10" i="35"/>
  <c r="S10" i="35" s="1"/>
  <c r="F24" i="35"/>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A13" i="33"/>
  <c r="AC31" i="33"/>
  <c r="U19" i="21"/>
  <c r="AC46" i="21"/>
  <c r="AB38" i="21"/>
  <c r="F43" i="33"/>
  <c r="AA43" i="33" s="1"/>
  <c r="W15" i="34"/>
  <c r="W16" i="35"/>
  <c r="G107" i="37"/>
  <c r="H107" i="37" s="1"/>
  <c r="I107" i="37" s="1"/>
  <c r="J107" i="37" s="1"/>
  <c r="K107" i="37" s="1"/>
  <c r="L107" i="37" s="1"/>
  <c r="M107" i="37" s="1"/>
  <c r="H37" i="21"/>
  <c r="U37" i="21" s="1"/>
  <c r="H19" i="34"/>
  <c r="AB19" i="34"/>
  <c r="F36" i="35"/>
  <c r="S36" i="35"/>
  <c r="H9" i="37"/>
  <c r="U9" i="37" s="1"/>
  <c r="J12" i="37"/>
  <c r="F12" i="37"/>
  <c r="S12" i="37" s="1"/>
  <c r="E71" i="37"/>
  <c r="F15" i="37"/>
  <c r="AA15" i="37" s="1"/>
  <c r="F31" i="37"/>
  <c r="F12" i="39"/>
  <c r="S12" i="39" s="1"/>
  <c r="J42" i="39"/>
  <c r="AC42" i="39" s="1"/>
  <c r="H21" i="40"/>
  <c r="AB21" i="40" s="1"/>
  <c r="H31" i="37"/>
  <c r="F71" i="37"/>
  <c r="G71" i="37" s="1"/>
  <c r="J15" i="37"/>
  <c r="W15" i="37" s="1"/>
  <c r="AT6" i="3"/>
  <c r="AA25" i="21"/>
  <c r="H19" i="40"/>
  <c r="AB19" i="40" s="1"/>
  <c r="F19" i="40"/>
  <c r="AA19" i="40" s="1"/>
  <c r="S14" i="40"/>
  <c r="AC13" i="40"/>
  <c r="AB33" i="40"/>
  <c r="W23" i="39"/>
  <c r="AC43" i="39"/>
  <c r="W43" i="39"/>
  <c r="AB44" i="39"/>
  <c r="U44" i="39"/>
  <c r="G100" i="39"/>
  <c r="H37" i="39"/>
  <c r="AB37" i="39" s="1"/>
  <c r="AC37" i="39"/>
  <c r="H25" i="39"/>
  <c r="AB25" i="39" s="1"/>
  <c r="J25" i="39"/>
  <c r="F25" i="39"/>
  <c r="AA25" i="39" s="1"/>
  <c r="F15" i="39"/>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BL164" i="3"/>
  <c r="AZ164" i="3" s="1"/>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G189" i="3"/>
  <c r="BA191" i="3"/>
  <c r="BL192" i="3"/>
  <c r="AZ192" i="3" s="1"/>
  <c r="G193" i="3"/>
  <c r="BA195" i="3"/>
  <c r="BL196" i="3"/>
  <c r="G197" i="3"/>
  <c r="BA199" i="3"/>
  <c r="BL200" i="3"/>
  <c r="G201" i="3"/>
  <c r="BA203" i="3"/>
  <c r="BL204" i="3"/>
  <c r="AZ75" i="3"/>
  <c r="AZ144" i="3"/>
  <c r="AZ120" i="3"/>
  <c r="G530" i="3"/>
  <c r="G522"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AZ334" i="3" s="1"/>
  <c r="BA336" i="3"/>
  <c r="AZ336" i="3" s="1"/>
  <c r="BA337" i="3"/>
  <c r="BL337" i="3"/>
  <c r="G338" i="3"/>
  <c r="G341" i="3"/>
  <c r="BA342" i="3"/>
  <c r="BL342" i="3"/>
  <c r="AZ342" i="3" s="1"/>
  <c r="BA344" i="3"/>
  <c r="AZ344" i="3" s="1"/>
  <c r="BL344" i="3"/>
  <c r="BA346" i="3"/>
  <c r="BA347" i="3"/>
  <c r="AZ347" i="3" s="1"/>
  <c r="BL347" i="3"/>
  <c r="G350" i="3"/>
  <c r="BA351" i="3"/>
  <c r="AZ351" i="3" s="1"/>
  <c r="BL351" i="3"/>
  <c r="G352" i="3"/>
  <c r="G354" i="3"/>
  <c r="BA355" i="3"/>
  <c r="AZ355" i="3" s="1"/>
  <c r="BA356" i="3"/>
  <c r="BL356" i="3"/>
  <c r="G357" i="3"/>
  <c r="G360" i="3"/>
  <c r="BL361" i="3"/>
  <c r="AZ361" i="3" s="1"/>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BA390" i="3"/>
  <c r="BL390" i="3"/>
  <c r="AZ390" i="3" s="1"/>
  <c r="G391" i="3"/>
  <c r="G394" i="3"/>
  <c r="AZ150" i="3"/>
  <c r="AZ158" i="3"/>
  <c r="AZ206" i="3"/>
  <c r="BA16" i="3"/>
  <c r="BL303" i="3"/>
  <c r="G304" i="3"/>
  <c r="BA306" i="3"/>
  <c r="AZ306" i="3" s="1"/>
  <c r="BL307" i="3"/>
  <c r="G308" i="3"/>
  <c r="BA310" i="3"/>
  <c r="AZ310" i="3" s="1"/>
  <c r="BL311" i="3"/>
  <c r="G312" i="3"/>
  <c r="BA314" i="3"/>
  <c r="BL315" i="3"/>
  <c r="AZ315" i="3" s="1"/>
  <c r="G316" i="3"/>
  <c r="BA318" i="3"/>
  <c r="AZ318" i="3" s="1"/>
  <c r="BL319" i="3"/>
  <c r="G320" i="3"/>
  <c r="BA322" i="3"/>
  <c r="BL323" i="3"/>
  <c r="G324" i="3"/>
  <c r="BA326" i="3"/>
  <c r="AZ326" i="3"/>
  <c r="BL327" i="3"/>
  <c r="AZ327" i="3"/>
  <c r="G328" i="3"/>
  <c r="BA330" i="3"/>
  <c r="BL331" i="3"/>
  <c r="AZ331" i="3" s="1"/>
  <c r="G332" i="3"/>
  <c r="BA334" i="3"/>
  <c r="BL335" i="3"/>
  <c r="G336" i="3"/>
  <c r="BA338" i="3"/>
  <c r="AZ338" i="3"/>
  <c r="BL339" i="3"/>
  <c r="G340" i="3"/>
  <c r="BL343" i="3"/>
  <c r="G344" i="3"/>
  <c r="G348" i="3"/>
  <c r="G355" i="3"/>
  <c r="G342" i="3"/>
  <c r="BL345" i="3"/>
  <c r="AZ345" i="3" s="1"/>
  <c r="G346"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AZ374" i="3" s="1"/>
  <c r="G375" i="3"/>
  <c r="BA377" i="3"/>
  <c r="AZ377" i="3" s="1"/>
  <c r="AZ229" i="3"/>
  <c r="AZ233" i="3"/>
  <c r="BA379" i="3"/>
  <c r="AZ379" i="3" s="1"/>
  <c r="BL380" i="3"/>
  <c r="G381" i="3"/>
  <c r="BA383" i="3"/>
  <c r="AZ383" i="3" s="1"/>
  <c r="BL384" i="3"/>
  <c r="G385" i="3"/>
  <c r="BA387" i="3"/>
  <c r="BL388" i="3"/>
  <c r="AZ388" i="3" s="1"/>
  <c r="G389" i="3"/>
  <c r="BA391" i="3"/>
  <c r="AZ391" i="3" s="1"/>
  <c r="BL392" i="3"/>
  <c r="G393" i="3"/>
  <c r="AZ279" i="3"/>
  <c r="BF5" i="3"/>
  <c r="AZ309" i="3"/>
  <c r="AZ341" i="3"/>
  <c r="G548" i="3"/>
  <c r="G538" i="3"/>
  <c r="BC5" i="3"/>
  <c r="G17" i="3"/>
  <c r="BA17" i="3"/>
  <c r="AZ356" i="3"/>
  <c r="BA15" i="3"/>
  <c r="G509" i="3"/>
  <c r="U36" i="40"/>
  <c r="F83" i="43"/>
  <c r="H85" i="43" s="1"/>
  <c r="F50" i="43"/>
  <c r="H54" i="43" s="1"/>
  <c r="F72" i="43"/>
  <c r="H75" i="43" s="1"/>
  <c r="S14" i="35"/>
  <c r="U43" i="21"/>
  <c r="U35" i="21"/>
  <c r="AC35" i="21"/>
  <c r="G10" i="1"/>
  <c r="AC11" i="39"/>
  <c r="W37" i="37"/>
  <c r="W44" i="34"/>
  <c r="S15" i="37"/>
  <c r="U13" i="37"/>
  <c r="J37" i="33"/>
  <c r="AC17" i="34"/>
  <c r="J34" i="33"/>
  <c r="W34" i="33" s="1"/>
  <c r="F33" i="34"/>
  <c r="S33" i="34" s="1"/>
  <c r="AC12" i="36"/>
  <c r="H20" i="36"/>
  <c r="U20" i="36"/>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U32" i="37" s="1"/>
  <c r="AB32" i="37"/>
  <c r="F96" i="37"/>
  <c r="H27" i="40"/>
  <c r="U27" i="40" s="1"/>
  <c r="J27" i="40"/>
  <c r="F27" i="40"/>
  <c r="S27" i="40" s="1"/>
  <c r="J30" i="40"/>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c r="J39" i="34"/>
  <c r="W39" i="34" s="1"/>
  <c r="F40" i="34"/>
  <c r="AA40" i="34" s="1"/>
  <c r="F43" i="34"/>
  <c r="AA43" i="34" s="1"/>
  <c r="H44" i="34"/>
  <c r="AB44" i="34"/>
  <c r="AC38" i="39"/>
  <c r="F39" i="39"/>
  <c r="S39" i="39" s="1"/>
  <c r="J39" i="39"/>
  <c r="AC39" i="39" s="1"/>
  <c r="E96" i="39"/>
  <c r="F96" i="39" s="1"/>
  <c r="G96" i="39" s="1"/>
  <c r="C40" i="11"/>
  <c r="AZ130" i="3"/>
  <c r="AZ82" i="3"/>
  <c r="F23" i="39"/>
  <c r="S23" i="39" s="1"/>
  <c r="H27" i="36"/>
  <c r="U27" i="36" s="1"/>
  <c r="F27" i="36"/>
  <c r="AA27" i="36" s="1"/>
  <c r="H33" i="34"/>
  <c r="U33" i="34" s="1"/>
  <c r="F32" i="37"/>
  <c r="AA32" i="37" s="1"/>
  <c r="G96" i="37"/>
  <c r="H96" i="37" s="1"/>
  <c r="I96" i="37" s="1"/>
  <c r="J96" i="37" s="1"/>
  <c r="K96" i="37" s="1"/>
  <c r="L96" i="37" s="1"/>
  <c r="M96" i="37" s="1"/>
  <c r="F20" i="36"/>
  <c r="AA20" i="36"/>
  <c r="J33" i="34"/>
  <c r="H23" i="39"/>
  <c r="U23" i="39" s="1"/>
  <c r="D48" i="9"/>
  <c r="M52" i="9" s="1"/>
  <c r="K9" i="1"/>
  <c r="M9" i="1" s="1"/>
  <c r="D93" i="9"/>
  <c r="K6" i="1"/>
  <c r="AP6" i="1" s="1"/>
  <c r="AC26" i="33"/>
  <c r="W26" i="33"/>
  <c r="AB34" i="36"/>
  <c r="U34" i="36"/>
  <c r="AB33" i="36"/>
  <c r="U33" i="36"/>
  <c r="AC12" i="39"/>
  <c r="W12" i="39"/>
  <c r="AC39" i="40"/>
  <c r="W39" i="40"/>
  <c r="AZ417" i="3"/>
  <c r="AZ441" i="3"/>
  <c r="AA39" i="34"/>
  <c r="BL14" i="3"/>
  <c r="AZ266" i="3"/>
  <c r="W28" i="37"/>
  <c r="S19" i="39"/>
  <c r="F12" i="33"/>
  <c r="H12" i="39"/>
  <c r="F39" i="40"/>
  <c r="AA39" i="40" s="1"/>
  <c r="BA14" i="3"/>
  <c r="AZ14" i="3" s="1"/>
  <c r="B12" i="1"/>
  <c r="E12" i="1" s="1"/>
  <c r="B10" i="1"/>
  <c r="E10" i="1" s="1"/>
  <c r="K12" i="1"/>
  <c r="M12" i="1" s="1"/>
  <c r="S13" i="1"/>
  <c r="AR13" i="1" s="1"/>
  <c r="R13" i="1"/>
  <c r="J51" i="67"/>
  <c r="C42" i="1"/>
  <c r="AA34" i="33"/>
  <c r="AB37" i="40"/>
  <c r="S35" i="40"/>
  <c r="AC36" i="40"/>
  <c r="AA32" i="40"/>
  <c r="S17" i="40"/>
  <c r="S23" i="40"/>
  <c r="AC17" i="40"/>
  <c r="AC15" i="40"/>
  <c r="S30" i="40"/>
  <c r="S28" i="40"/>
  <c r="U21" i="40"/>
  <c r="U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9" i="39"/>
  <c r="AC13" i="39"/>
  <c r="S23" i="36"/>
  <c r="U26" i="36"/>
  <c r="S33" i="36"/>
  <c r="AA26" i="36"/>
  <c r="AA34" i="36"/>
  <c r="AA22" i="36"/>
  <c r="W14" i="36"/>
  <c r="AB14" i="36"/>
  <c r="U22" i="36"/>
  <c r="S16" i="36"/>
  <c r="S24" i="36"/>
  <c r="U24" i="36"/>
  <c r="AB20" i="36"/>
  <c r="U16" i="36"/>
  <c r="S14" i="36"/>
  <c r="W24" i="35"/>
  <c r="U29" i="35"/>
  <c r="U28" i="35"/>
  <c r="AB27" i="35"/>
  <c r="U36" i="35"/>
  <c r="U32" i="35"/>
  <c r="AA33" i="35"/>
  <c r="S32" i="35"/>
  <c r="AA36" i="35"/>
  <c r="S28" i="35"/>
  <c r="AB16" i="35"/>
  <c r="U22" i="35"/>
  <c r="AC20" i="35"/>
  <c r="S22" i="35"/>
  <c r="AA11" i="35"/>
  <c r="AC9" i="35"/>
  <c r="W9" i="35"/>
  <c r="AC12" i="35"/>
  <c r="F9" i="35"/>
  <c r="S9" i="35" s="1"/>
  <c r="H9" i="35"/>
  <c r="U9" i="35" s="1"/>
  <c r="S25" i="37"/>
  <c r="S26" i="37"/>
  <c r="AC29" i="37"/>
  <c r="U29" i="37"/>
  <c r="W30" i="37"/>
  <c r="S36" i="37"/>
  <c r="AC35" i="37"/>
  <c r="W39" i="37"/>
  <c r="S30" i="37"/>
  <c r="J17" i="37"/>
  <c r="G73" i="37"/>
  <c r="F17" i="37"/>
  <c r="AA17" i="37" s="1"/>
  <c r="AB17" i="37"/>
  <c r="F75" i="37"/>
  <c r="G75" i="37" s="1"/>
  <c r="F19" i="37"/>
  <c r="S19" i="37" s="1"/>
  <c r="F79" i="37"/>
  <c r="G79" i="37" s="1"/>
  <c r="F23" i="37"/>
  <c r="S23" i="37"/>
  <c r="U23" i="37"/>
  <c r="U15" i="37"/>
  <c r="AA13" i="37"/>
  <c r="H10" i="37"/>
  <c r="AB10" i="37" s="1"/>
  <c r="F63" i="37"/>
  <c r="G63" i="37" s="1"/>
  <c r="H63" i="37" s="1"/>
  <c r="F11" i="37"/>
  <c r="S11" i="37" s="1"/>
  <c r="AB8" i="34"/>
  <c r="AA33" i="34"/>
  <c r="U44" i="34"/>
  <c r="U43" i="34"/>
  <c r="W41" i="34"/>
  <c r="AC42" i="34"/>
  <c r="AB35" i="34"/>
  <c r="U39" i="34"/>
  <c r="S43" i="34"/>
  <c r="AB41" i="34"/>
  <c r="U28" i="34"/>
  <c r="S17" i="34"/>
  <c r="S23" i="34"/>
  <c r="H10" i="34"/>
  <c r="AB10" i="34" s="1"/>
  <c r="F11" i="34"/>
  <c r="S11" i="34" s="1"/>
  <c r="F70" i="34"/>
  <c r="G70" i="34" s="1"/>
  <c r="H70" i="34" s="1"/>
  <c r="I70" i="34" s="1"/>
  <c r="J70" i="34" s="1"/>
  <c r="K70" i="34" s="1"/>
  <c r="L70" i="34" s="1"/>
  <c r="M70" i="34" s="1"/>
  <c r="W42" i="33"/>
  <c r="S27" i="33"/>
  <c r="S32" i="33"/>
  <c r="AB29" i="33"/>
  <c r="W38" i="33"/>
  <c r="H41" i="33"/>
  <c r="U41" i="33" s="1"/>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J32" i="33"/>
  <c r="W43" i="33"/>
  <c r="F91" i="33"/>
  <c r="G91" i="33" s="1"/>
  <c r="H91" i="33" s="1"/>
  <c r="I91" i="33" s="1"/>
  <c r="J91" i="33" s="1"/>
  <c r="K91" i="33" s="1"/>
  <c r="L91" i="33" s="1"/>
  <c r="M91" i="33" s="1"/>
  <c r="H27" i="33"/>
  <c r="U27" i="33" s="1"/>
  <c r="F87" i="33"/>
  <c r="G87" i="33" s="1"/>
  <c r="H25" i="33"/>
  <c r="F25" i="33"/>
  <c r="S25" i="33" s="1"/>
  <c r="J23" i="33"/>
  <c r="AC23" i="33" s="1"/>
  <c r="F85" i="33"/>
  <c r="G85" i="33" s="1"/>
  <c r="H23" i="33"/>
  <c r="F81" i="33"/>
  <c r="G81" i="33" s="1"/>
  <c r="F19" i="33"/>
  <c r="AA19" i="33" s="1"/>
  <c r="S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D120" i="9"/>
  <c r="C18" i="9"/>
  <c r="D18" i="9" s="1"/>
  <c r="F34" i="67"/>
  <c r="F62" i="67" s="1"/>
  <c r="M20" i="67"/>
  <c r="F34" i="15"/>
  <c r="F62" i="15" s="1"/>
  <c r="G13" i="3"/>
  <c r="BL17" i="3"/>
  <c r="BL13" i="3"/>
  <c r="J56" i="9"/>
  <c r="J57" i="9" s="1"/>
  <c r="J59" i="9" s="1"/>
  <c r="J61" i="9" s="1"/>
  <c r="A24" i="51"/>
  <c r="B18" i="72" s="1"/>
  <c r="E32" i="6"/>
  <c r="G1" i="68"/>
  <c r="K1" i="12"/>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U11" i="40"/>
  <c r="S31" i="40"/>
  <c r="AB13" i="40"/>
  <c r="AB17" i="40"/>
  <c r="U8" i="40"/>
  <c r="AC41" i="39"/>
  <c r="U42" i="39"/>
  <c r="U41" i="39"/>
  <c r="W25" i="39"/>
  <c r="AC25" i="39"/>
  <c r="U13" i="39"/>
  <c r="AB13" i="39"/>
  <c r="AA13" i="39"/>
  <c r="S13" i="39"/>
  <c r="AB11" i="39"/>
  <c r="U11" i="39"/>
  <c r="AA27" i="39"/>
  <c r="S27" i="39"/>
  <c r="W17" i="39"/>
  <c r="AC17" i="39"/>
  <c r="W31" i="39"/>
  <c r="AC31" i="39"/>
  <c r="AB39" i="39"/>
  <c r="W34" i="39"/>
  <c r="U38" i="39"/>
  <c r="S8" i="39"/>
  <c r="S20" i="36"/>
  <c r="U32" i="36"/>
  <c r="W29" i="36"/>
  <c r="AC20" i="36"/>
  <c r="AB28" i="36"/>
  <c r="AA13" i="36"/>
  <c r="W22" i="36"/>
  <c r="W23" i="36"/>
  <c r="AA16" i="35"/>
  <c r="AA35" i="37"/>
  <c r="W36" i="37"/>
  <c r="S28" i="37"/>
  <c r="W32" i="37"/>
  <c r="U36" i="37"/>
  <c r="AB37" i="37"/>
  <c r="AC34" i="37"/>
  <c r="AB35" i="37"/>
  <c r="U19" i="37"/>
  <c r="AA29" i="37"/>
  <c r="U8" i="37"/>
  <c r="U19" i="34"/>
  <c r="W19" i="34"/>
  <c r="AB33" i="34"/>
  <c r="AB36" i="34"/>
  <c r="AC29" i="34"/>
  <c r="W29" i="34"/>
  <c r="U30" i="34"/>
  <c r="AB30" i="34"/>
  <c r="S37" i="34"/>
  <c r="U38" i="34"/>
  <c r="AC40" i="34"/>
  <c r="W40" i="34"/>
  <c r="AA19" i="34"/>
  <c r="S19" i="34"/>
  <c r="AA36" i="34"/>
  <c r="S36" i="34"/>
  <c r="AA8" i="34"/>
  <c r="S8" i="34"/>
  <c r="S46" i="34"/>
  <c r="AA46" i="34"/>
  <c r="W43" i="34"/>
  <c r="W23" i="34"/>
  <c r="AC23" i="34"/>
  <c r="AC35" i="34"/>
  <c r="W35" i="34"/>
  <c r="U12" i="34"/>
  <c r="AB12" i="34"/>
  <c r="AB28" i="33"/>
  <c r="U39" i="33"/>
  <c r="U38" i="33"/>
  <c r="S33" i="33"/>
  <c r="U44" i="33"/>
  <c r="AB44" i="33"/>
  <c r="S31" i="33"/>
  <c r="AA31" i="33"/>
  <c r="W13" i="33"/>
  <c r="AC13" i="33"/>
  <c r="U15" i="33"/>
  <c r="S11" i="33"/>
  <c r="U37" i="33"/>
  <c r="S28" i="33"/>
  <c r="W8" i="33"/>
  <c r="F33" i="21"/>
  <c r="AA33" i="21" s="1"/>
  <c r="J33" i="21"/>
  <c r="AC33" i="21" s="1"/>
  <c r="H33" i="21"/>
  <c r="AB33" i="21" s="1"/>
  <c r="F37" i="21"/>
  <c r="AA37" i="21" s="1"/>
  <c r="U40" i="21"/>
  <c r="U13" i="21"/>
  <c r="AB13" i="21"/>
  <c r="S35" i="21"/>
  <c r="J37" i="21"/>
  <c r="W37" i="21" s="1"/>
  <c r="H15" i="21"/>
  <c r="U15" i="21" s="1"/>
  <c r="J17" i="21"/>
  <c r="AC19" i="21"/>
  <c r="W39" i="21"/>
  <c r="H45" i="21"/>
  <c r="U45" i="21" s="1"/>
  <c r="F29" i="21"/>
  <c r="S29" i="21" s="1"/>
  <c r="F13" i="21"/>
  <c r="AA13" i="21"/>
  <c r="AC38" i="21"/>
  <c r="H32" i="21"/>
  <c r="AB32" i="21" s="1"/>
  <c r="H9" i="21"/>
  <c r="AB9" i="21" s="1"/>
  <c r="J9" i="21"/>
  <c r="W9" i="21" s="1"/>
  <c r="J32" i="21"/>
  <c r="W32" i="21" s="1"/>
  <c r="F32" i="21"/>
  <c r="AA32" i="21" s="1"/>
  <c r="U17" i="21"/>
  <c r="W29" i="21"/>
  <c r="S19" i="21"/>
  <c r="K141" i="21"/>
  <c r="K144" i="21"/>
  <c r="K143" i="21"/>
  <c r="W13" i="21"/>
  <c r="F10" i="21"/>
  <c r="AA10" i="21" s="1"/>
  <c r="K145" i="21"/>
  <c r="W25" i="21"/>
  <c r="S17" i="21"/>
  <c r="AA15" i="21"/>
  <c r="AB29" i="21"/>
  <c r="W12" i="21"/>
  <c r="AB36" i="21"/>
  <c r="C19" i="39"/>
  <c r="C15" i="40"/>
  <c r="C17" i="40"/>
  <c r="C23" i="40"/>
  <c r="C21" i="40"/>
  <c r="U30" i="40"/>
  <c r="B56" i="43"/>
  <c r="B67" i="43"/>
  <c r="B51" i="43"/>
  <c r="B54" i="43"/>
  <c r="B58" i="43"/>
  <c r="B62" i="43"/>
  <c r="B65" i="43"/>
  <c r="B69" i="43"/>
  <c r="D23" i="15"/>
  <c r="D22" i="15"/>
  <c r="E4" i="4"/>
  <c r="B5" i="62" s="1"/>
  <c r="B73" i="72" s="1"/>
  <c r="C4" i="4"/>
  <c r="S12" i="33"/>
  <c r="AA12" i="33"/>
  <c r="J32" i="39"/>
  <c r="AC32" i="39" s="1"/>
  <c r="H32" i="39"/>
  <c r="AB32" i="39" s="1"/>
  <c r="S32" i="39"/>
  <c r="U21" i="39"/>
  <c r="S21" i="39"/>
  <c r="J19" i="37"/>
  <c r="W19" i="37" s="1"/>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AB27" i="33"/>
  <c r="J27" i="33"/>
  <c r="AC27" i="33" s="1"/>
  <c r="U25" i="33"/>
  <c r="AB25" i="33"/>
  <c r="AA25" i="33"/>
  <c r="H87" i="33"/>
  <c r="I87" i="33" s="1"/>
  <c r="J87" i="33" s="1"/>
  <c r="K87" i="33" s="1"/>
  <c r="L87" i="33" s="1"/>
  <c r="M87" i="33" s="1"/>
  <c r="J25" i="33"/>
  <c r="AC25" i="33" s="1"/>
  <c r="AB23" i="33"/>
  <c r="U23" i="33"/>
  <c r="F23" i="33"/>
  <c r="AA23" i="33" s="1"/>
  <c r="W23" i="33"/>
  <c r="H19" i="33"/>
  <c r="U19" i="33" s="1"/>
  <c r="H17" i="33"/>
  <c r="F17" i="33"/>
  <c r="S17" i="33" s="1"/>
  <c r="AC17" i="33"/>
  <c r="J23" i="21"/>
  <c r="W23" i="21" s="1"/>
  <c r="G85" i="21"/>
  <c r="H23" i="21"/>
  <c r="U23" i="21" s="1"/>
  <c r="S13" i="21"/>
  <c r="AP7" i="1"/>
  <c r="U32" i="39"/>
  <c r="AC19" i="37"/>
  <c r="I63" i="37"/>
  <c r="J63" i="37" s="1"/>
  <c r="K63" i="37" s="1"/>
  <c r="L63" i="37" s="1"/>
  <c r="M63" i="37" s="1"/>
  <c r="J11" i="37"/>
  <c r="AC11" i="37" s="1"/>
  <c r="J11" i="34"/>
  <c r="W11" i="34" s="1"/>
  <c r="AB36" i="33"/>
  <c r="W27" i="33"/>
  <c r="W25" i="33"/>
  <c r="AA17" i="33"/>
  <c r="U17" i="33"/>
  <c r="AB17" i="33"/>
  <c r="AC23" i="21"/>
  <c r="H109" i="9"/>
  <c r="H112" i="9"/>
  <c r="D21" i="53" s="1"/>
  <c r="B39" i="72" s="1"/>
  <c r="H111" i="9"/>
  <c r="AD3" i="71"/>
  <c r="J1" i="73"/>
  <c r="H69" i="43"/>
  <c r="H50" i="43"/>
  <c r="C24" i="12"/>
  <c r="D24" i="71"/>
  <c r="U24" i="71" s="1"/>
  <c r="S24" i="71"/>
  <c r="T24" i="71"/>
  <c r="AB22" i="71"/>
  <c r="X20" i="71"/>
  <c r="X19" i="71"/>
  <c r="AA20" i="71"/>
  <c r="AA19" i="71"/>
  <c r="X23" i="71"/>
  <c r="Y19" i="71"/>
  <c r="Z19" i="71" s="1"/>
  <c r="AB20" i="71"/>
  <c r="AB19" i="71"/>
  <c r="F21" i="71"/>
  <c r="F20" i="71"/>
  <c r="F19" i="71" s="1"/>
  <c r="F18" i="71" s="1"/>
  <c r="F17" i="71" s="1"/>
  <c r="Y20" i="71"/>
  <c r="Z20" i="71" s="1"/>
  <c r="X3" i="71"/>
  <c r="B9" i="76"/>
  <c r="E13" i="76"/>
  <c r="B12" i="76"/>
  <c r="M26" i="67"/>
  <c r="M28" i="15"/>
  <c r="F5" i="73"/>
  <c r="F7" i="73"/>
  <c r="F6" i="73"/>
  <c r="F6" i="67"/>
  <c r="E10" i="76"/>
  <c r="M22" i="67"/>
  <c r="B8" i="76"/>
  <c r="F7" i="67"/>
  <c r="E8" i="76"/>
  <c r="E11" i="76"/>
  <c r="D35" i="9"/>
  <c r="E2" i="68"/>
  <c r="B10" i="76"/>
  <c r="D4" i="73"/>
  <c r="D3" i="73"/>
  <c r="E12" i="76"/>
  <c r="E2" i="69"/>
  <c r="B11" i="76"/>
  <c r="D34" i="9"/>
  <c r="M28" i="67"/>
  <c r="F3" i="73"/>
  <c r="E7" i="76"/>
  <c r="F20" i="31"/>
  <c r="F40" i="67"/>
  <c r="D7" i="73"/>
  <c r="B7" i="76"/>
  <c r="AO13" i="1"/>
  <c r="D5" i="73"/>
  <c r="E9" i="76"/>
  <c r="F4" i="73"/>
  <c r="D6" i="73"/>
  <c r="B13" i="76"/>
  <c r="M9" i="67"/>
  <c r="AB45" i="21" l="1"/>
  <c r="U28" i="37"/>
  <c r="AB28" i="37"/>
  <c r="S39" i="37"/>
  <c r="AA39" i="37"/>
  <c r="AA8" i="40"/>
  <c r="S8" i="40"/>
  <c r="AB34" i="40"/>
  <c r="U34" i="40"/>
  <c r="U31" i="35"/>
  <c r="AB31" i="35"/>
  <c r="U30" i="36"/>
  <c r="AB30" i="36"/>
  <c r="BA583" i="3"/>
  <c r="AZ583" i="3" s="1"/>
  <c r="BL582" i="3"/>
  <c r="BL580" i="3"/>
  <c r="BA573" i="3"/>
  <c r="BL572" i="3"/>
  <c r="BA572" i="3"/>
  <c r="BA571" i="3"/>
  <c r="BA570" i="3"/>
  <c r="BL569" i="3"/>
  <c r="BL566" i="3"/>
  <c r="BA566" i="3"/>
  <c r="BL559" i="3"/>
  <c r="BA552" i="3"/>
  <c r="AZ552" i="3" s="1"/>
  <c r="BA549" i="3"/>
  <c r="BL547" i="3"/>
  <c r="AZ547" i="3" s="1"/>
  <c r="BA546" i="3"/>
  <c r="AZ546" i="3" s="1"/>
  <c r="BA545" i="3"/>
  <c r="BL542" i="3"/>
  <c r="BA542" i="3"/>
  <c r="AZ542" i="3" s="1"/>
  <c r="BL535" i="3"/>
  <c r="BA519" i="3"/>
  <c r="BA512" i="3"/>
  <c r="BL503" i="3"/>
  <c r="BA501" i="3"/>
  <c r="BN5" i="3"/>
  <c r="AA42" i="39"/>
  <c r="S42" i="39"/>
  <c r="S30" i="34"/>
  <c r="AA30" i="34"/>
  <c r="BL574" i="3"/>
  <c r="BA567" i="3"/>
  <c r="BL560" i="3"/>
  <c r="BL551" i="3"/>
  <c r="BA544" i="3"/>
  <c r="BA537" i="3"/>
  <c r="BL534" i="3"/>
  <c r="BL520" i="3"/>
  <c r="BL507" i="3"/>
  <c r="BG5" i="3"/>
  <c r="AB23" i="21"/>
  <c r="U25" i="34"/>
  <c r="AC32" i="33"/>
  <c r="W32" i="33"/>
  <c r="W37" i="33"/>
  <c r="AC37" i="33"/>
  <c r="AA24" i="35"/>
  <c r="S24" i="35"/>
  <c r="BL567" i="3"/>
  <c r="W14" i="37"/>
  <c r="AC14" i="37"/>
  <c r="S12" i="40"/>
  <c r="AA12" i="40"/>
  <c r="S45" i="33"/>
  <c r="AA45" i="33"/>
  <c r="S23" i="33"/>
  <c r="W32" i="39"/>
  <c r="AA23" i="21"/>
  <c r="S17" i="37"/>
  <c r="S39" i="40"/>
  <c r="AA29" i="21"/>
  <c r="S40" i="34"/>
  <c r="S14" i="37"/>
  <c r="AA14" i="37"/>
  <c r="AC35" i="40"/>
  <c r="W35" i="40"/>
  <c r="AB11" i="33"/>
  <c r="U11" i="33"/>
  <c r="S29" i="35"/>
  <c r="AA29" i="35"/>
  <c r="AB15" i="34"/>
  <c r="U15" i="34"/>
  <c r="U40" i="34"/>
  <c r="AB40" i="34"/>
  <c r="BL584" i="3"/>
  <c r="BA584" i="3"/>
  <c r="AZ584" i="3" s="1"/>
  <c r="BL577" i="3"/>
  <c r="BA577" i="3"/>
  <c r="BA568" i="3"/>
  <c r="BL558" i="3"/>
  <c r="AZ557" i="3"/>
  <c r="BA557" i="3"/>
  <c r="BA555" i="3"/>
  <c r="BL554" i="3"/>
  <c r="BA554" i="3"/>
  <c r="AZ554" i="3" s="1"/>
  <c r="BL553" i="3"/>
  <c r="AZ553" i="3" s="1"/>
  <c r="BA553" i="3"/>
  <c r="BL543" i="3"/>
  <c r="BL536" i="3"/>
  <c r="BL527" i="3"/>
  <c r="BJ5" i="3"/>
  <c r="AA15" i="39"/>
  <c r="S15" i="39"/>
  <c r="BK5" i="3"/>
  <c r="AC46" i="34"/>
  <c r="AA15" i="40"/>
  <c r="AC26" i="36"/>
  <c r="AA12" i="39"/>
  <c r="U35" i="40"/>
  <c r="AC34" i="33"/>
  <c r="AC33" i="34"/>
  <c r="W33" i="34"/>
  <c r="U34" i="33"/>
  <c r="AC5" i="3"/>
  <c r="AZ380" i="3"/>
  <c r="U31" i="37"/>
  <c r="AB31" i="37"/>
  <c r="S31" i="37"/>
  <c r="AA31" i="37"/>
  <c r="U43" i="33"/>
  <c r="BL545" i="3"/>
  <c r="AB32" i="34"/>
  <c r="U32" i="34"/>
  <c r="AB39" i="37"/>
  <c r="U39" i="37"/>
  <c r="AA25" i="34"/>
  <c r="AZ311" i="3"/>
  <c r="W36" i="34"/>
  <c r="AC36" i="34"/>
  <c r="U23" i="34"/>
  <c r="AB23" i="34"/>
  <c r="AB12" i="21"/>
  <c r="U12" i="21"/>
  <c r="E106" i="21"/>
  <c r="F106" i="21" s="1"/>
  <c r="G106" i="21" s="1"/>
  <c r="H106" i="21" s="1"/>
  <c r="I106" i="21" s="1"/>
  <c r="J106" i="21" s="1"/>
  <c r="K106" i="21" s="1"/>
  <c r="L106" i="21" s="1"/>
  <c r="M106" i="21" s="1"/>
  <c r="F34" i="21"/>
  <c r="AA34" i="21" s="1"/>
  <c r="H34" i="21"/>
  <c r="AB34" i="21" s="1"/>
  <c r="AC40" i="33"/>
  <c r="W40" i="33"/>
  <c r="J9" i="34"/>
  <c r="H9" i="34"/>
  <c r="S12" i="35"/>
  <c r="AA12" i="35"/>
  <c r="AC28" i="36"/>
  <c r="W28" i="36"/>
  <c r="AC26" i="37"/>
  <c r="W26" i="37"/>
  <c r="U14" i="37"/>
  <c r="AB14" i="37"/>
  <c r="J12" i="40"/>
  <c r="AC12" i="40" s="1"/>
  <c r="H12" i="40"/>
  <c r="J31" i="40"/>
  <c r="H31" i="40"/>
  <c r="AA35" i="33"/>
  <c r="AC39" i="34"/>
  <c r="U14" i="35"/>
  <c r="AC30" i="35"/>
  <c r="AZ322" i="3"/>
  <c r="AZ389" i="3"/>
  <c r="AZ337" i="3"/>
  <c r="AZ321" i="3"/>
  <c r="AZ305" i="3"/>
  <c r="AZ378" i="3"/>
  <c r="AC28" i="34"/>
  <c r="BL555" i="3"/>
  <c r="AB33" i="37"/>
  <c r="U33" i="37"/>
  <c r="BL587" i="3"/>
  <c r="BA585" i="3"/>
  <c r="J29" i="33"/>
  <c r="F29" i="33"/>
  <c r="J45" i="33"/>
  <c r="H45" i="33"/>
  <c r="J14" i="34"/>
  <c r="H14" i="34"/>
  <c r="F14" i="34"/>
  <c r="J32" i="34"/>
  <c r="F32" i="34"/>
  <c r="W31" i="37"/>
  <c r="AC31" i="37"/>
  <c r="J38" i="40"/>
  <c r="H38" i="40"/>
  <c r="AB38" i="40" s="1"/>
  <c r="F38" i="40"/>
  <c r="H38" i="37"/>
  <c r="F38" i="37"/>
  <c r="U41" i="21"/>
  <c r="AB41" i="21"/>
  <c r="AZ376" i="3"/>
  <c r="AZ343" i="3"/>
  <c r="BL571" i="3"/>
  <c r="F14" i="39"/>
  <c r="J38" i="37"/>
  <c r="F37" i="39"/>
  <c r="H31" i="39"/>
  <c r="BA587" i="3"/>
  <c r="B101" i="43"/>
  <c r="C25" i="39"/>
  <c r="H9" i="33"/>
  <c r="J9" i="33"/>
  <c r="H12" i="35"/>
  <c r="AA34" i="35"/>
  <c r="S34" i="35"/>
  <c r="J30" i="33"/>
  <c r="F30" i="33"/>
  <c r="H23" i="36"/>
  <c r="AB30" i="37"/>
  <c r="U30" i="37"/>
  <c r="U39" i="40"/>
  <c r="AB39" i="40"/>
  <c r="J33" i="40"/>
  <c r="F33" i="40"/>
  <c r="J40" i="40"/>
  <c r="F40" i="40"/>
  <c r="BA493" i="3"/>
  <c r="AZ387" i="3"/>
  <c r="AZ320" i="3"/>
  <c r="AZ304" i="3"/>
  <c r="AZ362" i="3"/>
  <c r="S28" i="34"/>
  <c r="AB12" i="36"/>
  <c r="S40" i="21"/>
  <c r="J27" i="21"/>
  <c r="W27" i="21" s="1"/>
  <c r="F27" i="21"/>
  <c r="AA27" i="21" s="1"/>
  <c r="H46" i="21"/>
  <c r="F46" i="21"/>
  <c r="W16" i="36"/>
  <c r="AC16" i="36"/>
  <c r="U8" i="39"/>
  <c r="AB8" i="39"/>
  <c r="H40" i="40"/>
  <c r="S38" i="34"/>
  <c r="AA38" i="34"/>
  <c r="W31" i="35"/>
  <c r="AC31" i="35"/>
  <c r="BA582" i="3"/>
  <c r="AZ582" i="3" s="1"/>
  <c r="BL570" i="3"/>
  <c r="BA569" i="3"/>
  <c r="BL568" i="3"/>
  <c r="G560" i="3"/>
  <c r="BA558" i="3"/>
  <c r="AZ558" i="3" s="1"/>
  <c r="BA548" i="3"/>
  <c r="BL544" i="3"/>
  <c r="BA543" i="3"/>
  <c r="BA540" i="3"/>
  <c r="BL539" i="3"/>
  <c r="G537" i="3"/>
  <c r="G536" i="3"/>
  <c r="G529" i="3"/>
  <c r="AZ403" i="3"/>
  <c r="AZ407" i="3"/>
  <c r="AZ420" i="3"/>
  <c r="AZ434" i="3"/>
  <c r="AZ444" i="3"/>
  <c r="AZ452" i="3"/>
  <c r="AZ459" i="3"/>
  <c r="AZ460" i="3"/>
  <c r="U21" i="33"/>
  <c r="AB21" i="33"/>
  <c r="B100" i="43"/>
  <c r="B57" i="43"/>
  <c r="B68" i="43"/>
  <c r="B77" i="43"/>
  <c r="C29" i="39"/>
  <c r="D28" i="71"/>
  <c r="U28" i="71" s="1"/>
  <c r="T28" i="71"/>
  <c r="T80" i="71"/>
  <c r="C79" i="71"/>
  <c r="C78" i="71" s="1"/>
  <c r="D78" i="71" s="1"/>
  <c r="BB5" i="3"/>
  <c r="E5" i="6" s="1"/>
  <c r="K10" i="1"/>
  <c r="M10" i="1" s="1"/>
  <c r="O10" i="1" s="1"/>
  <c r="P10" i="1" s="1"/>
  <c r="BL15" i="3"/>
  <c r="AZ15" i="3" s="1"/>
  <c r="BL399" i="3"/>
  <c r="BL401" i="3"/>
  <c r="BA402" i="3"/>
  <c r="BL405" i="3"/>
  <c r="BA406" i="3"/>
  <c r="BL409" i="3"/>
  <c r="BL411" i="3"/>
  <c r="AZ411" i="3" s="1"/>
  <c r="BL412" i="3"/>
  <c r="AZ412" i="3" s="1"/>
  <c r="BL414" i="3"/>
  <c r="AZ414" i="3" s="1"/>
  <c r="G417" i="3"/>
  <c r="BL418" i="3"/>
  <c r="BA419" i="3"/>
  <c r="BA423" i="3"/>
  <c r="BL427" i="3"/>
  <c r="BL428" i="3"/>
  <c r="AZ428" i="3" s="1"/>
  <c r="G431" i="3"/>
  <c r="BL438" i="3"/>
  <c r="G441" i="3"/>
  <c r="BL442" i="3"/>
  <c r="BA443" i="3"/>
  <c r="AZ443" i="3" s="1"/>
  <c r="BA446" i="3"/>
  <c r="BL447" i="3"/>
  <c r="AZ447" i="3" s="1"/>
  <c r="BL462" i="3"/>
  <c r="BA473" i="3"/>
  <c r="BL477" i="3"/>
  <c r="BL478" i="3"/>
  <c r="BA491" i="3"/>
  <c r="BL317" i="3"/>
  <c r="BA319" i="3"/>
  <c r="AZ319" i="3" s="1"/>
  <c r="BA332" i="3"/>
  <c r="AZ332" i="3" s="1"/>
  <c r="BA333" i="3"/>
  <c r="BL365" i="3"/>
  <c r="AZ365" i="3" s="1"/>
  <c r="BL367" i="3"/>
  <c r="AZ367" i="3" s="1"/>
  <c r="G374" i="3"/>
  <c r="BL381" i="3"/>
  <c r="AZ381" i="3" s="1"/>
  <c r="BA385" i="3"/>
  <c r="AZ385" i="3" s="1"/>
  <c r="BL393" i="3"/>
  <c r="AZ393" i="3" s="1"/>
  <c r="BA395" i="3"/>
  <c r="AZ395" i="3" s="1"/>
  <c r="BA397" i="3"/>
  <c r="AZ219" i="3"/>
  <c r="AZ236" i="3"/>
  <c r="BL239" i="3"/>
  <c r="AZ239" i="3" s="1"/>
  <c r="BL249" i="3"/>
  <c r="AZ249" i="3" s="1"/>
  <c r="BL302" i="3"/>
  <c r="BA113" i="3"/>
  <c r="BA136" i="3"/>
  <c r="AZ136" i="3" s="1"/>
  <c r="G140" i="3"/>
  <c r="BL169" i="3"/>
  <c r="G20" i="3"/>
  <c r="BA20" i="3"/>
  <c r="BL32" i="3"/>
  <c r="AZ32" i="3" s="1"/>
  <c r="G36" i="3"/>
  <c r="BA36" i="3"/>
  <c r="AZ36" i="3" s="1"/>
  <c r="G75" i="3"/>
  <c r="BL76" i="3"/>
  <c r="BA77" i="3"/>
  <c r="D80" i="71"/>
  <c r="T52" i="71"/>
  <c r="D52" i="71"/>
  <c r="C67" i="71"/>
  <c r="T68" i="71"/>
  <c r="O68" i="71"/>
  <c r="D68" i="71"/>
  <c r="AA25" i="71"/>
  <c r="G581" i="3"/>
  <c r="G580" i="3"/>
  <c r="G570" i="3"/>
  <c r="G562" i="3"/>
  <c r="BA550" i="3"/>
  <c r="AZ550" i="3" s="1"/>
  <c r="BL16" i="3"/>
  <c r="AZ16" i="3" s="1"/>
  <c r="BL398" i="3"/>
  <c r="BA400" i="3"/>
  <c r="AZ400" i="3" s="1"/>
  <c r="BA401" i="3"/>
  <c r="AZ401" i="3" s="1"/>
  <c r="BA405" i="3"/>
  <c r="AZ405" i="3" s="1"/>
  <c r="G410" i="3"/>
  <c r="BA410" i="3"/>
  <c r="AZ410" i="3" s="1"/>
  <c r="G413" i="3"/>
  <c r="BA413" i="3"/>
  <c r="AZ413" i="3" s="1"/>
  <c r="BL415" i="3"/>
  <c r="BA422" i="3"/>
  <c r="AZ422" i="3" s="1"/>
  <c r="BL423" i="3"/>
  <c r="BL425" i="3"/>
  <c r="AZ425" i="3" s="1"/>
  <c r="G428" i="3"/>
  <c r="BL429" i="3"/>
  <c r="BA433" i="3"/>
  <c r="BL435" i="3"/>
  <c r="AZ435" i="3" s="1"/>
  <c r="BL439" i="3"/>
  <c r="BA449" i="3"/>
  <c r="AZ449" i="3" s="1"/>
  <c r="BA454" i="3"/>
  <c r="AZ454" i="3" s="1"/>
  <c r="BL455" i="3"/>
  <c r="BA457" i="3"/>
  <c r="AZ457" i="3" s="1"/>
  <c r="BA464" i="3"/>
  <c r="AZ464" i="3" s="1"/>
  <c r="BL469" i="3"/>
  <c r="BL472" i="3"/>
  <c r="BL479" i="3"/>
  <c r="BL346" i="3"/>
  <c r="AZ346" i="3" s="1"/>
  <c r="BA348" i="3"/>
  <c r="AZ348" i="3" s="1"/>
  <c r="BL350" i="3"/>
  <c r="AZ350" i="3" s="1"/>
  <c r="BA353" i="3"/>
  <c r="AZ353" i="3" s="1"/>
  <c r="BA354" i="3"/>
  <c r="AZ354" i="3" s="1"/>
  <c r="BA358" i="3"/>
  <c r="AZ358" i="3" s="1"/>
  <c r="G362" i="3"/>
  <c r="G366" i="3"/>
  <c r="BA368" i="3"/>
  <c r="AZ368" i="3" s="1"/>
  <c r="BA370" i="3"/>
  <c r="AZ370" i="3" s="1"/>
  <c r="BA211" i="3"/>
  <c r="BA215" i="3"/>
  <c r="BA219" i="3"/>
  <c r="BA225" i="3"/>
  <c r="BL227" i="3"/>
  <c r="G229" i="3"/>
  <c r="G232" i="3"/>
  <c r="G233" i="3"/>
  <c r="G236" i="3"/>
  <c r="BA236" i="3"/>
  <c r="BL247" i="3"/>
  <c r="AZ247" i="3" s="1"/>
  <c r="BA269" i="3"/>
  <c r="AZ269" i="3" s="1"/>
  <c r="BA270" i="3"/>
  <c r="BL282" i="3"/>
  <c r="BL289" i="3"/>
  <c r="G300" i="3"/>
  <c r="BA300" i="3"/>
  <c r="AZ300" i="3" s="1"/>
  <c r="AZ121" i="3"/>
  <c r="BA134" i="3"/>
  <c r="AZ134" i="3" s="1"/>
  <c r="BL151" i="3"/>
  <c r="AZ151" i="3" s="1"/>
  <c r="BA153" i="3"/>
  <c r="BL153" i="3"/>
  <c r="BL166" i="3"/>
  <c r="AZ166" i="3" s="1"/>
  <c r="BL181" i="3"/>
  <c r="BL186" i="3"/>
  <c r="BA189" i="3"/>
  <c r="AZ189" i="3" s="1"/>
  <c r="G194" i="3"/>
  <c r="BL194" i="3"/>
  <c r="AZ194" i="3" s="1"/>
  <c r="BL198" i="3"/>
  <c r="G199" i="3"/>
  <c r="BA200" i="3"/>
  <c r="AZ200" i="3" s="1"/>
  <c r="BA29" i="3"/>
  <c r="AZ29" i="3" s="1"/>
  <c r="BA52" i="3"/>
  <c r="BL55" i="3"/>
  <c r="G59" i="3"/>
  <c r="BL59" i="3"/>
  <c r="AZ59" i="3" s="1"/>
  <c r="BL95" i="3"/>
  <c r="C27" i="71"/>
  <c r="U34" i="34"/>
  <c r="BL586" i="3"/>
  <c r="G566" i="3"/>
  <c r="G565" i="3"/>
  <c r="G564" i="3"/>
  <c r="BL550" i="3"/>
  <c r="BA541" i="3"/>
  <c r="G541" i="3"/>
  <c r="G540" i="3"/>
  <c r="BA538" i="3"/>
  <c r="BA536" i="3"/>
  <c r="AZ536" i="3" s="1"/>
  <c r="G535" i="3"/>
  <c r="BA534" i="3"/>
  <c r="AZ534" i="3" s="1"/>
  <c r="BA533" i="3"/>
  <c r="G533" i="3"/>
  <c r="BL532" i="3"/>
  <c r="G532" i="3"/>
  <c r="BA530" i="3"/>
  <c r="BA529" i="3"/>
  <c r="BL528" i="3"/>
  <c r="G527" i="3"/>
  <c r="BL526" i="3"/>
  <c r="BA525" i="3"/>
  <c r="G525" i="3"/>
  <c r="BL524" i="3"/>
  <c r="G524" i="3"/>
  <c r="G523" i="3"/>
  <c r="BA521" i="3"/>
  <c r="BA520" i="3"/>
  <c r="AZ520" i="3" s="1"/>
  <c r="BL519" i="3"/>
  <c r="G519" i="3"/>
  <c r="G518" i="3"/>
  <c r="G517" i="3"/>
  <c r="BL516" i="3"/>
  <c r="G516" i="3"/>
  <c r="BL515" i="3"/>
  <c r="BA515" i="3"/>
  <c r="BL511" i="3"/>
  <c r="BA511" i="3"/>
  <c r="G511" i="3"/>
  <c r="BA510" i="3"/>
  <c r="G510" i="3"/>
  <c r="BA509" i="3"/>
  <c r="BL508" i="3"/>
  <c r="BA508" i="3"/>
  <c r="BL506" i="3"/>
  <c r="BA505" i="3"/>
  <c r="G505" i="3"/>
  <c r="BL504" i="3"/>
  <c r="BA504" i="3"/>
  <c r="G504" i="3"/>
  <c r="G503" i="3"/>
  <c r="G502" i="3"/>
  <c r="BT5" i="3"/>
  <c r="BA498" i="3"/>
  <c r="AZ498" i="3" s="1"/>
  <c r="BA497" i="3"/>
  <c r="G497" i="3"/>
  <c r="BL496" i="3"/>
  <c r="BI5" i="3"/>
  <c r="BE5" i="3"/>
  <c r="G496" i="3"/>
  <c r="BR5" i="3"/>
  <c r="G495" i="3"/>
  <c r="BQ5" i="3"/>
  <c r="BH5" i="3"/>
  <c r="BD5" i="3"/>
  <c r="BL493" i="3"/>
  <c r="BA399" i="3"/>
  <c r="AZ399" i="3" s="1"/>
  <c r="BL402" i="3"/>
  <c r="BL406" i="3"/>
  <c r="G408" i="3"/>
  <c r="BL408" i="3"/>
  <c r="AZ408" i="3" s="1"/>
  <c r="BA415" i="3"/>
  <c r="AZ415" i="3" s="1"/>
  <c r="BA416" i="3"/>
  <c r="AZ416" i="3" s="1"/>
  <c r="BA418" i="3"/>
  <c r="BL419" i="3"/>
  <c r="G421" i="3"/>
  <c r="BL421" i="3"/>
  <c r="G423" i="3"/>
  <c r="G424" i="3"/>
  <c r="BA424" i="3"/>
  <c r="AZ424" i="3" s="1"/>
  <c r="BL426" i="3"/>
  <c r="BA429" i="3"/>
  <c r="AZ429" i="3" s="1"/>
  <c r="BA430" i="3"/>
  <c r="AZ430" i="3" s="1"/>
  <c r="BL432" i="3"/>
  <c r="AZ432" i="3" s="1"/>
  <c r="BL433" i="3"/>
  <c r="G446" i="3"/>
  <c r="BL446" i="3"/>
  <c r="BA450" i="3"/>
  <c r="BL451" i="3"/>
  <c r="G453" i="3"/>
  <c r="BL453" i="3"/>
  <c r="G455" i="3"/>
  <c r="G456" i="3"/>
  <c r="BA456" i="3"/>
  <c r="AZ456" i="3" s="1"/>
  <c r="BL458" i="3"/>
  <c r="AZ458" i="3" s="1"/>
  <c r="G461" i="3"/>
  <c r="BL461" i="3"/>
  <c r="AZ461" i="3" s="1"/>
  <c r="BA462" i="3"/>
  <c r="BA465" i="3"/>
  <c r="AZ465" i="3" s="1"/>
  <c r="BL467" i="3"/>
  <c r="AZ467" i="3" s="1"/>
  <c r="BL483" i="3"/>
  <c r="G484" i="3"/>
  <c r="BL484" i="3"/>
  <c r="AZ484" i="3" s="1"/>
  <c r="BA487" i="3"/>
  <c r="AZ487" i="3" s="1"/>
  <c r="BL491" i="3"/>
  <c r="G492" i="3"/>
  <c r="BA303" i="3"/>
  <c r="AZ303" i="3" s="1"/>
  <c r="BA307" i="3"/>
  <c r="AZ307" i="3" s="1"/>
  <c r="BA317" i="3"/>
  <c r="AZ317" i="3" s="1"/>
  <c r="BL333" i="3"/>
  <c r="G334" i="3"/>
  <c r="BA335" i="3"/>
  <c r="AZ335" i="3" s="1"/>
  <c r="BA339" i="3"/>
  <c r="AZ339" i="3" s="1"/>
  <c r="G380" i="3"/>
  <c r="BA384" i="3"/>
  <c r="AZ384" i="3" s="1"/>
  <c r="BL386" i="3"/>
  <c r="AZ386" i="3" s="1"/>
  <c r="G392" i="3"/>
  <c r="BL395" i="3"/>
  <c r="G396" i="3"/>
  <c r="BL396" i="3"/>
  <c r="AZ396" i="3" s="1"/>
  <c r="BL397" i="3"/>
  <c r="G208" i="3"/>
  <c r="BA210" i="3"/>
  <c r="BL214" i="3"/>
  <c r="AZ214" i="3" s="1"/>
  <c r="BL216" i="3"/>
  <c r="G218" i="3"/>
  <c r="BL222" i="3"/>
  <c r="BA241" i="3"/>
  <c r="AZ241" i="3" s="1"/>
  <c r="BL244" i="3"/>
  <c r="AZ244" i="3" s="1"/>
  <c r="BA251" i="3"/>
  <c r="AZ251" i="3" s="1"/>
  <c r="G255" i="3"/>
  <c r="BL260" i="3"/>
  <c r="BL261" i="3"/>
  <c r="AZ261" i="3" s="1"/>
  <c r="G263" i="3"/>
  <c r="G266" i="3"/>
  <c r="BL267" i="3"/>
  <c r="BA278" i="3"/>
  <c r="BA290" i="3"/>
  <c r="BA291" i="3"/>
  <c r="BL293" i="3"/>
  <c r="BL296" i="3"/>
  <c r="BA297" i="3"/>
  <c r="AZ297" i="3" s="1"/>
  <c r="BL113" i="3"/>
  <c r="G114" i="3"/>
  <c r="BL114" i="3"/>
  <c r="AZ114" i="3" s="1"/>
  <c r="G142" i="3"/>
  <c r="BL142" i="3"/>
  <c r="AZ142" i="3" s="1"/>
  <c r="G156" i="3"/>
  <c r="G162" i="3"/>
  <c r="BL162" i="3"/>
  <c r="AZ162" i="3" s="1"/>
  <c r="BL191" i="3"/>
  <c r="AZ191" i="3" s="1"/>
  <c r="G192" i="3"/>
  <c r="G22" i="3"/>
  <c r="BA23" i="3"/>
  <c r="AA21" i="33"/>
  <c r="S21" i="33"/>
  <c r="AB21" i="37"/>
  <c r="U21" i="37"/>
  <c r="BL226" i="3"/>
  <c r="BA227" i="3"/>
  <c r="BL238" i="3"/>
  <c r="G241" i="3"/>
  <c r="BL242" i="3"/>
  <c r="BA243" i="3"/>
  <c r="AZ243" i="3" s="1"/>
  <c r="G246" i="3"/>
  <c r="BA246" i="3"/>
  <c r="AZ246" i="3" s="1"/>
  <c r="G249" i="3"/>
  <c r="G251" i="3"/>
  <c r="BL252" i="3"/>
  <c r="BA253" i="3"/>
  <c r="AZ253" i="3" s="1"/>
  <c r="BA254" i="3"/>
  <c r="AZ254" i="3" s="1"/>
  <c r="BA255" i="3"/>
  <c r="G272" i="3"/>
  <c r="BL272" i="3"/>
  <c r="BA285" i="3"/>
  <c r="AZ285" i="3" s="1"/>
  <c r="BA288" i="3"/>
  <c r="BL290" i="3"/>
  <c r="BL291" i="3"/>
  <c r="G116" i="3"/>
  <c r="BL127" i="3"/>
  <c r="AZ127" i="3" s="1"/>
  <c r="BL129" i="3"/>
  <c r="BL131" i="3"/>
  <c r="AZ131" i="3" s="1"/>
  <c r="BL135" i="3"/>
  <c r="AZ135" i="3" s="1"/>
  <c r="BL137" i="3"/>
  <c r="BA138" i="3"/>
  <c r="AZ138" i="3" s="1"/>
  <c r="BL139" i="3"/>
  <c r="AZ139" i="3" s="1"/>
  <c r="G144" i="3"/>
  <c r="BA145" i="3"/>
  <c r="BL147" i="3"/>
  <c r="AZ147" i="3" s="1"/>
  <c r="BL149" i="3"/>
  <c r="AZ149" i="3" s="1"/>
  <c r="BL155" i="3"/>
  <c r="AZ155" i="3" s="1"/>
  <c r="BL159" i="3"/>
  <c r="AZ159" i="3" s="1"/>
  <c r="BL163" i="3"/>
  <c r="AZ163" i="3" s="1"/>
  <c r="BL173" i="3"/>
  <c r="BL174" i="3"/>
  <c r="AZ174" i="3" s="1"/>
  <c r="G175" i="3"/>
  <c r="BA176" i="3"/>
  <c r="AZ176" i="3" s="1"/>
  <c r="BA178" i="3"/>
  <c r="AZ178" i="3" s="1"/>
  <c r="BA25" i="3"/>
  <c r="AZ25" i="3" s="1"/>
  <c r="BL29" i="3"/>
  <c r="BL30" i="3"/>
  <c r="BL31" i="3"/>
  <c r="BA39" i="3"/>
  <c r="AZ39" i="3" s="1"/>
  <c r="BL49" i="3"/>
  <c r="BA50" i="3"/>
  <c r="AZ50" i="3" s="1"/>
  <c r="G70" i="3"/>
  <c r="BL71" i="3"/>
  <c r="BA72" i="3"/>
  <c r="AZ72" i="3" s="1"/>
  <c r="BL83" i="3"/>
  <c r="AZ83" i="3" s="1"/>
  <c r="BA90" i="3"/>
  <c r="BA91" i="3"/>
  <c r="D30" i="71"/>
  <c r="C31" i="71"/>
  <c r="D31" i="71" s="1"/>
  <c r="BA431" i="3"/>
  <c r="AZ431" i="3" s="1"/>
  <c r="G434" i="3"/>
  <c r="G435" i="3"/>
  <c r="BL436" i="3"/>
  <c r="AZ436" i="3" s="1"/>
  <c r="BA437" i="3"/>
  <c r="AZ437" i="3" s="1"/>
  <c r="BA438" i="3"/>
  <c r="BA439" i="3"/>
  <c r="AZ439" i="3" s="1"/>
  <c r="BA440" i="3"/>
  <c r="BA442" i="3"/>
  <c r="BL443" i="3"/>
  <c r="G445" i="3"/>
  <c r="BL445" i="3"/>
  <c r="AZ445" i="3" s="1"/>
  <c r="G447" i="3"/>
  <c r="G448" i="3"/>
  <c r="BA448" i="3"/>
  <c r="AZ448" i="3" s="1"/>
  <c r="BL450" i="3"/>
  <c r="BA451" i="3"/>
  <c r="BA455" i="3"/>
  <c r="G458" i="3"/>
  <c r="G459" i="3"/>
  <c r="G460" i="3"/>
  <c r="BL460" i="3"/>
  <c r="G462" i="3"/>
  <c r="G463" i="3"/>
  <c r="BA463" i="3"/>
  <c r="AZ463" i="3" s="1"/>
  <c r="G466" i="3"/>
  <c r="BA466" i="3"/>
  <c r="AZ466" i="3" s="1"/>
  <c r="BA469" i="3"/>
  <c r="G474" i="3"/>
  <c r="BA475" i="3"/>
  <c r="BL475" i="3"/>
  <c r="BA489" i="3"/>
  <c r="G307" i="3"/>
  <c r="BL314" i="3"/>
  <c r="AZ314" i="3" s="1"/>
  <c r="BL324" i="3"/>
  <c r="AZ324" i="3" s="1"/>
  <c r="BL328" i="3"/>
  <c r="AZ328" i="3" s="1"/>
  <c r="G329" i="3"/>
  <c r="G339" i="3"/>
  <c r="G343" i="3"/>
  <c r="BA352" i="3"/>
  <c r="AZ352" i="3" s="1"/>
  <c r="BL359" i="3"/>
  <c r="AZ359" i="3" s="1"/>
  <c r="BL363" i="3"/>
  <c r="AZ363" i="3" s="1"/>
  <c r="BA392" i="3"/>
  <c r="AZ392" i="3" s="1"/>
  <c r="BL208" i="3"/>
  <c r="G209" i="3"/>
  <c r="BL209" i="3"/>
  <c r="AZ209" i="3" s="1"/>
  <c r="BL210" i="3"/>
  <c r="G211" i="3"/>
  <c r="BA212" i="3"/>
  <c r="AZ212" i="3" s="1"/>
  <c r="BA213" i="3"/>
  <c r="BL218" i="3"/>
  <c r="AZ218" i="3" s="1"/>
  <c r="G220" i="3"/>
  <c r="G222" i="3"/>
  <c r="G223" i="3"/>
  <c r="G224" i="3"/>
  <c r="G225" i="3"/>
  <c r="G257" i="3"/>
  <c r="BA259" i="3"/>
  <c r="BA260" i="3"/>
  <c r="BA265" i="3"/>
  <c r="AZ265" i="3" s="1"/>
  <c r="G270" i="3"/>
  <c r="BA272" i="3"/>
  <c r="BA275" i="3"/>
  <c r="BA282" i="3"/>
  <c r="AZ282" i="3" s="1"/>
  <c r="BA286" i="3"/>
  <c r="BL287" i="3"/>
  <c r="AZ287" i="3" s="1"/>
  <c r="BA293" i="3"/>
  <c r="BA294" i="3"/>
  <c r="BA299" i="3"/>
  <c r="AZ299" i="3" s="1"/>
  <c r="G115" i="3"/>
  <c r="BA117" i="3"/>
  <c r="AZ117" i="3" s="1"/>
  <c r="BL119" i="3"/>
  <c r="AZ119" i="3" s="1"/>
  <c r="G122" i="3"/>
  <c r="BL122" i="3"/>
  <c r="AZ122" i="3" s="1"/>
  <c r="BL125" i="3"/>
  <c r="AZ125" i="3" s="1"/>
  <c r="G127" i="3"/>
  <c r="BA129" i="3"/>
  <c r="BL141" i="3"/>
  <c r="G143" i="3"/>
  <c r="BA146" i="3"/>
  <c r="AZ146" i="3" s="1"/>
  <c r="G155" i="3"/>
  <c r="BA157" i="3"/>
  <c r="BA161" i="3"/>
  <c r="AZ161" i="3" s="1"/>
  <c r="BA169" i="3"/>
  <c r="BA170" i="3"/>
  <c r="AZ170" i="3" s="1"/>
  <c r="BL170" i="3"/>
  <c r="BA172" i="3"/>
  <c r="AZ172" i="3" s="1"/>
  <c r="BL177" i="3"/>
  <c r="BA181" i="3"/>
  <c r="AZ181" i="3" s="1"/>
  <c r="BA182" i="3"/>
  <c r="BL182" i="3"/>
  <c r="BA184" i="3"/>
  <c r="AZ184" i="3" s="1"/>
  <c r="BA186" i="3"/>
  <c r="AZ186" i="3" s="1"/>
  <c r="BL189" i="3"/>
  <c r="G190" i="3"/>
  <c r="BL190" i="3"/>
  <c r="AZ190" i="3" s="1"/>
  <c r="BL193" i="3"/>
  <c r="AZ193" i="3" s="1"/>
  <c r="G195" i="3"/>
  <c r="BA196" i="3"/>
  <c r="AZ196" i="3" s="1"/>
  <c r="BL199" i="3"/>
  <c r="AZ199" i="3" s="1"/>
  <c r="BA204" i="3"/>
  <c r="AZ204" i="3" s="1"/>
  <c r="G21" i="3"/>
  <c r="BL21" i="3"/>
  <c r="AZ21" i="3" s="1"/>
  <c r="BL22" i="3"/>
  <c r="AZ22" i="3" s="1"/>
  <c r="G23" i="3"/>
  <c r="BL27" i="3"/>
  <c r="BA38" i="3"/>
  <c r="BA44" i="3"/>
  <c r="BA53" i="3"/>
  <c r="G61" i="3"/>
  <c r="BL64" i="3"/>
  <c r="BL66" i="3"/>
  <c r="BA67" i="3"/>
  <c r="AZ67" i="3" s="1"/>
  <c r="BL77" i="3"/>
  <c r="G78" i="3"/>
  <c r="BL78" i="3"/>
  <c r="AZ78" i="3" s="1"/>
  <c r="BL80" i="3"/>
  <c r="AZ80" i="3" s="1"/>
  <c r="G82" i="3"/>
  <c r="BA98" i="3"/>
  <c r="BL101" i="3"/>
  <c r="AZ101" i="3" s="1"/>
  <c r="W21" i="34"/>
  <c r="AC21" i="34"/>
  <c r="AB25" i="40"/>
  <c r="U25" i="40"/>
  <c r="D59" i="71"/>
  <c r="C60" i="71"/>
  <c r="T60" i="71" s="1"/>
  <c r="AA18" i="36"/>
  <c r="S18" i="36"/>
  <c r="P67" i="71"/>
  <c r="E66" i="71"/>
  <c r="X29" i="71"/>
  <c r="S72" i="71"/>
  <c r="B71" i="71"/>
  <c r="B70" i="71" s="1"/>
  <c r="Y26" i="71"/>
  <c r="Z26" i="71" s="1"/>
  <c r="C23" i="71"/>
  <c r="B22" i="71"/>
  <c r="B21" i="71" s="1"/>
  <c r="B20" i="71" s="1"/>
  <c r="G49" i="3"/>
  <c r="BA49" i="3"/>
  <c r="AZ49" i="3" s="1"/>
  <c r="BL53" i="3"/>
  <c r="BL57" i="3"/>
  <c r="BA58" i="3"/>
  <c r="AZ58" i="3" s="1"/>
  <c r="BA61" i="3"/>
  <c r="BL84" i="3"/>
  <c r="BL85" i="3"/>
  <c r="BL91" i="3"/>
  <c r="BL93" i="3"/>
  <c r="BA94" i="3"/>
  <c r="AZ94" i="3" s="1"/>
  <c r="BL96" i="3"/>
  <c r="BA97" i="3"/>
  <c r="AZ97" i="3" s="1"/>
  <c r="BL99" i="3"/>
  <c r="BL105" i="3"/>
  <c r="AZ105" i="3" s="1"/>
  <c r="BL106" i="3"/>
  <c r="AZ106" i="3" s="1"/>
  <c r="BA108" i="3"/>
  <c r="AZ108" i="3" s="1"/>
  <c r="BA110" i="3"/>
  <c r="K13" i="1"/>
  <c r="M13" i="1" s="1"/>
  <c r="O13" i="1" s="1"/>
  <c r="P13" i="1" s="1"/>
  <c r="B13" i="1"/>
  <c r="E13" i="1" s="1"/>
  <c r="D58" i="71"/>
  <c r="AB32" i="71"/>
  <c r="C38" i="71"/>
  <c r="Y37" i="71"/>
  <c r="Z37" i="71" s="1"/>
  <c r="C55" i="71"/>
  <c r="D54" i="71"/>
  <c r="F55" i="71"/>
  <c r="F56" i="71" s="1"/>
  <c r="V56" i="71" s="1"/>
  <c r="E63" i="71"/>
  <c r="E64" i="71" s="1"/>
  <c r="U64" i="71" s="1"/>
  <c r="F67" i="71"/>
  <c r="V68" i="71"/>
  <c r="Q68" i="71"/>
  <c r="T76" i="71"/>
  <c r="C75" i="71"/>
  <c r="C74" i="71" s="1"/>
  <c r="D74" i="71" s="1"/>
  <c r="G226" i="3"/>
  <c r="BA226" i="3"/>
  <c r="AZ226" i="3" s="1"/>
  <c r="BA231" i="3"/>
  <c r="BA234" i="3"/>
  <c r="AZ234" i="3" s="1"/>
  <c r="BA235" i="3"/>
  <c r="G237" i="3"/>
  <c r="BL237" i="3"/>
  <c r="AZ237" i="3" s="1"/>
  <c r="BA238" i="3"/>
  <c r="AZ238" i="3" s="1"/>
  <c r="BA242" i="3"/>
  <c r="BA252" i="3"/>
  <c r="AZ252" i="3" s="1"/>
  <c r="BL255" i="3"/>
  <c r="BL256" i="3"/>
  <c r="AZ256" i="3" s="1"/>
  <c r="BL257" i="3"/>
  <c r="AZ257" i="3" s="1"/>
  <c r="G259" i="3"/>
  <c r="BL259" i="3"/>
  <c r="BA262" i="3"/>
  <c r="BA267" i="3"/>
  <c r="BL271" i="3"/>
  <c r="AZ271" i="3" s="1"/>
  <c r="G273" i="3"/>
  <c r="G274" i="3"/>
  <c r="BL274" i="3"/>
  <c r="AZ274" i="3" s="1"/>
  <c r="G277" i="3"/>
  <c r="BL277" i="3"/>
  <c r="AZ277" i="3" s="1"/>
  <c r="G279" i="3"/>
  <c r="G280" i="3"/>
  <c r="BL280" i="3"/>
  <c r="AZ280" i="3" s="1"/>
  <c r="G284" i="3"/>
  <c r="BA284" i="3"/>
  <c r="AZ284" i="3" s="1"/>
  <c r="G287" i="3"/>
  <c r="G289" i="3"/>
  <c r="BA289" i="3"/>
  <c r="AZ289" i="3" s="1"/>
  <c r="G292" i="3"/>
  <c r="BL294" i="3"/>
  <c r="BA295" i="3"/>
  <c r="AZ295" i="3" s="1"/>
  <c r="BA296" i="3"/>
  <c r="AZ296" i="3" s="1"/>
  <c r="BA302" i="3"/>
  <c r="BL115" i="3"/>
  <c r="AZ115" i="3" s="1"/>
  <c r="G118" i="3"/>
  <c r="BA118" i="3"/>
  <c r="AZ118" i="3" s="1"/>
  <c r="BA124" i="3"/>
  <c r="AZ124" i="3" s="1"/>
  <c r="BA126" i="3"/>
  <c r="BA128" i="3"/>
  <c r="AZ128" i="3" s="1"/>
  <c r="G130" i="3"/>
  <c r="BL133" i="3"/>
  <c r="AZ133" i="3" s="1"/>
  <c r="G135" i="3"/>
  <c r="BA137" i="3"/>
  <c r="BA141" i="3"/>
  <c r="AZ141" i="3" s="1"/>
  <c r="BL143" i="3"/>
  <c r="AZ143" i="3" s="1"/>
  <c r="BL145" i="3"/>
  <c r="G154" i="3"/>
  <c r="BL154" i="3"/>
  <c r="AZ154" i="3" s="1"/>
  <c r="BL157" i="3"/>
  <c r="G158" i="3"/>
  <c r="G160" i="3"/>
  <c r="G163" i="3"/>
  <c r="BA165" i="3"/>
  <c r="AZ165" i="3" s="1"/>
  <c r="BL165" i="3"/>
  <c r="BA173" i="3"/>
  <c r="AZ173" i="3" s="1"/>
  <c r="BL175" i="3"/>
  <c r="AZ175" i="3" s="1"/>
  <c r="G186" i="3"/>
  <c r="BA188" i="3"/>
  <c r="AZ188" i="3" s="1"/>
  <c r="BL195" i="3"/>
  <c r="AZ195" i="3" s="1"/>
  <c r="G196" i="3"/>
  <c r="BA197" i="3"/>
  <c r="AZ197" i="3" s="1"/>
  <c r="BA198" i="3"/>
  <c r="AZ198" i="3" s="1"/>
  <c r="BL201" i="3"/>
  <c r="AZ201" i="3" s="1"/>
  <c r="G202" i="3"/>
  <c r="G203" i="3"/>
  <c r="BA205" i="3"/>
  <c r="AZ205" i="3" s="1"/>
  <c r="BA207" i="3"/>
  <c r="BA19" i="3"/>
  <c r="AZ19" i="3" s="1"/>
  <c r="BL23" i="3"/>
  <c r="BL24" i="3"/>
  <c r="AZ24" i="3" s="1"/>
  <c r="G26" i="3"/>
  <c r="BL26" i="3"/>
  <c r="BA31" i="3"/>
  <c r="AZ31" i="3" s="1"/>
  <c r="BA34" i="3"/>
  <c r="AZ34" i="3" s="1"/>
  <c r="BA35" i="3"/>
  <c r="G37" i="3"/>
  <c r="BL37" i="3"/>
  <c r="AZ37" i="3" s="1"/>
  <c r="G39" i="3"/>
  <c r="G41" i="3"/>
  <c r="G42" i="3"/>
  <c r="G43" i="3"/>
  <c r="G44" i="3"/>
  <c r="G45" i="3"/>
  <c r="G46" i="3"/>
  <c r="G51" i="3"/>
  <c r="BL51" i="3"/>
  <c r="AZ51" i="3" s="1"/>
  <c r="G53" i="3"/>
  <c r="G55" i="3"/>
  <c r="G56" i="3"/>
  <c r="G57" i="3"/>
  <c r="BA57" i="3"/>
  <c r="G60" i="3"/>
  <c r="BL60" i="3"/>
  <c r="BL61" i="3"/>
  <c r="G63" i="3"/>
  <c r="BL63" i="3"/>
  <c r="AZ63" i="3" s="1"/>
  <c r="BA69" i="3"/>
  <c r="BA74" i="3"/>
  <c r="BA79" i="3"/>
  <c r="G84" i="3"/>
  <c r="BA85" i="3"/>
  <c r="AZ85" i="3" s="1"/>
  <c r="BA88" i="3"/>
  <c r="BL103" i="3"/>
  <c r="AZ103" i="3" s="1"/>
  <c r="G104" i="3"/>
  <c r="G105" i="3"/>
  <c r="G106" i="3"/>
  <c r="BL109" i="3"/>
  <c r="BL110" i="3"/>
  <c r="G112" i="3"/>
  <c r="AA21" i="37"/>
  <c r="S21" i="37"/>
  <c r="D76" i="71"/>
  <c r="B27" i="71"/>
  <c r="B26" i="71" s="1"/>
  <c r="S28" i="71"/>
  <c r="Y29" i="71"/>
  <c r="Z29" i="71" s="1"/>
  <c r="AA39" i="71"/>
  <c r="AA37" i="71"/>
  <c r="B67" i="71"/>
  <c r="N67" i="71" s="1"/>
  <c r="S68" i="71"/>
  <c r="V24" i="71"/>
  <c r="E23" i="71"/>
  <c r="E22" i="71" s="1"/>
  <c r="E21" i="71" s="1"/>
  <c r="E20" i="71" s="1"/>
  <c r="AA31" i="71"/>
  <c r="AB35" i="71"/>
  <c r="G64" i="3"/>
  <c r="G65" i="3"/>
  <c r="BA66" i="3"/>
  <c r="AZ66" i="3" s="1"/>
  <c r="BA70" i="3"/>
  <c r="AZ70" i="3" s="1"/>
  <c r="BA71" i="3"/>
  <c r="AZ71" i="3" s="1"/>
  <c r="BA76" i="3"/>
  <c r="BA81" i="3"/>
  <c r="AZ81" i="3" s="1"/>
  <c r="G86" i="3"/>
  <c r="G87" i="3"/>
  <c r="BL87" i="3"/>
  <c r="BL88" i="3"/>
  <c r="BL89" i="3"/>
  <c r="AZ89" i="3" s="1"/>
  <c r="G91" i="3"/>
  <c r="G92" i="3"/>
  <c r="BA93" i="3"/>
  <c r="AZ93" i="3" s="1"/>
  <c r="BA96" i="3"/>
  <c r="AZ96" i="3" s="1"/>
  <c r="BA99" i="3"/>
  <c r="AZ99" i="3" s="1"/>
  <c r="BA100" i="3"/>
  <c r="BA102" i="3"/>
  <c r="BA109" i="3"/>
  <c r="AZ109" i="3" s="1"/>
  <c r="P27" i="6"/>
  <c r="AB28" i="71"/>
  <c r="AA26" i="71"/>
  <c r="F39" i="71"/>
  <c r="F40" i="71" s="1"/>
  <c r="V40" i="71" s="1"/>
  <c r="C63" i="71"/>
  <c r="F42" i="21"/>
  <c r="AA42" i="21" s="1"/>
  <c r="H42" i="21"/>
  <c r="U42" i="21" s="1"/>
  <c r="F26" i="21"/>
  <c r="S26" i="21" s="1"/>
  <c r="S37" i="21"/>
  <c r="AC44" i="21"/>
  <c r="W44" i="21"/>
  <c r="F44" i="21"/>
  <c r="U44" i="21"/>
  <c r="S42" i="21"/>
  <c r="S34" i="21"/>
  <c r="AC34" i="21"/>
  <c r="U34" i="21"/>
  <c r="U32" i="21"/>
  <c r="S32" i="21"/>
  <c r="AB25" i="21"/>
  <c r="AB27" i="21"/>
  <c r="U26" i="21"/>
  <c r="AC9" i="21"/>
  <c r="U9" i="21"/>
  <c r="AA9" i="21"/>
  <c r="B41" i="1"/>
  <c r="C40" i="69"/>
  <c r="C40" i="68"/>
  <c r="C21" i="68"/>
  <c r="E19" i="68"/>
  <c r="E19" i="69"/>
  <c r="BA13" i="3"/>
  <c r="F28" i="6"/>
  <c r="D126" i="9"/>
  <c r="D19" i="53"/>
  <c r="B38" i="72" s="1"/>
  <c r="AB19" i="33"/>
  <c r="F32" i="67"/>
  <c r="F60" i="67" s="1"/>
  <c r="AC30" i="40"/>
  <c r="W30" i="40"/>
  <c r="AZ515" i="3"/>
  <c r="AZ511" i="3"/>
  <c r="AZ508" i="3"/>
  <c r="AZ504" i="3"/>
  <c r="D121" i="9"/>
  <c r="D7" i="52" s="1"/>
  <c r="D6" i="52"/>
  <c r="M49" i="9"/>
  <c r="L65" i="9" s="1"/>
  <c r="M65" i="9" s="1"/>
  <c r="D16" i="53"/>
  <c r="B34" i="72" s="1"/>
  <c r="AC17" i="21"/>
  <c r="W17" i="21"/>
  <c r="W17" i="37"/>
  <c r="AC17" i="37"/>
  <c r="AB12" i="39"/>
  <c r="U12" i="39"/>
  <c r="AZ17" i="3"/>
  <c r="AZ549" i="3"/>
  <c r="W15" i="21"/>
  <c r="AC15" i="21"/>
  <c r="F48" i="9"/>
  <c r="O52" i="9" s="1"/>
  <c r="F31" i="12"/>
  <c r="F30" i="69"/>
  <c r="F48" i="69" s="1"/>
  <c r="D68" i="9"/>
  <c r="F30" i="68"/>
  <c r="F48" i="68" s="1"/>
  <c r="F52" i="9"/>
  <c r="F30" i="11"/>
  <c r="C48" i="11" s="1"/>
  <c r="M18" i="67"/>
  <c r="M18" i="15"/>
  <c r="AC27" i="40"/>
  <c r="W27" i="40"/>
  <c r="AC23" i="37"/>
  <c r="F32" i="15"/>
  <c r="F60" i="15" s="1"/>
  <c r="S32" i="37"/>
  <c r="BA586" i="3"/>
  <c r="AZ586" i="3" s="1"/>
  <c r="H30" i="21"/>
  <c r="J30" i="21"/>
  <c r="F30" i="21"/>
  <c r="J45" i="21"/>
  <c r="F45" i="21"/>
  <c r="U12" i="35"/>
  <c r="AB12" i="35"/>
  <c r="H23" i="35"/>
  <c r="J23" i="35"/>
  <c r="F23" i="35"/>
  <c r="J40" i="37"/>
  <c r="H40" i="37"/>
  <c r="F40" i="37"/>
  <c r="BA581" i="3"/>
  <c r="BA580" i="3"/>
  <c r="AZ580" i="3" s="1"/>
  <c r="BL579" i="3"/>
  <c r="BL578" i="3"/>
  <c r="BL576" i="3"/>
  <c r="BL575" i="3"/>
  <c r="BL541" i="3"/>
  <c r="AZ541" i="3" s="1"/>
  <c r="BL540" i="3"/>
  <c r="AZ540" i="3" s="1"/>
  <c r="BA539" i="3"/>
  <c r="AZ539" i="3" s="1"/>
  <c r="BL533" i="3"/>
  <c r="AZ533" i="3" s="1"/>
  <c r="BA531" i="3"/>
  <c r="AZ531" i="3" s="1"/>
  <c r="BA528" i="3"/>
  <c r="AZ528" i="3" s="1"/>
  <c r="BL525" i="3"/>
  <c r="AZ525" i="3" s="1"/>
  <c r="BL522" i="3"/>
  <c r="BL518" i="3"/>
  <c r="BL517" i="3"/>
  <c r="BA514" i="3"/>
  <c r="AZ514" i="3" s="1"/>
  <c r="BA513" i="3"/>
  <c r="BL510" i="3"/>
  <c r="AZ510" i="3" s="1"/>
  <c r="BL509" i="3"/>
  <c r="AZ509" i="3" s="1"/>
  <c r="BA507" i="3"/>
  <c r="AZ507" i="3" s="1"/>
  <c r="BA506" i="3"/>
  <c r="AZ506" i="3" s="1"/>
  <c r="BL505" i="3"/>
  <c r="AZ505" i="3" s="1"/>
  <c r="BL502" i="3"/>
  <c r="AZ502" i="3" s="1"/>
  <c r="BL500" i="3"/>
  <c r="BA500" i="3"/>
  <c r="BL499" i="3"/>
  <c r="BA499" i="3"/>
  <c r="BL497" i="3"/>
  <c r="AZ497" i="3" s="1"/>
  <c r="BL495" i="3"/>
  <c r="BL494" i="3"/>
  <c r="H5" i="3"/>
  <c r="AZ519" i="3"/>
  <c r="AZ532" i="3"/>
  <c r="W11" i="35"/>
  <c r="AC11" i="35"/>
  <c r="AB15" i="21"/>
  <c r="U24" i="35"/>
  <c r="AB20" i="35"/>
  <c r="AA39" i="39"/>
  <c r="U15" i="40"/>
  <c r="W25" i="34"/>
  <c r="AC15" i="37"/>
  <c r="S20" i="35"/>
  <c r="AA27" i="40"/>
  <c r="AB27" i="40"/>
  <c r="AA23" i="39"/>
  <c r="AB25" i="37"/>
  <c r="U17" i="39"/>
  <c r="BP5" i="3"/>
  <c r="G29" i="6" s="1"/>
  <c r="BM5" i="3"/>
  <c r="F29" i="6" s="1"/>
  <c r="G494" i="3"/>
  <c r="S19" i="40"/>
  <c r="U19" i="40"/>
  <c r="AZ565" i="3"/>
  <c r="AZ573" i="3"/>
  <c r="AZ587" i="3"/>
  <c r="AA21" i="40"/>
  <c r="S21" i="40"/>
  <c r="BL585" i="3"/>
  <c r="AZ585" i="3" s="1"/>
  <c r="F28" i="21"/>
  <c r="H28" i="21"/>
  <c r="J28" i="21"/>
  <c r="F31" i="21"/>
  <c r="H31" i="21"/>
  <c r="J31" i="21"/>
  <c r="U35" i="33"/>
  <c r="AB35" i="33"/>
  <c r="F27" i="34"/>
  <c r="J27" i="34"/>
  <c r="H27" i="34"/>
  <c r="J12" i="33"/>
  <c r="H12" i="33"/>
  <c r="J46" i="33"/>
  <c r="H46" i="33"/>
  <c r="F46" i="33"/>
  <c r="F29" i="34"/>
  <c r="H29" i="34"/>
  <c r="J45" i="34"/>
  <c r="H45" i="34"/>
  <c r="F45" i="34"/>
  <c r="J13" i="35"/>
  <c r="F13" i="35"/>
  <c r="H13" i="35"/>
  <c r="F35" i="35"/>
  <c r="J35" i="35"/>
  <c r="H35" i="35"/>
  <c r="J25" i="36"/>
  <c r="H25" i="36"/>
  <c r="F25" i="36"/>
  <c r="F32" i="36"/>
  <c r="J32" i="36"/>
  <c r="W32" i="36" s="1"/>
  <c r="AB26" i="37"/>
  <c r="U26" i="37"/>
  <c r="F9" i="37"/>
  <c r="S9" i="37" s="1"/>
  <c r="J9" i="37"/>
  <c r="W9" i="37" s="1"/>
  <c r="H45" i="39"/>
  <c r="F45" i="39"/>
  <c r="J45" i="39"/>
  <c r="AB9" i="40"/>
  <c r="U9" i="40"/>
  <c r="BA564" i="3"/>
  <c r="AZ564" i="3" s="1"/>
  <c r="BL563" i="3"/>
  <c r="BL562" i="3"/>
  <c r="BA551" i="3"/>
  <c r="AZ551" i="3" s="1"/>
  <c r="W12" i="37"/>
  <c r="AC12" i="37"/>
  <c r="BA496" i="3"/>
  <c r="AZ496" i="3" s="1"/>
  <c r="AA12" i="36"/>
  <c r="S26" i="33"/>
  <c r="AA26" i="33"/>
  <c r="J14" i="21"/>
  <c r="H14" i="21"/>
  <c r="F14" i="21"/>
  <c r="AC33" i="33"/>
  <c r="W33" i="33"/>
  <c r="W12" i="34"/>
  <c r="AC12" i="34"/>
  <c r="AB34" i="35"/>
  <c r="U34" i="35"/>
  <c r="F9" i="36"/>
  <c r="J9" i="36"/>
  <c r="H13" i="36"/>
  <c r="J13" i="36"/>
  <c r="H27" i="37"/>
  <c r="J27" i="37"/>
  <c r="W38" i="34"/>
  <c r="AC38" i="34"/>
  <c r="AB42" i="34"/>
  <c r="U42" i="34"/>
  <c r="BL581" i="3"/>
  <c r="BA579" i="3"/>
  <c r="AZ579" i="3" s="1"/>
  <c r="BA578" i="3"/>
  <c r="AZ578" i="3" s="1"/>
  <c r="BA576" i="3"/>
  <c r="AZ576" i="3" s="1"/>
  <c r="BA575" i="3"/>
  <c r="AZ575" i="3" s="1"/>
  <c r="BA574" i="3"/>
  <c r="AZ574" i="3" s="1"/>
  <c r="BA560" i="3"/>
  <c r="AZ560" i="3" s="1"/>
  <c r="BA559" i="3"/>
  <c r="AZ559" i="3" s="1"/>
  <c r="BL538" i="3"/>
  <c r="AZ538" i="3" s="1"/>
  <c r="BL537" i="3"/>
  <c r="AZ537" i="3" s="1"/>
  <c r="BA535" i="3"/>
  <c r="AZ535" i="3" s="1"/>
  <c r="BL530" i="3"/>
  <c r="AZ530" i="3" s="1"/>
  <c r="BL529" i="3"/>
  <c r="AZ529" i="3" s="1"/>
  <c r="BA527" i="3"/>
  <c r="AZ527" i="3" s="1"/>
  <c r="BA526" i="3"/>
  <c r="AZ526" i="3" s="1"/>
  <c r="BA524" i="3"/>
  <c r="AZ524" i="3" s="1"/>
  <c r="BA523" i="3"/>
  <c r="AZ523" i="3" s="1"/>
  <c r="BA522" i="3"/>
  <c r="BL521" i="3"/>
  <c r="AZ521" i="3" s="1"/>
  <c r="G521" i="3"/>
  <c r="BA518" i="3"/>
  <c r="AZ518" i="3" s="1"/>
  <c r="BA517" i="3"/>
  <c r="AZ517" i="3" s="1"/>
  <c r="BA516" i="3"/>
  <c r="AZ516" i="3" s="1"/>
  <c r="BL513" i="3"/>
  <c r="BL512" i="3"/>
  <c r="AZ512" i="3" s="1"/>
  <c r="BA503" i="3"/>
  <c r="AZ503" i="3" s="1"/>
  <c r="BL501" i="3"/>
  <c r="AZ501" i="3" s="1"/>
  <c r="BA495" i="3"/>
  <c r="AZ495" i="3" s="1"/>
  <c r="BA494" i="3"/>
  <c r="AZ494" i="3" s="1"/>
  <c r="S37" i="37"/>
  <c r="U30" i="33"/>
  <c r="AC26" i="21"/>
  <c r="W42" i="21"/>
  <c r="AC28" i="33"/>
  <c r="S27" i="37"/>
  <c r="W19" i="33"/>
  <c r="S43" i="33"/>
  <c r="AC13" i="37"/>
  <c r="U14" i="39"/>
  <c r="AZ569" i="3"/>
  <c r="S11" i="36"/>
  <c r="W12" i="40"/>
  <c r="S41" i="33"/>
  <c r="AA12" i="34"/>
  <c r="F9" i="33"/>
  <c r="AA9" i="33" s="1"/>
  <c r="AC34" i="35"/>
  <c r="W34" i="35"/>
  <c r="F14" i="33"/>
  <c r="H14" i="33"/>
  <c r="J14" i="33"/>
  <c r="J44" i="33"/>
  <c r="F44" i="33"/>
  <c r="J13" i="34"/>
  <c r="H13" i="34"/>
  <c r="F13" i="34"/>
  <c r="J31" i="34"/>
  <c r="F31" i="34"/>
  <c r="H31" i="34"/>
  <c r="H47" i="34"/>
  <c r="J47" i="34"/>
  <c r="F47" i="34"/>
  <c r="J25" i="35"/>
  <c r="H25" i="35"/>
  <c r="F25" i="35"/>
  <c r="AB9" i="36"/>
  <c r="U9" i="36"/>
  <c r="BA563" i="3"/>
  <c r="BA562" i="3"/>
  <c r="AZ562" i="3" s="1"/>
  <c r="F43" i="39"/>
  <c r="U38" i="40"/>
  <c r="G542" i="3"/>
  <c r="AZ398" i="3"/>
  <c r="AZ409" i="3"/>
  <c r="AZ421" i="3"/>
  <c r="AZ426" i="3"/>
  <c r="AZ427" i="3"/>
  <c r="AZ446" i="3"/>
  <c r="AZ453" i="3"/>
  <c r="AZ402" i="3"/>
  <c r="AZ406" i="3"/>
  <c r="AZ419" i="3"/>
  <c r="AZ423" i="3"/>
  <c r="AZ438" i="3"/>
  <c r="AZ440" i="3"/>
  <c r="AZ442" i="3"/>
  <c r="AZ451" i="3"/>
  <c r="AZ455" i="3"/>
  <c r="AZ469" i="3"/>
  <c r="H43" i="39"/>
  <c r="W32" i="40"/>
  <c r="U9" i="39"/>
  <c r="G551" i="3"/>
  <c r="BL548" i="3"/>
  <c r="AZ548" i="3" s="1"/>
  <c r="G473" i="3"/>
  <c r="BL473" i="3"/>
  <c r="AZ473" i="3" s="1"/>
  <c r="BL474" i="3"/>
  <c r="G480" i="3"/>
  <c r="BA481" i="3"/>
  <c r="AZ481" i="3" s="1"/>
  <c r="BA482" i="3"/>
  <c r="AZ482" i="3" s="1"/>
  <c r="BA483" i="3"/>
  <c r="AZ483" i="3" s="1"/>
  <c r="BA486" i="3"/>
  <c r="AZ486" i="3" s="1"/>
  <c r="AZ488" i="3"/>
  <c r="BA490" i="3"/>
  <c r="AZ490" i="3" s="1"/>
  <c r="G327" i="3"/>
  <c r="BL330" i="3"/>
  <c r="AZ330" i="3" s="1"/>
  <c r="AZ208" i="3"/>
  <c r="AZ210" i="3"/>
  <c r="BA468" i="3"/>
  <c r="AZ468" i="3" s="1"/>
  <c r="BA471" i="3"/>
  <c r="BA472" i="3"/>
  <c r="AZ472" i="3" s="1"/>
  <c r="G476" i="3"/>
  <c r="BA477" i="3"/>
  <c r="AZ477" i="3" s="1"/>
  <c r="BA478" i="3"/>
  <c r="AZ478" i="3" s="1"/>
  <c r="BA479" i="3"/>
  <c r="AZ479" i="3" s="1"/>
  <c r="AZ489" i="3"/>
  <c r="BL492" i="3"/>
  <c r="G311" i="3"/>
  <c r="G315" i="3"/>
  <c r="G318" i="3"/>
  <c r="BA323" i="3"/>
  <c r="AZ323" i="3" s="1"/>
  <c r="AZ216" i="3"/>
  <c r="AZ474" i="3"/>
  <c r="A15" i="62"/>
  <c r="B61" i="72" s="1"/>
  <c r="BL470" i="3"/>
  <c r="AZ470" i="3" s="1"/>
  <c r="BL471" i="3"/>
  <c r="G472" i="3"/>
  <c r="AZ485" i="3"/>
  <c r="AZ492" i="3"/>
  <c r="BL312" i="3"/>
  <c r="AZ312" i="3" s="1"/>
  <c r="BA316" i="3"/>
  <c r="AZ316" i="3" s="1"/>
  <c r="AZ211" i="3"/>
  <c r="BL215" i="3"/>
  <c r="AZ215" i="3" s="1"/>
  <c r="BA221" i="3"/>
  <c r="AZ221" i="3" s="1"/>
  <c r="BA222" i="3"/>
  <c r="AZ222" i="3" s="1"/>
  <c r="BA223" i="3"/>
  <c r="AZ223" i="3" s="1"/>
  <c r="BA224" i="3"/>
  <c r="AZ224" i="3" s="1"/>
  <c r="BL231" i="3"/>
  <c r="AZ231" i="3" s="1"/>
  <c r="BL235" i="3"/>
  <c r="AZ235" i="3" s="1"/>
  <c r="AZ255" i="3"/>
  <c r="BL213" i="3"/>
  <c r="AZ213" i="3" s="1"/>
  <c r="BL220" i="3"/>
  <c r="AZ220" i="3" s="1"/>
  <c r="BL228" i="3"/>
  <c r="AZ228" i="3" s="1"/>
  <c r="BA230" i="3"/>
  <c r="AZ230" i="3" s="1"/>
  <c r="BL232" i="3"/>
  <c r="AZ232" i="3" s="1"/>
  <c r="BA263" i="3"/>
  <c r="AZ263" i="3" s="1"/>
  <c r="AZ264" i="3"/>
  <c r="BA268" i="3"/>
  <c r="AZ268" i="3" s="1"/>
  <c r="AZ278" i="3"/>
  <c r="BL217" i="3"/>
  <c r="AZ217" i="3" s="1"/>
  <c r="BL240" i="3"/>
  <c r="AZ240" i="3" s="1"/>
  <c r="BL245" i="3"/>
  <c r="AZ245" i="3" s="1"/>
  <c r="AZ262" i="3"/>
  <c r="AZ267" i="3"/>
  <c r="BL270" i="3"/>
  <c r="AZ270" i="3" s="1"/>
  <c r="BL275" i="3"/>
  <c r="AZ275" i="3" s="1"/>
  <c r="BL283" i="3"/>
  <c r="AZ283" i="3" s="1"/>
  <c r="BA292" i="3"/>
  <c r="AZ292" i="3" s="1"/>
  <c r="AZ293" i="3"/>
  <c r="AZ302" i="3"/>
  <c r="AZ126" i="3"/>
  <c r="AZ137" i="3"/>
  <c r="AZ169" i="3"/>
  <c r="AZ207" i="3"/>
  <c r="AZ27" i="3"/>
  <c r="BL225" i="3"/>
  <c r="AZ225" i="3" s="1"/>
  <c r="BL248" i="3"/>
  <c r="AZ248" i="3" s="1"/>
  <c r="BL250" i="3"/>
  <c r="AZ250" i="3" s="1"/>
  <c r="BA258" i="3"/>
  <c r="AZ258" i="3" s="1"/>
  <c r="AZ260" i="3"/>
  <c r="BA273" i="3"/>
  <c r="AZ273" i="3" s="1"/>
  <c r="BA281" i="3"/>
  <c r="AZ281" i="3" s="1"/>
  <c r="BL286" i="3"/>
  <c r="AZ286" i="3" s="1"/>
  <c r="BL288" i="3"/>
  <c r="AZ288" i="3" s="1"/>
  <c r="AZ294" i="3"/>
  <c r="AZ145" i="3"/>
  <c r="AZ177" i="3"/>
  <c r="AZ30" i="3"/>
  <c r="AZ48" i="3"/>
  <c r="BA202" i="3"/>
  <c r="AZ202" i="3" s="1"/>
  <c r="BL205" i="3"/>
  <c r="BL28" i="3"/>
  <c r="AZ28" i="3" s="1"/>
  <c r="BA33" i="3"/>
  <c r="AZ33" i="3" s="1"/>
  <c r="BL35" i="3"/>
  <c r="AZ35" i="3" s="1"/>
  <c r="BL48" i="3"/>
  <c r="AZ60" i="3"/>
  <c r="BA65" i="3"/>
  <c r="AZ65" i="3" s="1"/>
  <c r="AZ76" i="3"/>
  <c r="AZ95" i="3"/>
  <c r="AZ98" i="3"/>
  <c r="BL20" i="3"/>
  <c r="AZ20" i="3" s="1"/>
  <c r="G27" i="3"/>
  <c r="BL44" i="3"/>
  <c r="AZ44" i="3" s="1"/>
  <c r="BA46" i="3"/>
  <c r="AZ46" i="3" s="1"/>
  <c r="BA47" i="3"/>
  <c r="AZ47" i="3" s="1"/>
  <c r="BL56" i="3"/>
  <c r="AZ56" i="3" s="1"/>
  <c r="BA62" i="3"/>
  <c r="AZ62" i="3" s="1"/>
  <c r="AZ64" i="3"/>
  <c r="BA86" i="3"/>
  <c r="AZ86" i="3" s="1"/>
  <c r="AZ87" i="3"/>
  <c r="BA92" i="3"/>
  <c r="AZ92" i="3" s="1"/>
  <c r="BL203" i="3"/>
  <c r="AZ203" i="3" s="1"/>
  <c r="BL18" i="3"/>
  <c r="BA26" i="3"/>
  <c r="AZ26" i="3" s="1"/>
  <c r="G32" i="3"/>
  <c r="BL38" i="3"/>
  <c r="AZ38" i="3" s="1"/>
  <c r="BA40" i="3"/>
  <c r="AZ40" i="3" s="1"/>
  <c r="BA41" i="3"/>
  <c r="AZ41" i="3" s="1"/>
  <c r="BA42" i="3"/>
  <c r="AZ42" i="3" s="1"/>
  <c r="BA43" i="3"/>
  <c r="AZ43" i="3" s="1"/>
  <c r="BL45" i="3"/>
  <c r="AZ45" i="3" s="1"/>
  <c r="BL52" i="3"/>
  <c r="BA54" i="3"/>
  <c r="AZ54" i="3" s="1"/>
  <c r="BA55" i="3"/>
  <c r="AZ55" i="3" s="1"/>
  <c r="BL69" i="3"/>
  <c r="AZ69" i="3" s="1"/>
  <c r="BL74" i="3"/>
  <c r="BL79" i="3"/>
  <c r="AZ79" i="3" s="1"/>
  <c r="BA84" i="3"/>
  <c r="AZ84" i="3" s="1"/>
  <c r="AZ90" i="3"/>
  <c r="AZ91" i="3"/>
  <c r="BL100" i="3"/>
  <c r="AZ100" i="3" s="1"/>
  <c r="BL102" i="3"/>
  <c r="AZ18" i="3"/>
  <c r="AZ52" i="3"/>
  <c r="AZ104" i="3"/>
  <c r="BA107" i="3"/>
  <c r="AZ107" i="3" s="1"/>
  <c r="BA112" i="3"/>
  <c r="AZ112" i="3" s="1"/>
  <c r="AC18" i="35"/>
  <c r="U29" i="39"/>
  <c r="BL104" i="3"/>
  <c r="BL111" i="3"/>
  <c r="AZ111" i="3" s="1"/>
  <c r="U18" i="35"/>
  <c r="B88" i="43"/>
  <c r="C25" i="40"/>
  <c r="C35" i="71"/>
  <c r="D34" i="71"/>
  <c r="G108" i="3"/>
  <c r="F3" i="35"/>
  <c r="W29" i="39"/>
  <c r="B66" i="71"/>
  <c r="S21" i="21"/>
  <c r="S18" i="35"/>
  <c r="D60" i="71"/>
  <c r="C32" i="71"/>
  <c r="C70" i="71"/>
  <c r="D70" i="71" s="1"/>
  <c r="D79" i="71"/>
  <c r="D75" i="71"/>
  <c r="AA27" i="71"/>
  <c r="AB27" i="71"/>
  <c r="X25" i="71"/>
  <c r="Y28" i="71"/>
  <c r="Z28" i="71" s="1"/>
  <c r="AA30" i="71"/>
  <c r="AA29" i="71"/>
  <c r="AB29" i="71"/>
  <c r="Y30" i="71"/>
  <c r="Z30" i="71" s="1"/>
  <c r="Y27" i="71"/>
  <c r="Z27" i="71" s="1"/>
  <c r="AB34" i="71"/>
  <c r="B38" i="71"/>
  <c r="B39" i="71" s="1"/>
  <c r="B40" i="71" s="1"/>
  <c r="S40" i="71" s="1"/>
  <c r="X37" i="71"/>
  <c r="X9" i="71"/>
  <c r="X10" i="71"/>
  <c r="AB9" i="71"/>
  <c r="B47" i="71"/>
  <c r="B48" i="71" s="1"/>
  <c r="S48" i="71" s="1"/>
  <c r="F75" i="71"/>
  <c r="F74" i="71" s="1"/>
  <c r="X24" i="71"/>
  <c r="AA22" i="71"/>
  <c r="Y23" i="71"/>
  <c r="Z23" i="71" s="1"/>
  <c r="X22" i="71"/>
  <c r="AA12" i="71"/>
  <c r="Y14" i="71"/>
  <c r="Z14" i="71" s="1"/>
  <c r="AA21" i="34"/>
  <c r="E27" i="71"/>
  <c r="E26" i="71" s="1"/>
  <c r="AB26" i="71"/>
  <c r="F28" i="71"/>
  <c r="F27" i="71" s="1"/>
  <c r="F26" i="71" s="1"/>
  <c r="E71" i="71"/>
  <c r="E70" i="71" s="1"/>
  <c r="X26" i="71"/>
  <c r="X27" i="71"/>
  <c r="Y34" i="71"/>
  <c r="Z34" i="71" s="1"/>
  <c r="AA34" i="71"/>
  <c r="AA36" i="71"/>
  <c r="Y9" i="71"/>
  <c r="Z9" i="71" s="1"/>
  <c r="Y10" i="71"/>
  <c r="Z10" i="71" s="1"/>
  <c r="Y39" i="71"/>
  <c r="Z39" i="71" s="1"/>
  <c r="Y25" i="71"/>
  <c r="Z25" i="71" s="1"/>
  <c r="Y24" i="71"/>
  <c r="Z24" i="71" s="1"/>
  <c r="Y21" i="71"/>
  <c r="Z21" i="71" s="1"/>
  <c r="Y18" i="71"/>
  <c r="Z18" i="71" s="1"/>
  <c r="Y17" i="71"/>
  <c r="Z17" i="71" s="1"/>
  <c r="Y31" i="71"/>
  <c r="Z31" i="71" s="1"/>
  <c r="Y33" i="71"/>
  <c r="Z33" i="71" s="1"/>
  <c r="C43" i="71"/>
  <c r="D42" i="71"/>
  <c r="AA24" i="71"/>
  <c r="AB21" i="71"/>
  <c r="AB18" i="71"/>
  <c r="AB14" i="71"/>
  <c r="AA28" i="71"/>
  <c r="AA3" i="71"/>
  <c r="X28" i="71"/>
  <c r="AB33" i="71"/>
  <c r="X31" i="71"/>
  <c r="X30" i="71"/>
  <c r="AB31" i="71"/>
  <c r="Y32" i="71"/>
  <c r="Z32" i="71" s="1"/>
  <c r="AB30" i="71"/>
  <c r="E34" i="71"/>
  <c r="E35" i="71" s="1"/>
  <c r="E36" i="71" s="1"/>
  <c r="U36" i="71" s="1"/>
  <c r="AA33" i="71"/>
  <c r="X33" i="71"/>
  <c r="X34" i="71"/>
  <c r="X36" i="71"/>
  <c r="X32" i="71"/>
  <c r="AB36" i="71"/>
  <c r="AB37" i="71"/>
  <c r="Y38" i="71"/>
  <c r="Z38" i="71" s="1"/>
  <c r="X39" i="71"/>
  <c r="F66" i="71"/>
  <c r="Q67" i="71"/>
  <c r="AB23" i="71"/>
  <c r="AB24" i="71"/>
  <c r="X17" i="71"/>
  <c r="AA18" i="71"/>
  <c r="AB17" i="71"/>
  <c r="Y22" i="71"/>
  <c r="Z22" i="71" s="1"/>
  <c r="X21" i="71"/>
  <c r="X18" i="71"/>
  <c r="X15" i="71"/>
  <c r="AA13" i="71"/>
  <c r="X12" i="71"/>
  <c r="Y12" i="71"/>
  <c r="Z12" i="71" s="1"/>
  <c r="AA21" i="71"/>
  <c r="AA17" i="71"/>
  <c r="AB11" i="71"/>
  <c r="Y11" i="71"/>
  <c r="Z11" i="71" s="1"/>
  <c r="AA9" i="71"/>
  <c r="AA10" i="71"/>
  <c r="K56" i="9"/>
  <c r="AA23" i="71"/>
  <c r="AA15" i="71"/>
  <c r="AB13" i="71"/>
  <c r="AA14" i="71"/>
  <c r="X13" i="71"/>
  <c r="Y13" i="71"/>
  <c r="Z13" i="71" s="1"/>
  <c r="AB10" i="71"/>
  <c r="N56" i="9"/>
  <c r="AB15" i="71"/>
  <c r="AB12"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F30" i="6"/>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4" i="9"/>
  <c r="M64" i="9" s="1"/>
  <c r="L63" i="9"/>
  <c r="M63" i="9" s="1"/>
  <c r="M69" i="9" s="1"/>
  <c r="N69"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7" i="67"/>
  <c r="F50" i="67"/>
  <c r="F68" i="67"/>
  <c r="D9" i="68"/>
  <c r="F8" i="15"/>
  <c r="F27" i="69"/>
  <c r="L47" i="15"/>
  <c r="F26" i="15"/>
  <c r="F8" i="67"/>
  <c r="F26" i="67"/>
  <c r="F16" i="67"/>
  <c r="F43" i="67"/>
  <c r="M6" i="67"/>
  <c r="F37" i="15"/>
  <c r="F36" i="67"/>
  <c r="L48" i="15"/>
  <c r="M24" i="67"/>
  <c r="C36" i="69"/>
  <c r="F16" i="15"/>
  <c r="L47" i="67"/>
  <c r="F42" i="67"/>
  <c r="F38" i="15"/>
  <c r="F6" i="15"/>
  <c r="D9" i="69"/>
  <c r="M8" i="15"/>
  <c r="M6" i="15"/>
  <c r="F40" i="15"/>
  <c r="C76" i="15"/>
  <c r="F37" i="67"/>
  <c r="F13" i="67"/>
  <c r="F9" i="15"/>
  <c r="L48" i="67"/>
  <c r="F43" i="15"/>
  <c r="F7" i="15"/>
  <c r="C76" i="67"/>
  <c r="F9" i="67"/>
  <c r="M23" i="67"/>
  <c r="J15" i="15"/>
  <c r="F42" i="15"/>
  <c r="F38" i="67"/>
  <c r="M26" i="15"/>
  <c r="M8" i="67"/>
  <c r="M22" i="15"/>
  <c r="F13" i="15"/>
  <c r="M24" i="15"/>
  <c r="M9" i="15"/>
  <c r="J15" i="67"/>
  <c r="M29" i="15"/>
  <c r="M29" i="67"/>
  <c r="F36" i="15"/>
  <c r="M23" i="15"/>
  <c r="G1" i="73"/>
  <c r="AC27" i="21" l="1"/>
  <c r="S27" i="21"/>
  <c r="C27" i="15"/>
  <c r="M7" i="15"/>
  <c r="J6" i="15" s="1"/>
  <c r="J18" i="15" s="1"/>
  <c r="F50" i="15"/>
  <c r="F65" i="15"/>
  <c r="F66" i="15"/>
  <c r="J57" i="15"/>
  <c r="J55" i="15" s="1"/>
  <c r="J58" i="15" s="1"/>
  <c r="Q50" i="15" s="1"/>
  <c r="I54" i="15"/>
  <c r="J53" i="15"/>
  <c r="L56" i="15" s="1"/>
  <c r="F51" i="15"/>
  <c r="F68" i="15"/>
  <c r="AZ102" i="3"/>
  <c r="C31" i="12"/>
  <c r="D38" i="71"/>
  <c r="C39" i="71"/>
  <c r="C22" i="71"/>
  <c r="D23" i="71"/>
  <c r="AZ290" i="3"/>
  <c r="D27" i="71"/>
  <c r="C26" i="71"/>
  <c r="D26" i="71" s="1"/>
  <c r="AZ433" i="3"/>
  <c r="AA46" i="21"/>
  <c r="S46" i="21"/>
  <c r="W33" i="40"/>
  <c r="AC33" i="40"/>
  <c r="AB9" i="33"/>
  <c r="U9" i="33"/>
  <c r="AB31" i="39"/>
  <c r="U31" i="39"/>
  <c r="S32" i="34"/>
  <c r="AA32" i="34"/>
  <c r="AC14" i="34"/>
  <c r="W14" i="34"/>
  <c r="W29" i="33"/>
  <c r="AC29" i="33"/>
  <c r="AB12" i="40"/>
  <c r="U12" i="40"/>
  <c r="AZ567" i="3"/>
  <c r="AZ570" i="3"/>
  <c r="AZ242" i="3"/>
  <c r="AZ110" i="3"/>
  <c r="AZ61" i="3"/>
  <c r="P65" i="71"/>
  <c r="P66" i="71"/>
  <c r="AZ182" i="3"/>
  <c r="AZ157" i="3"/>
  <c r="AZ272" i="3"/>
  <c r="AZ259" i="3"/>
  <c r="AZ475" i="3"/>
  <c r="AZ227" i="3"/>
  <c r="AZ462" i="3"/>
  <c r="AZ418" i="3"/>
  <c r="AZ493" i="3"/>
  <c r="AZ153" i="3"/>
  <c r="C66" i="71"/>
  <c r="O67" i="71"/>
  <c r="D67" i="71"/>
  <c r="AZ77" i="3"/>
  <c r="AZ397" i="3"/>
  <c r="AZ333" i="3"/>
  <c r="AZ491" i="3"/>
  <c r="U46" i="21"/>
  <c r="AB46" i="21"/>
  <c r="AA40" i="40"/>
  <c r="S40" i="40"/>
  <c r="AB23" i="36"/>
  <c r="U23" i="36"/>
  <c r="AA37" i="39"/>
  <c r="S37" i="39"/>
  <c r="S38" i="37"/>
  <c r="AA38" i="37"/>
  <c r="AC38" i="40"/>
  <c r="W38" i="40"/>
  <c r="W32" i="34"/>
  <c r="AC32" i="34"/>
  <c r="AB45" i="33"/>
  <c r="U45" i="33"/>
  <c r="AZ543" i="3"/>
  <c r="AZ544" i="3"/>
  <c r="AZ571" i="3"/>
  <c r="G5" i="3"/>
  <c r="B3" i="3" s="1"/>
  <c r="B14" i="74" s="1"/>
  <c r="L66" i="9"/>
  <c r="M66" i="9" s="1"/>
  <c r="N370" i="46"/>
  <c r="E11" i="6"/>
  <c r="E60" i="39" s="1"/>
  <c r="C30" i="68"/>
  <c r="AZ74" i="3"/>
  <c r="AB42" i="21"/>
  <c r="E19" i="71"/>
  <c r="E18" i="71" s="1"/>
  <c r="E17" i="71" s="1"/>
  <c r="E16" i="71" s="1"/>
  <c r="V20" i="71"/>
  <c r="D55" i="71"/>
  <c r="C56" i="71"/>
  <c r="AZ53" i="3"/>
  <c r="AZ129" i="3"/>
  <c r="G28" i="6"/>
  <c r="E28" i="6" s="1"/>
  <c r="K14" i="1" s="1"/>
  <c r="AZ113" i="3"/>
  <c r="W40" i="40"/>
  <c r="AC40" i="40"/>
  <c r="AA30" i="33"/>
  <c r="S30" i="33"/>
  <c r="AC38" i="37"/>
  <c r="W38" i="37"/>
  <c r="AB38" i="37"/>
  <c r="U38" i="37"/>
  <c r="S14" i="34"/>
  <c r="AA14" i="34"/>
  <c r="AC45" i="33"/>
  <c r="W45" i="33"/>
  <c r="U31" i="40"/>
  <c r="AB31" i="40"/>
  <c r="U9" i="34"/>
  <c r="AB9" i="34"/>
  <c r="AZ555" i="3"/>
  <c r="AZ568" i="3"/>
  <c r="AZ566" i="3"/>
  <c r="AZ88" i="3"/>
  <c r="J7" i="37"/>
  <c r="L67" i="9"/>
  <c r="M67" i="9" s="1"/>
  <c r="E26" i="43"/>
  <c r="BL5" i="3"/>
  <c r="AZ522" i="3"/>
  <c r="C64" i="71"/>
  <c r="D63" i="71"/>
  <c r="AZ57" i="3"/>
  <c r="B19" i="71"/>
  <c r="B18" i="71" s="1"/>
  <c r="B17" i="71" s="1"/>
  <c r="B16" i="71" s="1"/>
  <c r="S20" i="71"/>
  <c r="AZ23" i="3"/>
  <c r="AZ291" i="3"/>
  <c r="AZ450" i="3"/>
  <c r="AB40" i="40"/>
  <c r="U40" i="40"/>
  <c r="AA33" i="40"/>
  <c r="S33" i="40"/>
  <c r="AC30" i="33"/>
  <c r="W30" i="33"/>
  <c r="AC9" i="33"/>
  <c r="W9" i="33"/>
  <c r="AA14" i="39"/>
  <c r="S14" i="39"/>
  <c r="AA38" i="40"/>
  <c r="S38" i="40"/>
  <c r="U14" i="34"/>
  <c r="AB14" i="34"/>
  <c r="S29" i="33"/>
  <c r="AA29" i="33"/>
  <c r="AC31" i="40"/>
  <c r="W31" i="40"/>
  <c r="AC9" i="34"/>
  <c r="W9" i="34"/>
  <c r="AZ577" i="3"/>
  <c r="AZ545" i="3"/>
  <c r="AZ572" i="3"/>
  <c r="AA26" i="21"/>
  <c r="AA44" i="21"/>
  <c r="S44" i="21"/>
  <c r="C48" i="68"/>
  <c r="F28" i="67"/>
  <c r="C28" i="67" s="1"/>
  <c r="F28" i="15"/>
  <c r="C28" i="15" s="1"/>
  <c r="F54" i="9"/>
  <c r="C36" i="68"/>
  <c r="G26" i="43"/>
  <c r="F26" i="43"/>
  <c r="H26" i="43"/>
  <c r="P6" i="1"/>
  <c r="C13" i="12" s="1"/>
  <c r="N94" i="46"/>
  <c r="F31" i="15"/>
  <c r="C6" i="15"/>
  <c r="C32" i="15" s="1"/>
  <c r="I54" i="67"/>
  <c r="J57" i="67"/>
  <c r="J55" i="67" s="1"/>
  <c r="J58" i="67" s="1"/>
  <c r="Q50" i="67" s="1"/>
  <c r="J53" i="67"/>
  <c r="F1" i="67" s="1"/>
  <c r="L56" i="67"/>
  <c r="Q71" i="67"/>
  <c r="C27" i="67"/>
  <c r="Q71" i="15"/>
  <c r="F66" i="67"/>
  <c r="F71" i="67"/>
  <c r="F64" i="15"/>
  <c r="F65" i="67"/>
  <c r="M59" i="67"/>
  <c r="L59" i="67"/>
  <c r="Q61" i="67" s="1"/>
  <c r="L58" i="67"/>
  <c r="Q73" i="67" s="1"/>
  <c r="N59" i="67"/>
  <c r="N59" i="15"/>
  <c r="L58" i="15"/>
  <c r="Q60" i="15" s="1"/>
  <c r="M59" i="15"/>
  <c r="L59" i="15"/>
  <c r="Q74" i="15" s="1"/>
  <c r="F71" i="15"/>
  <c r="F64" i="67"/>
  <c r="F31" i="67"/>
  <c r="C6" i="67"/>
  <c r="C32" i="67" s="1"/>
  <c r="F51" i="67"/>
  <c r="C49" i="67" s="1"/>
  <c r="E510" i="3"/>
  <c r="E165" i="3"/>
  <c r="E244" i="3"/>
  <c r="E149" i="3"/>
  <c r="E167" i="3"/>
  <c r="AD6" i="3"/>
  <c r="E552" i="3"/>
  <c r="E421" i="3"/>
  <c r="E464" i="3"/>
  <c r="E487" i="3"/>
  <c r="E398" i="3"/>
  <c r="E416" i="3"/>
  <c r="E459" i="3"/>
  <c r="E374" i="3"/>
  <c r="E566" i="3"/>
  <c r="E582" i="3"/>
  <c r="E413" i="3"/>
  <c r="E460" i="3"/>
  <c r="E436" i="3"/>
  <c r="E39" i="3"/>
  <c r="E90" i="3"/>
  <c r="E57" i="3"/>
  <c r="E131" i="3"/>
  <c r="E187" i="3"/>
  <c r="E155" i="3"/>
  <c r="E240" i="3"/>
  <c r="E297" i="3"/>
  <c r="E259" i="3"/>
  <c r="E378" i="3"/>
  <c r="E504" i="3"/>
  <c r="E58" i="3"/>
  <c r="E110" i="3"/>
  <c r="E488" i="3"/>
  <c r="E462" i="3"/>
  <c r="E446" i="3"/>
  <c r="E47" i="3"/>
  <c r="E98" i="3"/>
  <c r="E65" i="3"/>
  <c r="E138" i="3"/>
  <c r="E195" i="3"/>
  <c r="E163" i="3"/>
  <c r="E248" i="3"/>
  <c r="E209" i="3"/>
  <c r="E266" i="3"/>
  <c r="E307" i="3"/>
  <c r="E354" i="3"/>
  <c r="E584" i="3"/>
  <c r="E66" i="3"/>
  <c r="E24" i="3"/>
  <c r="E48" i="3"/>
  <c r="E87" i="3"/>
  <c r="E127" i="3"/>
  <c r="E250" i="3"/>
  <c r="E284" i="3"/>
  <c r="Y6" i="3"/>
  <c r="E51" i="3"/>
  <c r="E19" i="3"/>
  <c r="E154" i="3"/>
  <c r="E179" i="3"/>
  <c r="E222" i="3"/>
  <c r="E323" i="3"/>
  <c r="E373" i="3"/>
  <c r="E82" i="3"/>
  <c r="E536" i="3"/>
  <c r="E148" i="3"/>
  <c r="E212" i="3"/>
  <c r="E199" i="3"/>
  <c r="E286"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71" i="3"/>
  <c r="E492" i="3"/>
  <c r="E23" i="3"/>
  <c r="E84" i="3"/>
  <c r="E67" i="3"/>
  <c r="E33" i="3"/>
  <c r="E144" i="3"/>
  <c r="E184" i="3"/>
  <c r="E233" i="3"/>
  <c r="E355" i="3"/>
  <c r="E381" i="3"/>
  <c r="E68" i="3"/>
  <c r="E63" i="3"/>
  <c r="E81" i="3"/>
  <c r="E118" i="3"/>
  <c r="E264" i="3"/>
  <c r="E283" i="3"/>
  <c r="E513" i="3"/>
  <c r="E2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16" i="3"/>
  <c r="E223" i="3"/>
  <c r="E105" i="3"/>
  <c r="E493" i="3"/>
  <c r="E543" i="3"/>
  <c r="E486"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J6" i="3"/>
  <c r="E242" i="3"/>
  <c r="L6" i="3"/>
  <c r="E38" i="3"/>
  <c r="E194" i="3"/>
  <c r="E339" i="3"/>
  <c r="E52" i="3"/>
  <c r="E147" i="3"/>
  <c r="E50" i="3"/>
  <c r="E218" i="3"/>
  <c r="E101" i="3"/>
  <c r="E296" i="3"/>
  <c r="E197" i="3"/>
  <c r="E369" i="3"/>
  <c r="E534" i="3"/>
  <c r="E405" i="3"/>
  <c r="E469" i="3"/>
  <c r="E408" i="3"/>
  <c r="E360" i="3"/>
  <c r="E497"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329" i="3"/>
  <c r="E188" i="3"/>
  <c r="E116" i="3"/>
  <c r="E393" i="3"/>
  <c r="E564" i="3"/>
  <c r="E427" i="3"/>
  <c r="E507" i="3"/>
  <c r="E440" i="3"/>
  <c r="E376" i="3"/>
  <c r="E419" i="3"/>
  <c r="E401" i="3"/>
  <c r="E40" i="3"/>
  <c r="E119" i="3"/>
  <c r="E276" i="3"/>
  <c r="E333" i="3"/>
  <c r="E43" i="3"/>
  <c r="E455" i="3"/>
  <c r="E170" i="3"/>
  <c r="E219" i="3"/>
  <c r="E392" i="3"/>
  <c r="E112" i="3"/>
  <c r="E340" i="3"/>
  <c r="E62" i="3"/>
  <c r="E365" i="3"/>
  <c r="E310" i="3"/>
  <c r="E1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86" i="3"/>
  <c r="E312"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AC6" i="3" s="1"/>
  <c r="E561" i="3"/>
  <c r="E538" i="3"/>
  <c r="E439" i="3"/>
  <c r="E380" i="3"/>
  <c r="E231" i="3"/>
  <c r="E216" i="3"/>
  <c r="E185" i="3"/>
  <c r="E261" i="3"/>
  <c r="E528" i="3"/>
  <c r="E183" i="3"/>
  <c r="E361" i="3"/>
  <c r="E503" i="3"/>
  <c r="E180" i="3"/>
  <c r="E91" i="3"/>
  <c r="E134" i="3"/>
  <c r="E301" i="3"/>
  <c r="E350" i="3"/>
  <c r="E586" i="3"/>
  <c r="E495" i="3"/>
  <c r="E124" i="3"/>
  <c r="E399" i="3"/>
  <c r="E347" i="3"/>
  <c r="E520" i="3"/>
  <c r="E341" i="3"/>
  <c r="E500"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539" i="3"/>
  <c r="E502" i="3"/>
  <c r="E309" i="3"/>
  <c r="E575" i="3"/>
  <c r="E34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9" i="6"/>
  <c r="G30" i="6"/>
  <c r="G31" i="6" s="1"/>
  <c r="B15" i="71"/>
  <c r="B14" i="71" s="1"/>
  <c r="B13" i="71" s="1"/>
  <c r="B12" i="71" s="1"/>
  <c r="S16" i="71"/>
  <c r="Q65" i="71"/>
  <c r="Q66" i="71"/>
  <c r="T32" i="71"/>
  <c r="D32" i="71"/>
  <c r="N65" i="71"/>
  <c r="N66" i="71"/>
  <c r="E108" i="3"/>
  <c r="U43" i="39"/>
  <c r="AB43" i="39"/>
  <c r="AA43" i="39"/>
  <c r="S43" i="39"/>
  <c r="S47" i="34"/>
  <c r="AA47" i="34"/>
  <c r="S31" i="34"/>
  <c r="AA31" i="34"/>
  <c r="W13" i="34"/>
  <c r="AC13" i="34"/>
  <c r="U14" i="33"/>
  <c r="AB14" i="33"/>
  <c r="E521" i="3"/>
  <c r="AC27" i="37"/>
  <c r="W27" i="37"/>
  <c r="AC9" i="36"/>
  <c r="W9" i="36"/>
  <c r="AA14" i="21"/>
  <c r="S14" i="21"/>
  <c r="W25" i="36"/>
  <c r="AC25" i="36"/>
  <c r="AB13" i="35"/>
  <c r="U13" i="35"/>
  <c r="AB45" i="34"/>
  <c r="U45" i="34"/>
  <c r="AA46" i="33"/>
  <c r="S46" i="33"/>
  <c r="W12" i="33"/>
  <c r="AC12" i="33"/>
  <c r="S31" i="21"/>
  <c r="AA31" i="21"/>
  <c r="E494" i="3"/>
  <c r="AZ581" i="3"/>
  <c r="AA23" i="35"/>
  <c r="S23" i="35"/>
  <c r="W30" i="21"/>
  <c r="AC30" i="21"/>
  <c r="C44" i="71"/>
  <c r="D43" i="71"/>
  <c r="S25" i="35"/>
  <c r="AA25" i="35"/>
  <c r="AC47" i="34"/>
  <c r="W47" i="34"/>
  <c r="W31" i="34"/>
  <c r="AC31" i="34"/>
  <c r="AA44" i="33"/>
  <c r="S44" i="33"/>
  <c r="AA14" i="33"/>
  <c r="S14" i="33"/>
  <c r="U27" i="37"/>
  <c r="AB27" i="37"/>
  <c r="AA9" i="36"/>
  <c r="S9" i="36"/>
  <c r="U14" i="21"/>
  <c r="AB14" i="21"/>
  <c r="W45" i="39"/>
  <c r="AC45" i="39"/>
  <c r="S32" i="36"/>
  <c r="AA32" i="36"/>
  <c r="U35" i="35"/>
  <c r="AB35" i="35"/>
  <c r="AA13" i="35"/>
  <c r="S13" i="35"/>
  <c r="W45" i="34"/>
  <c r="AC45" i="34"/>
  <c r="U46" i="33"/>
  <c r="AB46" i="33"/>
  <c r="AB27" i="34"/>
  <c r="U27" i="34"/>
  <c r="AC28" i="21"/>
  <c r="W28" i="21"/>
  <c r="AZ499" i="3"/>
  <c r="S40" i="37"/>
  <c r="AA40" i="37"/>
  <c r="W23" i="35"/>
  <c r="AC23" i="35"/>
  <c r="AA45" i="21"/>
  <c r="S45" i="21"/>
  <c r="AB30" i="21"/>
  <c r="U30" i="21"/>
  <c r="C36" i="71"/>
  <c r="D35" i="71"/>
  <c r="AZ471" i="3"/>
  <c r="E473" i="3"/>
  <c r="E542" i="3"/>
  <c r="AZ563" i="3"/>
  <c r="U25" i="35"/>
  <c r="AB25" i="35"/>
  <c r="U47" i="34"/>
  <c r="AB47" i="34"/>
  <c r="AA13" i="34"/>
  <c r="S13" i="34"/>
  <c r="AC44" i="33"/>
  <c r="W44" i="33"/>
  <c r="W13" i="36"/>
  <c r="AC13" i="36"/>
  <c r="W14" i="21"/>
  <c r="AC14" i="21"/>
  <c r="AA45" i="39"/>
  <c r="S45" i="39"/>
  <c r="S25" i="36"/>
  <c r="AA25" i="36"/>
  <c r="W35" i="35"/>
  <c r="AC35" i="35"/>
  <c r="AC13" i="35"/>
  <c r="W13" i="35"/>
  <c r="U29" i="34"/>
  <c r="AB29" i="34"/>
  <c r="AC46" i="33"/>
  <c r="W46" i="33"/>
  <c r="W27" i="34"/>
  <c r="AC27" i="34"/>
  <c r="AC31" i="21"/>
  <c r="W31" i="21"/>
  <c r="AB28" i="21"/>
  <c r="U28" i="21"/>
  <c r="AB40" i="37"/>
  <c r="U40" i="37"/>
  <c r="U23" i="35"/>
  <c r="AB23" i="35"/>
  <c r="W45" i="21"/>
  <c r="AC45" i="21"/>
  <c r="J6" i="67"/>
  <c r="J18" i="67" s="1"/>
  <c r="W25" i="35"/>
  <c r="AC25" i="35"/>
  <c r="U31" i="34"/>
  <c r="AB31" i="34"/>
  <c r="AB13" i="34"/>
  <c r="U13" i="34"/>
  <c r="AC14" i="33"/>
  <c r="W14" i="33"/>
  <c r="AB13" i="36"/>
  <c r="U13" i="36"/>
  <c r="U45" i="39"/>
  <c r="AB45" i="39"/>
  <c r="AB25" i="36"/>
  <c r="U25" i="36"/>
  <c r="AA35" i="35"/>
  <c r="S35" i="35"/>
  <c r="S45" i="34"/>
  <c r="AA45" i="34"/>
  <c r="S29" i="34"/>
  <c r="AA29" i="34"/>
  <c r="U12" i="33"/>
  <c r="AB12" i="33"/>
  <c r="AA27" i="34"/>
  <c r="S27" i="34"/>
  <c r="AB31" i="21"/>
  <c r="U31" i="21"/>
  <c r="AA28" i="21"/>
  <c r="S28" i="21"/>
  <c r="BA5" i="3"/>
  <c r="E27" i="6" s="1"/>
  <c r="K26" i="6" s="1"/>
  <c r="M26" i="6" s="1"/>
  <c r="I26" i="6" s="1"/>
  <c r="S26" i="6" s="1"/>
  <c r="AZ500" i="3"/>
  <c r="AZ513" i="3"/>
  <c r="W40" i="37"/>
  <c r="AC40" i="37"/>
  <c r="S30" i="21"/>
  <c r="AA30"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M11" i="67"/>
  <c r="J10" i="67" s="1"/>
  <c r="F11" i="15"/>
  <c r="M11" i="15"/>
  <c r="J10" i="15" s="1"/>
  <c r="F11" i="67"/>
  <c r="AE11" i="1"/>
  <c r="AE6" i="1"/>
  <c r="AE9" i="1"/>
  <c r="F27" i="68"/>
  <c r="AE7" i="1"/>
  <c r="AE8" i="1"/>
  <c r="AE12" i="1"/>
  <c r="AE10" i="1"/>
  <c r="F41" i="67"/>
  <c r="C16" i="15"/>
  <c r="C16" i="67"/>
  <c r="F59" i="15" l="1"/>
  <c r="M17" i="15"/>
  <c r="C49" i="15"/>
  <c r="F1" i="15"/>
  <c r="Q52" i="15"/>
  <c r="D64" i="71"/>
  <c r="T64" i="71"/>
  <c r="AZ5" i="3"/>
  <c r="AY6" i="3" s="1"/>
  <c r="E15" i="71"/>
  <c r="E14" i="71" s="1"/>
  <c r="E13" i="71" s="1"/>
  <c r="E12" i="71" s="1"/>
  <c r="V16" i="71"/>
  <c r="C21" i="71"/>
  <c r="D22" i="71"/>
  <c r="T56" i="71"/>
  <c r="D56" i="71"/>
  <c r="D66" i="71"/>
  <c r="O66" i="71"/>
  <c r="O65" i="71"/>
  <c r="C40" i="71"/>
  <c r="D39" i="71"/>
  <c r="K15" i="1"/>
  <c r="K16" i="1" s="1"/>
  <c r="L19" i="6"/>
  <c r="L27" i="6" s="1"/>
  <c r="Q61" i="15"/>
  <c r="Q52" i="67"/>
  <c r="Q74" i="67"/>
  <c r="J5" i="15"/>
  <c r="J24" i="15" s="1"/>
  <c r="F59" i="67"/>
  <c r="Q60" i="67"/>
  <c r="Q73" i="15"/>
  <c r="J5" i="67"/>
  <c r="J24" i="67" s="1"/>
  <c r="T36" i="71"/>
  <c r="D36" i="71"/>
  <c r="T44" i="71"/>
  <c r="D44"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01" i="3"/>
  <c r="AY544" i="3"/>
  <c r="AY76" i="3"/>
  <c r="AY33" i="3"/>
  <c r="AY125" i="3"/>
  <c r="AY278" i="3"/>
  <c r="AY374" i="3"/>
  <c r="BH6" i="3"/>
  <c r="AY145" i="3"/>
  <c r="AY259" i="3"/>
  <c r="AY316" i="3"/>
  <c r="AY472" i="3"/>
  <c r="AY585" i="3"/>
  <c r="AY571" i="3"/>
  <c r="AY75" i="3"/>
  <c r="AY486" i="3"/>
  <c r="AY404" i="3"/>
  <c r="BO6" i="3"/>
  <c r="AY126" i="3"/>
  <c r="AY239" i="3"/>
  <c r="AY150" i="3"/>
  <c r="AY226" i="3"/>
  <c r="AY525" i="3"/>
  <c r="AY518" i="3"/>
  <c r="AY191" i="3"/>
  <c r="AY147" i="3"/>
  <c r="AY343" i="3"/>
  <c r="AY417" i="3"/>
  <c r="AY193" i="3"/>
  <c r="AY134" i="3"/>
  <c r="AY88" i="3"/>
  <c r="AY161" i="3"/>
  <c r="AY438" i="3"/>
  <c r="AY580" i="3"/>
  <c r="AY96" i="3"/>
  <c r="AY37"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M27" i="15"/>
  <c r="F41" i="15"/>
  <c r="C48" i="15" l="1"/>
  <c r="C66" i="15"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282" i="3"/>
  <c r="AY514" i="3"/>
  <c r="AY324" i="3"/>
  <c r="AY373" i="3"/>
  <c r="AY84" i="3"/>
  <c r="AY116" i="3"/>
  <c r="AY112" i="3"/>
  <c r="AY454" i="3"/>
  <c r="AY93" i="3"/>
  <c r="AY182" i="3"/>
  <c r="AY355" i="3"/>
  <c r="AY18" i="3"/>
  <c r="AY411" i="3"/>
  <c r="AY333" i="3"/>
  <c r="AY202" i="3"/>
  <c r="AY219" i="3"/>
  <c r="AY165" i="3"/>
  <c r="AY92" i="3"/>
  <c r="AY169" i="3"/>
  <c r="AY552" i="3"/>
  <c r="AY215" i="3"/>
  <c r="AY270" i="3"/>
  <c r="AY539" i="3"/>
  <c r="AY455" i="3"/>
  <c r="AY556" i="3"/>
  <c r="AY340" i="3"/>
  <c r="AY389" i="3"/>
  <c r="AY53" i="3"/>
  <c r="AY199" i="3"/>
  <c r="BG6" i="3"/>
  <c r="AY430" i="3"/>
  <c r="AY388" i="3"/>
  <c r="AY73" i="3"/>
  <c r="AY262" i="3"/>
  <c r="AY185" i="3"/>
  <c r="BE6" i="3"/>
  <c r="E11" i="71"/>
  <c r="E10" i="71" s="1"/>
  <c r="E9" i="71" s="1"/>
  <c r="E8" i="71" s="1"/>
  <c r="E7" i="71" s="1"/>
  <c r="E6" i="71" s="1"/>
  <c r="E5" i="71" s="1"/>
  <c r="V12" i="71"/>
  <c r="E3" i="6"/>
  <c r="D21" i="71"/>
  <c r="C20" i="71"/>
  <c r="T40" i="71"/>
  <c r="D40" i="71"/>
  <c r="D3" i="33"/>
  <c r="E6" i="6"/>
  <c r="D10" i="11" s="1"/>
  <c r="C10" i="11" s="1"/>
  <c r="C17" i="4"/>
  <c r="B4" i="52" s="1"/>
  <c r="B43" i="72" s="1"/>
  <c r="M18" i="9"/>
  <c r="B118" i="9" s="1"/>
  <c r="B1" i="74" s="1"/>
  <c r="D3" i="21"/>
  <c r="D116" i="43"/>
  <c r="G54" i="34"/>
  <c r="H54" i="34" s="1"/>
  <c r="D3" i="37"/>
  <c r="D19" i="11"/>
  <c r="C19" i="11" s="1"/>
  <c r="C20" i="11" s="1"/>
  <c r="C28" i="11" s="1"/>
  <c r="C27" i="11"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D24" i="6"/>
  <c r="D20" i="6"/>
  <c r="M19" i="9"/>
  <c r="C118" i="9" s="1"/>
  <c r="B2" i="74" s="1"/>
  <c r="D26" i="6"/>
  <c r="D8" i="6"/>
  <c r="D14"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4" i="67"/>
  <c r="C34" i="69"/>
  <c r="C17" i="67"/>
  <c r="D10" i="69"/>
  <c r="C19" i="71" l="1"/>
  <c r="D20" i="71"/>
  <c r="U20" i="71" s="1"/>
  <c r="T20" i="71"/>
  <c r="D37" i="11"/>
  <c r="D14" i="12"/>
  <c r="D17" i="12" s="1"/>
  <c r="C17" i="12" s="1"/>
  <c r="D3" i="34"/>
  <c r="C25" i="11"/>
  <c r="H22" i="6"/>
  <c r="D6"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71" l="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E48"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R49" i="21" l="1"/>
  <c r="W7" i="35"/>
  <c r="D16" i="71"/>
  <c r="U16" i="71" s="1"/>
  <c r="C15" i="71"/>
  <c r="T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3" i="71" l="1"/>
  <c r="C12" i="71"/>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0" i="9"/>
  <c r="D2" i="34"/>
  <c r="D2" i="37"/>
  <c r="D12" i="71" l="1"/>
  <c r="U12" i="71" s="1"/>
  <c r="C11" i="71"/>
  <c r="T12" i="7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AO7" i="1"/>
  <c r="AO12" i="1"/>
  <c r="AO8" i="1"/>
  <c r="AO9"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6" i="71" l="1"/>
  <c r="C5" i="71"/>
  <c r="D5" i="71" s="1"/>
  <c r="M24" i="43" s="1"/>
  <c r="C6" i="69"/>
  <c r="C7" i="69" l="1"/>
  <c r="C5" i="69" s="1"/>
  <c r="C23" i="69" l="1"/>
  <c r="C20" i="69"/>
  <c r="C28" i="69" l="1"/>
  <c r="C27" i="69" s="1"/>
  <c r="C25" i="69"/>
  <c r="C22" i="69" s="1"/>
  <c r="C31" i="69" s="1"/>
  <c r="C52" i="69" s="1"/>
  <c r="B2" i="69" l="1"/>
  <c r="C57" i="69"/>
  <c r="C56" i="69" s="1"/>
  <c r="C19" i="9"/>
  <c r="C102" i="9" l="1"/>
  <c r="C21" i="9"/>
  <c r="G19" i="9"/>
  <c r="D22" i="9"/>
  <c r="B3" i="69"/>
  <c r="G21" i="9" l="1"/>
  <c r="D14" i="74"/>
  <c r="C20" i="9"/>
  <c r="C103" i="9" l="1"/>
  <c r="G20" i="9"/>
  <c r="C32" i="9" s="1"/>
  <c r="E14" i="74"/>
  <c r="F14" i="74"/>
  <c r="B5" i="74"/>
  <c r="C35" i="9" l="1"/>
  <c r="C34" i="9" s="1"/>
  <c r="D5" i="74"/>
  <c r="I4" i="52"/>
  <c r="C105" i="9"/>
  <c r="B20" i="72"/>
  <c r="B31" i="72"/>
  <c r="B48" i="72"/>
  <c r="D52" i="9"/>
  <c r="D53" i="9"/>
  <c r="N58" i="9"/>
  <c r="P57" i="9"/>
  <c r="N60" i="9"/>
  <c r="N59" i="9"/>
  <c r="N61" i="9"/>
  <c r="C5" i="74"/>
  <c r="C68" i="9"/>
  <c r="D54" i="9"/>
  <c r="E81" i="9"/>
  <c r="D8" i="52"/>
  <c r="E4" i="52"/>
  <c r="B30" i="72"/>
  <c r="M48" i="9"/>
  <c r="C104" i="9"/>
  <c r="H4" i="52"/>
  <c r="C81" i="9"/>
  <c r="D15" i="53"/>
  <c r="C6" i="74"/>
  <c r="D5" i="53"/>
  <c r="D6" i="53"/>
  <c r="B22" i="72"/>
  <c r="C78" i="9"/>
  <c r="C73" i="9"/>
  <c r="B49" i="72"/>
  <c r="H102" i="9"/>
  <c r="D7" i="53"/>
  <c r="B21" i="72"/>
  <c r="D56" i="9"/>
  <c r="M54" i="9"/>
  <c r="H108" i="9"/>
  <c r="F4" i="52"/>
  <c r="B51" i="72"/>
  <c r="C80" i="9"/>
  <c r="E80" i="9"/>
  <c r="D122" i="9"/>
  <c r="D123" i="9"/>
  <c r="D9" i="52"/>
  <c r="C97" i="9"/>
  <c r="D58" i="9"/>
  <c r="C64" i="9"/>
  <c r="C63" i="9"/>
  <c r="C67" i="9"/>
  <c r="D59" i="9"/>
  <c r="M55" i="9"/>
  <c r="E97" i="9"/>
  <c r="C93" i="9"/>
  <c r="C86" i="9"/>
  <c r="H107" i="9"/>
  <c r="D13" i="53"/>
  <c r="D14" i="53"/>
  <c r="B32" i="72"/>
  <c r="C72" i="9"/>
  <c r="C79" i="9"/>
  <c r="F119" i="9"/>
  <c r="F5" i="52"/>
  <c r="B53" i="72"/>
  <c r="F118" i="9"/>
  <c r="G118" i="9"/>
  <c r="G4" i="52"/>
  <c r="B52" i="72"/>
  <c r="C85" i="9"/>
  <c r="C95" i="9"/>
  <c r="C96" i="9"/>
  <c r="E96" i="9"/>
  <c r="D119" i="9"/>
  <c r="D5" i="52"/>
  <c r="E118" i="9"/>
  <c r="D118" i="9"/>
  <c r="D4" i="52"/>
  <c r="B47" i="72"/>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刘朝阳</author>
    <author>vampire</author>
  </authors>
  <commentList>
    <comment ref="AW102" authorId="0" shapeId="0">
      <text>
        <r>
          <rPr>
            <b/>
            <sz val="9"/>
            <color indexed="81"/>
            <rFont val="宋体"/>
            <family val="3"/>
            <charset val="134"/>
          </rPr>
          <t>填写交易证明的类型，分为商品房合同、预售契约、买卖契约、认购书。</t>
        </r>
      </text>
    </comment>
    <comment ref="AX10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02" authorId="0" shapeId="0">
      <text>
        <r>
          <rPr>
            <b/>
            <sz val="9"/>
            <color indexed="81"/>
            <rFont val="宋体"/>
            <family val="3"/>
            <charset val="134"/>
          </rPr>
          <t>填写数值型数据，保留小数点后一位。</t>
        </r>
      </text>
    </comment>
    <comment ref="BG102" authorId="0" shapeId="0">
      <text>
        <r>
          <rPr>
            <b/>
            <sz val="9"/>
            <color indexed="81"/>
            <rFont val="宋体"/>
            <family val="3"/>
            <charset val="134"/>
          </rPr>
          <t>此项填写合同日期，无合同日期填写预售登记日期，均无则在备注中注明</t>
        </r>
      </text>
    </comment>
    <comment ref="BH102" authorId="0" shapeId="0">
      <text>
        <r>
          <rPr>
            <b/>
            <sz val="9"/>
            <color indexed="81"/>
            <rFont val="宋体"/>
            <family val="3"/>
            <charset val="134"/>
          </rPr>
          <t>在补充过程中发现合同遗漏的项目，不能正常补充的需注明。</t>
        </r>
      </text>
    </comment>
    <comment ref="BL102" authorId="1" shapeId="0">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<sst xmlns="http://schemas.openxmlformats.org/spreadsheetml/2006/main" count="8726" uniqueCount="4005">
  <si>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</si>
  <si>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</si>
  <si>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</si>
  <si>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</si>
  <si>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</si>
  <si>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</si>
  <si>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</si>
  <si>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</si>
  <si>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</si>
  <si>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</si>
  <si>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</si>
  <si>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</si>
  <si>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</si>
  <si>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</si>
  <si>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</si>
  <si>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</si>
  <si>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</si>
  <si>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</si>
  <si>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</si>
  <si>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</si>
  <si>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</si>
  <si>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</si>
  <si>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</si>
  <si>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</si>
  <si>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</si>
  <si>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</si>
  <si>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</si>
  <si>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</si>
  <si>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</si>
  <si>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</si>
  <si>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</si>
  <si>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</si>
  <si>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</si>
  <si>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</si>
  <si>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</si>
  <si>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</si>
  <si>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</si>
  <si>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</si>
  <si>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</si>
  <si>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</si>
  <si>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</si>
  <si>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</si>
  <si>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</si>
  <si>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</si>
  <si>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</si>
  <si>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</si>
  <si>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</si>
  <si>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</si>
  <si>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</si>
  <si>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</si>
  <si>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</si>
  <si>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</si>
  <si>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</si>
  <si>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</si>
  <si>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</si>
  <si>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</si>
  <si>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</si>
  <si>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</si>
  <si>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</si>
  <si>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</si>
  <si>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</si>
  <si>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</si>
  <si>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</si>
  <si>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</si>
  <si>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</si>
  <si>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</si>
  <si>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</si>
  <si>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</si>
  <si>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</si>
  <si>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</si>
  <si>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</si>
  <si>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</si>
  <si>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</si>
  <si>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</si>
  <si>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</si>
  <si>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</si>
  <si>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</si>
  <si>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</si>
  <si>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</si>
  <si>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</si>
  <si>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</si>
  <si>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</si>
  <si>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</si>
  <si>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</si>
  <si>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</si>
  <si>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</si>
  <si>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</si>
  <si>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</si>
  <si>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</si>
  <si>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</si>
  <si>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</si>
  <si>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</si>
  <si>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</si>
  <si>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</si>
  <si>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</si>
  <si>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</si>
  <si>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</si>
  <si>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</si>
  <si>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</si>
  <si>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</si>
  <si>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</si>
  <si>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</si>
  <si>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</si>
  <si>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</si>
  <si>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</si>
  <si>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</si>
  <si>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</si>
  <si>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</si>
  <si>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</si>
  <si>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</si>
  <si>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</si>
  <si>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</si>
  <si>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</si>
  <si>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</si>
  <si>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</si>
  <si>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</si>
  <si>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</si>
  <si>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</si>
  <si>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</si>
  <si>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</si>
  <si>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</si>
  <si>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</si>
  <si>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</si>
  <si>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</si>
  <si>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</si>
  <si>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</si>
  <si>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</si>
  <si>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</si>
  <si>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</si>
  <si>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</si>
  <si>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</si>
  <si>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</si>
  <si>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</si>
  <si>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</si>
  <si>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</si>
  <si>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</si>
  <si>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</si>
  <si>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</si>
  <si>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</si>
  <si>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</si>
  <si>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</si>
  <si>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</si>
  <si>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</si>
  <si>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</si>
  <si>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</si>
  <si>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</si>
  <si>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</si>
  <si>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</si>
  <si>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</si>
  <si>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</si>
  <si>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</si>
  <si>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</si>
  <si>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</si>
  <si>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</si>
  <si>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</si>
  <si>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</si>
  <si>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</si>
  <si>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</si>
  <si>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</si>
  <si>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</si>
  <si>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</si>
  <si>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</si>
  <si>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</si>
  <si>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</si>
  <si>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</si>
  <si>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</si>
  <si>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</si>
  <si>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</si>
  <si>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</si>
  <si>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</si>
  <si>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</si>
  <si>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</si>
  <si>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</si>
  <si>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</si>
  <si>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</si>
  <si>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</si>
  <si>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</si>
  <si>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</si>
  <si>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</si>
  <si>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</si>
  <si>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</si>
  <si>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</si>
  <si>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</si>
  <si>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</si>
  <si>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</si>
  <si>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</si>
  <si>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</si>
  <si>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</si>
  <si>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</si>
  <si>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</si>
  <si>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</si>
  <si>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</si>
  <si>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</si>
  <si>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</si>
  <si>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</si>
  <si>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</si>
  <si>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</si>
  <si>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</si>
  <si>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</si>
  <si>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</si>
  <si>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</si>
  <si>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</si>
  <si>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</si>
  <si>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</si>
  <si>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</si>
  <si>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</si>
  <si>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</si>
  <si>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</si>
  <si>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</si>
  <si>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</si>
  <si>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</si>
  <si>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</si>
  <si>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</si>
  <si>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</si>
  <si>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</si>
  <si>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</si>
  <si>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</si>
  <si>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</si>
  <si>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</si>
  <si>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</si>
  <si>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</si>
  <si>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</si>
  <si>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</si>
  <si>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</si>
  <si>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</si>
  <si>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</si>
  <si>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</si>
  <si>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</si>
  <si>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</si>
  <si>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</si>
  <si>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</si>
  <si>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</si>
  <si>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</si>
  <si>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</si>
  <si>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</si>
  <si>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</si>
  <si>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</si>
  <si>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</si>
  <si>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</si>
  <si>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</si>
  <si>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</si>
  <si>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</si>
  <si>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</si>
  <si>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</si>
  <si>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</si>
  <si>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</si>
  <si>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</si>
  <si>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</si>
  <si>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</si>
  <si>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</si>
  <si>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</si>
  <si>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</si>
  <si>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</si>
  <si>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</si>
  <si>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</si>
  <si>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</si>
  <si>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</si>
  <si>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</si>
  <si>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</si>
  <si>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</si>
  <si>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</si>
  <si>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</si>
  <si>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</si>
  <si>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</si>
  <si>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</si>
  <si>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</si>
  <si>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</si>
  <si>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</si>
  <si>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</si>
  <si>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</si>
  <si>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</si>
  <si>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</si>
  <si>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</si>
  <si>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</si>
  <si>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</si>
  <si>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</si>
  <si>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</si>
  <si>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</si>
  <si>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</si>
  <si>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</si>
  <si>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</si>
  <si>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</si>
  <si>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</si>
  <si>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</si>
  <si>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</si>
  <si>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</si>
  <si>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</si>
  <si>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</si>
  <si>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</si>
  <si>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</si>
  <si>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</si>
  <si>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</si>
  <si>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</si>
  <si>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</si>
  <si>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</si>
  <si>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</si>
  <si>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</si>
  <si>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</si>
  <si>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</si>
  <si>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</si>
  <si>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</si>
  <si>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</si>
  <si>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</si>
  <si>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</si>
  <si>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</si>
  <si>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</si>
  <si>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</si>
  <si>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</si>
  <si>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</si>
  <si>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</si>
  <si>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</si>
  <si>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</si>
  <si>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</si>
  <si>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</si>
  <si>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</si>
  <si>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</si>
  <si>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</si>
  <si>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</si>
  <si>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</si>
  <si>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</si>
  <si>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</si>
  <si>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</si>
  <si>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</si>
  <si>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</si>
  <si>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</si>
  <si>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</si>
  <si>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</si>
  <si>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</si>
  <si>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</si>
  <si>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</si>
  <si>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</si>
  <si>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</si>
  <si>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</si>
  <si>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</si>
  <si>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</si>
  <si>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</si>
  <si>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</si>
  <si>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</si>
  <si>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</si>
  <si>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</si>
  <si>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</si>
  <si>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</si>
  <si>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</si>
  <si>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</si>
  <si>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</si>
  <si>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</si>
  <si>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</si>
  <si>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</si>
  <si>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</si>
  <si>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</si>
  <si>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</si>
  <si>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</si>
  <si>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</si>
  <si>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</si>
  <si>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</si>
  <si>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</si>
  <si>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</si>
  <si>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</si>
  <si>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</si>
  <si>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</si>
  <si>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</si>
  <si>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</si>
  <si>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</si>
  <si>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</si>
  <si>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</si>
  <si>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</si>
  <si>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</si>
  <si>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</si>
  <si>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</si>
  <si>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</si>
  <si>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</si>
  <si>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</si>
  <si>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</si>
  <si>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</si>
  <si>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</si>
  <si>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</si>
  <si>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</si>
  <si>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</si>
  <si>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</si>
  <si>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</si>
  <si>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</si>
  <si>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</si>
  <si>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</si>
  <si>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</si>
  <si>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</si>
  <si>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</si>
  <si>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</si>
  <si>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</si>
  <si>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</si>
  <si>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</si>
  <si>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</si>
  <si>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</si>
  <si>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</si>
  <si>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</si>
  <si>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</si>
  <si>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</si>
  <si>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</si>
  <si>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</si>
  <si>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</si>
  <si>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</si>
  <si>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</si>
  <si>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</si>
  <si>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</si>
  <si>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</si>
  <si>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</si>
  <si>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</si>
  <si>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</si>
  <si>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</si>
  <si>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</si>
  <si>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</si>
  <si>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</si>
  <si>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</si>
  <si>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</si>
  <si>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</si>
  <si>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</si>
  <si>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</si>
  <si>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</si>
  <si>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</si>
  <si>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</si>
  <si>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</si>
  <si>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</si>
  <si>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</si>
  <si>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</si>
  <si>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</si>
  <si>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</si>
  <si>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</si>
  <si>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</si>
  <si>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</si>
  <si>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</si>
  <si>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</si>
  <si>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</si>
  <si>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</si>
  <si>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</si>
  <si>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</si>
  <si>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</si>
  <si>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</si>
  <si>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</si>
  <si>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</si>
  <si>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</si>
  <si>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</si>
  <si>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</si>
  <si>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</si>
  <si>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</si>
  <si>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</si>
  <si>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</si>
  <si>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</si>
  <si>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</si>
  <si>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</si>
  <si>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</si>
  <si>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</si>
  <si>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</si>
  <si>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</si>
  <si>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</si>
  <si>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</si>
  <si>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</si>
  <si>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</si>
  <si>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</si>
  <si>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</si>
  <si>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</si>
  <si>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</si>
  <si>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</si>
  <si>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</si>
  <si>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</si>
  <si>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</si>
  <si>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</si>
  <si>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</si>
  <si>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</si>
  <si>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</si>
  <si>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</si>
  <si>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</si>
  <si>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</si>
  <si>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</si>
  <si>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</si>
  <si>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</si>
  <si>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</si>
  <si>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</si>
  <si>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</si>
  <si>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</si>
  <si>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</si>
  <si>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</si>
  <si>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</si>
  <si>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</si>
  <si>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</si>
  <si>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</si>
  <si>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</si>
  <si>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</si>
  <si>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</si>
  <si>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</si>
  <si>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</si>
  <si>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</si>
  <si>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</si>
  <si>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</si>
  <si>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</si>
  <si>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</si>
  <si>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</si>
  <si>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</si>
  <si>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</si>
  <si>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</si>
  <si>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</si>
  <si>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</si>
  <si>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</si>
  <si>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</si>
  <si>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</si>
  <si>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</si>
  <si>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</si>
  <si>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</si>
  <si>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</si>
  <si>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</si>
  <si>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</si>
  <si>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</si>
  <si>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</si>
  <si>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</si>
  <si>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</si>
  <si>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</si>
  <si>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</si>
  <si>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</si>
  <si>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</si>
  <si>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</si>
  <si>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</si>
  <si>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</si>
  <si>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</si>
  <si>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</si>
  <si>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</si>
  <si>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</si>
  <si>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</si>
  <si>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</si>
  <si>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</si>
  <si>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</si>
  <si>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</si>
  <si>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</si>
  <si>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</si>
  <si>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</si>
  <si>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</si>
  <si>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</si>
  <si>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</si>
  <si>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</si>
  <si>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</si>
  <si>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</si>
  <si>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</si>
  <si>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</si>
  <si>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</si>
  <si>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</si>
  <si>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</si>
  <si>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</si>
  <si>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</si>
  <si>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</si>
  <si>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</si>
  <si>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</si>
  <si>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</si>
  <si>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</si>
  <si>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</si>
  <si>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</si>
  <si>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</si>
  <si>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</si>
  <si>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</si>
  <si>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</si>
  <si>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</si>
  <si>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</si>
  <si>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</si>
  <si>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</si>
  <si>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</si>
  <si>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</si>
  <si>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</si>
  <si>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</si>
  <si>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</si>
  <si>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</si>
  <si>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</si>
  <si>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</si>
  <si>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</si>
  <si>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</si>
  <si>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</si>
  <si>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</si>
  <si>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</si>
  <si>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</si>
  <si>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</si>
  <si>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</si>
  <si>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</si>
  <si>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</si>
  <si>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</si>
  <si>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</si>
  <si>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</si>
  <si>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</si>
  <si>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</si>
  <si>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</si>
  <si>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</si>
  <si>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</si>
  <si>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</si>
  <si>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</si>
  <si>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</si>
  <si>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</si>
  <si>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</si>
  <si>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</si>
  <si>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</si>
  <si>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</si>
  <si>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</si>
  <si>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</si>
  <si>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</si>
  <si>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</si>
  <si>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</si>
  <si>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</si>
  <si>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</si>
  <si>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</si>
  <si>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</si>
  <si>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</si>
  <si>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</si>
  <si>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</si>
  <si>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</si>
  <si>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</si>
  <si>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</si>
  <si>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</si>
  <si>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</si>
  <si>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</si>
  <si>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</si>
  <si>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</si>
  <si>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</si>
  <si>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</si>
  <si>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</si>
  <si>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</si>
  <si>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</si>
  <si>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</si>
  <si>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</si>
  <si>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</si>
  <si>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</si>
  <si>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</si>
  <si>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</si>
  <si>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</si>
  <si>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</si>
  <si>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</si>
  <si>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</si>
  <si>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</si>
  <si>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</si>
  <si>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</si>
  <si>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</si>
  <si>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</si>
  <si>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</si>
  <si>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</si>
  <si>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</si>
  <si>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</si>
  <si>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</si>
  <si>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</si>
  <si>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</si>
  <si>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</si>
  <si>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</si>
  <si>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</si>
  <si>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</si>
  <si>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</si>
  <si>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</si>
  <si>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</si>
  <si>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</si>
  <si>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</si>
  <si>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</si>
  <si>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</si>
  <si>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</si>
  <si>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</si>
  <si>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</si>
  <si>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</si>
  <si>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</si>
  <si>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</si>
  <si>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</si>
  <si>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</si>
  <si>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</si>
  <si>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</si>
  <si>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</si>
  <si>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</si>
  <si>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</si>
  <si>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</si>
  <si>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</si>
  <si>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</si>
  <si>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</si>
  <si>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</si>
  <si>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</si>
  <si>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</si>
  <si>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</si>
  <si>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</si>
  <si>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</si>
  <si>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</si>
  <si>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</si>
  <si>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</si>
  <si>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</si>
  <si>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</si>
  <si>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</si>
  <si>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</si>
  <si>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</si>
  <si>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</si>
  <si>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</si>
  <si>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</si>
  <si>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</si>
  <si>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</si>
  <si>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</si>
  <si>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</si>
  <si>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</si>
  <si>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</si>
  <si>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</si>
  <si>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</si>
  <si>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</si>
  <si>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</si>
  <si>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</si>
  <si>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</si>
  <si>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</si>
  <si>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</si>
  <si>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</si>
  <si>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</si>
  <si>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</si>
  <si>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</si>
  <si>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</si>
  <si>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</si>
  <si>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</si>
  <si>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</si>
  <si>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</si>
  <si>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</si>
  <si>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</si>
  <si>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</si>
  <si>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</si>
  <si>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</si>
  <si>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</si>
  <si>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</si>
  <si>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</si>
  <si>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</si>
  <si>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</si>
  <si>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</si>
  <si>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</si>
  <si>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</si>
  <si>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</si>
  <si>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</si>
  <si>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</si>
  <si>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</si>
  <si>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</si>
  <si>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</si>
  <si>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</si>
  <si>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</si>
  <si>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</si>
  <si>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</si>
  <si>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</si>
  <si>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</si>
  <si>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</si>
  <si>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</si>
  <si>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</si>
  <si>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</si>
  <si>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</si>
  <si>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</si>
  <si>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</si>
  <si>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</si>
  <si>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</si>
  <si>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</si>
  <si>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</si>
  <si>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</si>
  <si>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</si>
  <si>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</si>
  <si>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</si>
  <si>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</si>
  <si>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</si>
  <si>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</si>
  <si>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</si>
  <si>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</si>
  <si>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</si>
  <si>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</si>
  <si>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</si>
  <si>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</si>
  <si>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</si>
  <si>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</si>
  <si>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</si>
  <si>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</si>
  <si>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</si>
  <si>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</si>
  <si>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</si>
  <si>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</si>
  <si>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</si>
  <si>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</si>
  <si>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</si>
  <si>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</si>
  <si>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</si>
  <si>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</si>
  <si>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</si>
  <si>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</si>
  <si>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</si>
  <si>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</si>
  <si>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</si>
  <si>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</si>
  <si>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</si>
  <si>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</si>
  <si>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</si>
  <si>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</si>
  <si>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</si>
  <si>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</si>
  <si>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</si>
  <si>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</si>
  <si>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</si>
  <si>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</si>
  <si>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</si>
  <si>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</si>
  <si>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</si>
  <si>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</si>
  <si>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</si>
  <si>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</si>
  <si>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</si>
  <si>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</si>
  <si>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</si>
  <si>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</si>
  <si>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</si>
  <si>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</si>
  <si>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</si>
  <si>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</si>
  <si>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</si>
  <si>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</si>
  <si>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</si>
  <si>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</si>
  <si>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</si>
  <si>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</si>
  <si>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</si>
  <si>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</si>
  <si>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</si>
  <si>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</si>
  <si>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</si>
  <si>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</si>
  <si>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</si>
  <si>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</si>
  <si>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</si>
  <si>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</si>
  <si>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</si>
  <si>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</si>
  <si>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</si>
  <si>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</si>
  <si>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</si>
  <si>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</si>
  <si>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</si>
  <si>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</si>
  <si>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</si>
  <si>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</si>
  <si>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</si>
  <si>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</si>
  <si>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</si>
  <si>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</si>
  <si>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</si>
  <si>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</si>
  <si>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</si>
  <si>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</si>
  <si>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</si>
  <si>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</si>
  <si>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</si>
  <si>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</si>
  <si>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</si>
  <si>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</si>
  <si>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</si>
  <si>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</si>
  <si>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</si>
  <si>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</si>
  <si>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</si>
  <si>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</si>
  <si>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</si>
  <si>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</si>
  <si>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</si>
  <si>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</si>
  <si>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</si>
  <si>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</si>
  <si>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</si>
  <si>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</si>
  <si>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</si>
  <si>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</si>
  <si>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</si>
  <si>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</si>
  <si>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</si>
  <si>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</si>
  <si>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</si>
  <si>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</si>
  <si>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</si>
  <si>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</si>
  <si>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</si>
  <si>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</si>
  <si>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</si>
  <si>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</si>
  <si>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</si>
  <si>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</si>
  <si>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</si>
  <si>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</si>
  <si>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</si>
  <si>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</si>
  <si>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</si>
  <si>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</si>
  <si>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</si>
  <si>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</si>
  <si>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</si>
  <si>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</si>
  <si>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</si>
  <si>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</si>
  <si>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</si>
  <si>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</si>
  <si>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</si>
  <si>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</si>
  <si>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</si>
  <si>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</si>
  <si>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</si>
  <si>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</si>
  <si>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</si>
  <si>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</si>
  <si>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</si>
  <si>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</si>
  <si>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</si>
  <si>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</si>
  <si>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</si>
  <si>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</si>
  <si>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</si>
  <si>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</si>
  <si>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</si>
  <si>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</si>
  <si>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</si>
  <si>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</si>
  <si>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</si>
  <si>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</si>
  <si>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</si>
  <si>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</si>
  <si>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</si>
  <si>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</si>
  <si>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</si>
  <si>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</si>
  <si>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</si>
  <si>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</si>
  <si>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</si>
  <si>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</si>
  <si>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</si>
  <si>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</si>
  <si>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</si>
  <si>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</si>
  <si>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</si>
  <si>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</si>
  <si>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</si>
  <si>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</si>
  <si>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</si>
  <si>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</si>
  <si>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</si>
  <si>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</si>
  <si>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</si>
  <si>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</si>
  <si>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</si>
  <si>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</si>
  <si>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</si>
  <si>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</si>
  <si>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</si>
  <si>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</si>
  <si>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</si>
  <si>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</si>
  <si>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</si>
  <si>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</si>
  <si>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</si>
  <si>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</si>
  <si>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</si>
  <si>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</si>
  <si>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</si>
  <si>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</si>
  <si>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</si>
  <si>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</si>
  <si>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</si>
  <si>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</si>
  <si>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</si>
  <si>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</si>
  <si>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</si>
  <si>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</si>
  <si>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</si>
  <si>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</si>
  <si>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</si>
  <si>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</si>
  <si>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</si>
  <si>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</si>
  <si>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</si>
  <si>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</si>
  <si>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</si>
  <si>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</si>
  <si>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</si>
  <si>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</si>
  <si>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</si>
  <si>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</si>
  <si>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</si>
  <si>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</si>
  <si>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</si>
  <si>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</si>
  <si>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</si>
  <si>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</si>
  <si>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</si>
  <si>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</si>
  <si>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</si>
  <si>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</si>
  <si>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</si>
  <si>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</si>
  <si>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</si>
  <si>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</si>
  <si>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</si>
  <si>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</si>
  <si>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</si>
  <si>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</si>
  <si>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</si>
  <si>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</si>
  <si>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</si>
  <si>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</si>
  <si>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</si>
  <si>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</si>
  <si>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</si>
  <si>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</si>
  <si>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</si>
  <si>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</si>
  <si>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</si>
  <si>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</si>
  <si>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</si>
  <si>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</si>
  <si>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</si>
  <si>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</si>
  <si>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</si>
  <si>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</si>
  <si>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</si>
  <si>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</si>
  <si>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</si>
  <si>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</si>
  <si>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</si>
  <si>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</si>
  <si>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</si>
  <si>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</si>
  <si>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</si>
  <si>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</si>
  <si>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</si>
  <si>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</si>
  <si>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</si>
  <si>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</si>
  <si>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</si>
  <si>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</si>
  <si>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</si>
  <si>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</si>
  <si>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</si>
  <si>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</si>
  <si>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</si>
  <si>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</si>
  <si>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</si>
  <si>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</si>
  <si>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</si>
  <si>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</si>
  <si>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</si>
  <si>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</si>
  <si>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</si>
  <si>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</si>
  <si>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</si>
  <si>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</si>
  <si>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</si>
  <si>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</si>
  <si>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</si>
  <si>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</si>
  <si>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</si>
  <si>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</si>
  <si>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</si>
  <si>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</si>
  <si>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</si>
  <si>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</si>
  <si>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</si>
  <si>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</si>
  <si>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</si>
  <si>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</si>
  <si>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</si>
  <si>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</si>
  <si>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</si>
  <si>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</si>
  <si>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</si>
  <si>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</si>
  <si>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</si>
  <si>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</si>
  <si>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</si>
  <si>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</si>
  <si>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</si>
  <si>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</si>
  <si>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</si>
  <si>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</si>
  <si>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</si>
  <si>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</si>
  <si>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</si>
  <si>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</si>
  <si>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</si>
  <si>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</si>
  <si>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</si>
  <si>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</si>
  <si>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</si>
  <si>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</si>
  <si>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</si>
  <si>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</si>
  <si>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</si>
  <si>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</si>
  <si>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</si>
  <si>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</si>
  <si>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</si>
  <si>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</si>
  <si>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</si>
  <si>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</si>
  <si>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</si>
  <si>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</si>
  <si>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</si>
  <si>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</si>
  <si>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</si>
  <si>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</si>
  <si>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</si>
  <si>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</si>
  <si>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</si>
  <si>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</si>
  <si>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</si>
  <si>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</si>
  <si>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</si>
  <si>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</si>
  <si>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</si>
  <si>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</si>
  <si>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</si>
  <si>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</si>
  <si>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</si>
  <si>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</si>
  <si>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</si>
  <si>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</si>
  <si>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</si>
  <si>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</si>
  <si>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</si>
  <si>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</si>
  <si>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</si>
  <si>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</si>
  <si>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</si>
  <si>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</si>
  <si>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</si>
  <si>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</si>
  <si>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</si>
  <si>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</si>
  <si>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</si>
  <si>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</si>
  <si>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</si>
  <si>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</si>
  <si>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</si>
  <si>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</si>
  <si>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</si>
  <si>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</si>
  <si>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</si>
  <si>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</si>
  <si>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</si>
  <si>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</si>
  <si>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</si>
  <si>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</si>
  <si>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</si>
  <si>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</si>
  <si>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</si>
  <si>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</si>
  <si>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</si>
  <si>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</si>
  <si>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</si>
  <si>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</si>
  <si>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</si>
  <si>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</si>
  <si>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</si>
  <si>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</si>
  <si>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</si>
  <si>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</si>
  <si>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</si>
  <si>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</si>
  <si>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</si>
  <si>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</si>
  <si>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</si>
  <si>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</si>
  <si>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</si>
  <si>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</si>
  <si>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</si>
  <si>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</si>
  <si>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</si>
  <si>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</si>
  <si>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</si>
  <si>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</si>
  <si>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</si>
  <si>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</si>
  <si>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</si>
  <si>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</si>
  <si>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</si>
  <si>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</si>
  <si>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</si>
  <si>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</si>
  <si>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</si>
  <si>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</si>
  <si>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</si>
  <si>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</si>
  <si>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</si>
  <si>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</si>
  <si>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</si>
  <si>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</si>
  <si>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</si>
  <si>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</si>
  <si>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</si>
  <si>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</si>
  <si>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</si>
  <si>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</si>
  <si>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</si>
  <si>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</si>
  <si>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</si>
  <si>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</si>
  <si>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</si>
  <si>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</si>
  <si>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</si>
  <si>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</si>
  <si>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</si>
  <si>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</si>
  <si>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</si>
  <si>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</si>
  <si>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</si>
  <si>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</si>
  <si>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</si>
  <si>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</si>
  <si>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</si>
  <si>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</si>
  <si>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</si>
  <si>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</si>
  <si>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</si>
  <si>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</si>
  <si>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</si>
  <si>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</si>
  <si>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</si>
  <si>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</si>
  <si>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</si>
  <si>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</si>
  <si>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</si>
  <si>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</si>
  <si>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</si>
  <si>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</si>
  <si>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</si>
  <si>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</si>
  <si>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</si>
  <si>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</si>
  <si>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</si>
  <si>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</si>
  <si>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</si>
  <si>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</si>
  <si>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</si>
  <si>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</si>
  <si>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</si>
  <si>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</si>
  <si>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</si>
  <si>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</si>
  <si>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</si>
  <si>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</si>
  <si>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</si>
  <si>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</si>
  <si>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</si>
  <si>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</si>
  <si>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</si>
  <si>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</si>
  <si>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</si>
  <si>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</si>
  <si>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</si>
  <si>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</si>
  <si>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</si>
  <si>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</si>
  <si>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</si>
  <si>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</si>
  <si>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</si>
  <si>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</si>
  <si>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</si>
  <si>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</si>
  <si>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</si>
  <si>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</si>
  <si>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</si>
  <si>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</si>
  <si>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</si>
  <si>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</si>
  <si>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</si>
  <si>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</si>
  <si>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</si>
  <si>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</si>
  <si>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</si>
  <si>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</si>
  <si>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</si>
  <si>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</si>
  <si>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</si>
  <si>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</si>
  <si>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</si>
  <si>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</si>
  <si>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</si>
  <si>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</si>
  <si>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</si>
  <si>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</si>
  <si>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</si>
  <si>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</si>
  <si>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</si>
  <si>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</si>
  <si>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</si>
  <si>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</si>
  <si>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</si>
  <si>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</si>
  <si>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</si>
  <si>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</si>
  <si>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</si>
  <si>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</si>
  <si>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</si>
  <si>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</si>
  <si>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</si>
  <si>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</si>
  <si>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</si>
  <si>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</si>
  <si>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</si>
  <si>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</si>
  <si>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</si>
  <si>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</si>
  <si>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</si>
  <si>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</si>
  <si>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</si>
  <si>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</si>
  <si>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</si>
  <si>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</si>
  <si>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</si>
  <si>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</si>
  <si>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</si>
  <si>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</si>
  <si>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</si>
  <si>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</si>
  <si>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</si>
  <si>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</si>
  <si>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</si>
  <si>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</si>
  <si>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</si>
  <si>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</si>
  <si>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</si>
  <si>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</si>
  <si>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</si>
  <si>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</si>
  <si>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</si>
  <si>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</si>
  <si>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</si>
  <si>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</si>
  <si>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</si>
  <si>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</si>
  <si>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</si>
  <si>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</si>
  <si>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</si>
  <si>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</si>
  <si>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</si>
  <si>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</si>
  <si>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</si>
  <si>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</si>
  <si>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</si>
  <si>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</si>
  <si>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</si>
  <si>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</si>
  <si>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</si>
  <si>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</si>
  <si>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</si>
  <si>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</si>
  <si>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</si>
  <si>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</si>
  <si>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</si>
  <si>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</si>
  <si>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</si>
  <si>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</si>
  <si>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</si>
  <si>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</si>
  <si>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</si>
  <si>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</si>
  <si>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</si>
  <si>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</si>
  <si>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</si>
  <si>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</si>
  <si>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</si>
  <si>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</si>
  <si>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</si>
  <si>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</si>
  <si>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</si>
  <si>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</si>
  <si>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</si>
  <si>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</si>
  <si>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</si>
  <si>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</si>
  <si>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</si>
  <si>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</si>
  <si>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</si>
  <si>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</si>
  <si>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</si>
  <si>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</si>
  <si>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</si>
  <si>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</si>
  <si>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</si>
  <si>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</si>
  <si>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</si>
  <si>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</si>
  <si>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</si>
  <si>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</si>
  <si>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</si>
  <si>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</si>
  <si>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</si>
  <si>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</si>
  <si>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</si>
  <si>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</si>
  <si>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</si>
  <si>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</si>
  <si>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</si>
  <si>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</si>
  <si>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</si>
  <si>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</si>
  <si>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</si>
  <si>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</si>
  <si>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</si>
  <si>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</si>
  <si>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</si>
  <si>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</si>
  <si>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</si>
  <si>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</si>
  <si>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</si>
  <si>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</si>
  <si>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</si>
  <si>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</si>
  <si>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</si>
  <si>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</si>
  <si>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</si>
  <si>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</si>
  <si>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</si>
  <si>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</si>
  <si>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</si>
  <si>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</si>
  <si>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</si>
  <si>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</si>
  <si>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</si>
  <si>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</si>
  <si>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</si>
  <si>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</si>
  <si>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</si>
  <si>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</si>
  <si>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</si>
  <si>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</si>
  <si>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</si>
  <si>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</si>
  <si>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</si>
  <si>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</si>
  <si>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</si>
  <si>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</si>
  <si>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</si>
  <si>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</si>
  <si>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</si>
  <si>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</si>
  <si>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</si>
  <si>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</si>
  <si>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</si>
  <si>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</si>
  <si>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</si>
  <si>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</si>
  <si>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</si>
  <si>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</si>
  <si>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</si>
  <si>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</si>
  <si>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</si>
  <si>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</si>
  <si>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</si>
  <si>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</si>
  <si>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</si>
  <si>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</si>
  <si>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</si>
  <si>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</si>
  <si>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</si>
  <si>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</si>
  <si>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</si>
  <si>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</si>
  <si>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</si>
  <si>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</si>
  <si>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</si>
  <si>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</si>
  <si>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</si>
  <si>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</si>
  <si>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</si>
  <si>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</si>
  <si>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</si>
  <si>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</si>
  <si>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</si>
  <si>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</si>
  <si>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</si>
  <si>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</si>
  <si>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</si>
  <si>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</si>
  <si>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</si>
  <si>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</si>
  <si>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</si>
  <si>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</si>
  <si>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</si>
  <si>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</si>
  <si>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</si>
  <si>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</si>
  <si>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</si>
  <si>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</si>
  <si>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</si>
  <si>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</si>
  <si>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</si>
  <si>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</si>
  <si>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</si>
  <si>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</si>
  <si>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</si>
  <si>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</si>
  <si>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</si>
  <si>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</si>
  <si>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</si>
  <si>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</si>
  <si>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</si>
  <si>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</si>
  <si>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</si>
  <si>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</si>
  <si>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</si>
  <si>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</si>
  <si>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</si>
  <si>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</si>
  <si>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</si>
  <si>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</si>
  <si>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</si>
  <si>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</si>
  <si>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</si>
  <si>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</si>
  <si>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</si>
  <si>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</si>
  <si>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</si>
  <si>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</si>
  <si>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</si>
  <si>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</si>
  <si>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</si>
  <si>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</si>
  <si>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</si>
  <si>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</si>
  <si>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</si>
  <si>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</si>
  <si>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</si>
  <si>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</si>
  <si>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</si>
  <si>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</si>
  <si>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</si>
  <si>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</si>
  <si>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</si>
  <si>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</si>
  <si>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</si>
  <si>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</si>
  <si>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</si>
  <si>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</si>
  <si>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</si>
  <si>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</si>
  <si>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</si>
  <si>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</si>
  <si>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</si>
  <si>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</si>
  <si>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</si>
  <si>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</si>
  <si>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</si>
  <si>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</si>
  <si>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</si>
  <si>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</si>
  <si>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</si>
  <si>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</si>
  <si>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</si>
  <si>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</si>
  <si>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</si>
  <si>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</si>
  <si>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</si>
  <si>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</si>
  <si>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</si>
  <si>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</si>
  <si>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</si>
  <si>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</si>
  <si>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</si>
  <si>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</si>
  <si>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</si>
  <si>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</si>
  <si>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</si>
  <si>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</si>
  <si>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</si>
  <si>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</si>
  <si>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</si>
  <si>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</si>
  <si>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</si>
  <si>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</si>
  <si>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</si>
  <si>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</si>
  <si>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</si>
  <si>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</si>
  <si>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</si>
  <si>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</si>
  <si>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</si>
  <si>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</si>
  <si>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</si>
  <si>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</si>
  <si>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</si>
  <si>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</si>
  <si>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</si>
  <si>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</si>
  <si>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</si>
  <si>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</si>
  <si>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</si>
  <si>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</si>
  <si>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</si>
  <si>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</si>
  <si>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</si>
  <si>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</si>
  <si>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</si>
  <si>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</si>
  <si>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</si>
  <si>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</si>
  <si>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</si>
  <si>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</si>
  <si>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</si>
  <si>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</si>
  <si>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</si>
  <si>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</si>
  <si>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</si>
  <si>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</si>
  <si>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</si>
  <si>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</si>
  <si>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</si>
  <si>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</si>
  <si>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</si>
  <si>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</si>
  <si>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</si>
  <si>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</si>
  <si>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</si>
  <si>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</si>
  <si>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</si>
  <si>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</si>
  <si>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</si>
  <si>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</si>
  <si>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</si>
  <si>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</si>
  <si>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</si>
  <si>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</si>
  <si>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</si>
  <si>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</si>
  <si>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</si>
  <si>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</si>
  <si>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</si>
  <si>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</si>
  <si>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</si>
  <si>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</si>
  <si>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</si>
  <si>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</si>
  <si>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</si>
  <si>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</si>
  <si>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</si>
  <si>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</si>
  <si>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</si>
  <si>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</si>
  <si>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</si>
  <si>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</si>
  <si>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</si>
  <si>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</si>
  <si>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</si>
  <si>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</si>
  <si>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</si>
  <si>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</si>
  <si>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</si>
  <si>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</si>
  <si>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</si>
  <si>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</si>
  <si>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</si>
  <si>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</si>
  <si>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</si>
  <si>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</si>
  <si>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</si>
  <si>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</si>
  <si>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</si>
  <si>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</si>
  <si>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</si>
  <si>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</si>
  <si>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</si>
  <si>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</si>
  <si>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</si>
  <si>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</si>
  <si>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</si>
  <si>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</si>
  <si>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</si>
  <si>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</si>
  <si>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</si>
  <si>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</si>
  <si>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</si>
  <si>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</si>
  <si>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</si>
  <si>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</si>
  <si>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</si>
  <si>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</si>
  <si>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</si>
  <si>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</si>
  <si>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</si>
  <si>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</si>
  <si>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</si>
  <si>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</si>
  <si>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</si>
  <si>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</si>
  <si>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</si>
  <si>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</si>
  <si>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</si>
  <si>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</si>
  <si>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</si>
  <si>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</si>
  <si>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</si>
  <si>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</si>
  <si>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</si>
  <si>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</si>
  <si>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</si>
  <si>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</si>
  <si>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</si>
  <si>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</si>
  <si>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</si>
  <si>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</si>
  <si>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</si>
  <si>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</si>
  <si>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</si>
  <si>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</si>
  <si>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</si>
  <si>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</si>
  <si>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</si>
  <si>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</si>
  <si>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</si>
  <si>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</si>
  <si>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</si>
  <si>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</si>
  <si>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</si>
  <si>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</si>
  <si>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</si>
  <si>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</si>
  <si>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</si>
  <si>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</si>
  <si>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</si>
  <si>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</si>
  <si>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</si>
  <si>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</si>
  <si>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</si>
  <si>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</si>
  <si>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</si>
  <si>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</si>
  <si>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</si>
  <si>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</si>
  <si>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</si>
  <si>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</si>
  <si>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</si>
  <si>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</si>
  <si>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</si>
  <si>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</si>
  <si>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</si>
  <si>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</si>
  <si>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</si>
  <si>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</si>
  <si>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</si>
  <si>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</si>
  <si>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</si>
  <si>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</si>
  <si>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</si>
  <si>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</si>
  <si>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</si>
  <si>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</si>
  <si>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</si>
  <si>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</si>
  <si>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</si>
  <si>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</si>
  <si>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</si>
  <si>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</si>
  <si>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</si>
  <si>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</si>
  <si>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</si>
  <si>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</si>
  <si>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</si>
  <si>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</si>
  <si>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</si>
  <si>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</si>
  <si>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</si>
  <si>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</si>
  <si>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</si>
  <si>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</si>
  <si>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</si>
  <si>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</si>
  <si>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</si>
  <si>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</si>
  <si>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</si>
  <si>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</si>
  <si>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</si>
  <si>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</si>
  <si>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</si>
  <si>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</si>
  <si>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</si>
  <si>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</si>
  <si>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</si>
  <si>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</si>
  <si>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</si>
  <si>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</si>
  <si>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</si>
  <si>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</si>
  <si>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</si>
  <si>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</si>
  <si>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</si>
  <si>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</si>
  <si>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</si>
  <si>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</si>
  <si>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</si>
  <si>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</si>
  <si>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</si>
  <si>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</si>
  <si>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</si>
  <si>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</si>
  <si>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</si>
  <si>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</si>
  <si>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</si>
  <si>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</si>
  <si>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</si>
  <si>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</si>
  <si>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</si>
  <si>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</si>
  <si>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</si>
  <si>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</si>
  <si>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</si>
  <si>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</si>
  <si>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</si>
  <si>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</si>
  <si>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</si>
  <si>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</si>
  <si>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</si>
  <si>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</si>
  <si>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</si>
  <si>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</si>
  <si>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</si>
  <si>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</si>
  <si>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</si>
  <si>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</si>
  <si>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</si>
  <si>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</si>
  <si>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</si>
  <si>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</si>
  <si>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</si>
  <si>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</si>
  <si>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</si>
  <si>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</si>
  <si>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</si>
  <si>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</si>
  <si>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</si>
  <si>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</si>
  <si>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</si>
  <si>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</si>
  <si>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</si>
  <si>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</si>
  <si>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</si>
  <si>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</si>
  <si>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</si>
  <si>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</si>
  <si>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</si>
  <si>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</si>
  <si>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</si>
  <si>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</si>
  <si>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</si>
  <si>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</si>
  <si>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</si>
  <si>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</si>
  <si>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</si>
  <si>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</si>
  <si>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</si>
  <si>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</si>
  <si>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</si>
  <si>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</si>
  <si>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</si>
  <si>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</si>
  <si>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</si>
  <si>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</si>
  <si>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</si>
  <si>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</si>
  <si>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</si>
  <si>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</si>
  <si>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</si>
  <si>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</si>
  <si>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</si>
  <si>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</si>
  <si>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</si>
  <si>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</si>
  <si>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</si>
  <si>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</si>
  <si>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</si>
  <si>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</si>
  <si>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</si>
  <si>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</si>
  <si>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</si>
  <si>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</si>
  <si>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</si>
  <si>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</si>
  <si>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</si>
  <si>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</si>
  <si>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</si>
  <si>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</si>
  <si>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</si>
  <si>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</si>
  <si>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</si>
  <si>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</si>
  <si>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</si>
  <si>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</si>
  <si>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</si>
  <si>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</si>
  <si>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</si>
  <si>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</si>
  <si>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</si>
  <si>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</si>
  <si>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</si>
  <si>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</si>
  <si>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</si>
  <si>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</si>
  <si>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</si>
  <si>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</si>
  <si>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</si>
  <si>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</si>
  <si>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</si>
  <si>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</si>
  <si>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</si>
  <si>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</si>
  <si>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</si>
  <si>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</si>
  <si>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</si>
  <si>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</si>
  <si>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</si>
  <si>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</si>
  <si>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</si>
  <si>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</si>
  <si>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</si>
  <si>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</si>
  <si>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</si>
  <si>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</si>
  <si>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</si>
  <si>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</si>
  <si>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</si>
  <si>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</si>
  <si>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</si>
  <si>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</si>
  <si>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</si>
  <si>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</si>
  <si>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</si>
  <si>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</si>
  <si>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</si>
  <si>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</si>
  <si>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</si>
  <si>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</si>
  <si>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</si>
  <si>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</si>
  <si>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</si>
  <si>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</si>
  <si>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</si>
  <si>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</si>
  <si>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</si>
  <si>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</si>
  <si>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</si>
  <si>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</si>
  <si>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</si>
  <si>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</si>
  <si>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</si>
  <si>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</si>
  <si>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</si>
  <si>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</si>
  <si>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</si>
  <si>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</si>
  <si>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</si>
  <si>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</si>
  <si>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</si>
  <si>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</si>
  <si>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</si>
  <si>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</si>
  <si>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</si>
  <si>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</si>
  <si>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</si>
  <si>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</si>
  <si>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</si>
  <si>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</si>
  <si>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</si>
  <si>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</si>
  <si>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</si>
  <si>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</si>
  <si>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</si>
  <si>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</si>
  <si>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</si>
  <si>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</si>
  <si>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</si>
  <si>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</si>
  <si>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</si>
  <si>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</si>
  <si>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</si>
  <si>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</si>
  <si>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</si>
  <si>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</si>
  <si>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</si>
  <si>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</si>
  <si>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</si>
  <si>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</si>
  <si>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</si>
  <si>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</si>
  <si>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</si>
  <si>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</si>
  <si>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</si>
  <si>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</si>
  <si>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</si>
  <si>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</si>
  <si>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</si>
  <si>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</si>
  <si>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</si>
  <si>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</si>
  <si>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</si>
  <si>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</si>
  <si>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</si>
  <si>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</si>
  <si>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</si>
  <si>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</si>
  <si>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</si>
  <si>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</si>
  <si>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</si>
  <si>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</si>
  <si>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</si>
  <si>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</si>
  <si>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</si>
  <si>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</si>
  <si>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</si>
  <si>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</si>
  <si>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</si>
  <si>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</si>
  <si>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</si>
  <si>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</si>
  <si>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</si>
  <si>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</si>
  <si>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</si>
  <si>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</si>
  <si>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</si>
  <si>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</si>
  <si>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</si>
  <si>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</si>
  <si>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</si>
  <si>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</si>
  <si>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</si>
  <si>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</si>
  <si>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</si>
  <si>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</si>
  <si>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</si>
  <si>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</si>
  <si>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</si>
  <si>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</si>
  <si>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</si>
  <si>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</si>
  <si>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</si>
  <si>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</si>
  <si>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</si>
  <si>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</si>
  <si>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</si>
  <si>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</si>
  <si>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</si>
  <si>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</si>
  <si>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</si>
  <si>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</si>
  <si>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</si>
  <si>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</si>
  <si>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</si>
  <si>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</si>
  <si>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</si>
  <si>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</si>
  <si>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</si>
  <si>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</si>
  <si>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</si>
  <si>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</si>
  <si>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</si>
  <si>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</si>
  <si>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</si>
  <si>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</si>
  <si>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</si>
  <si>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</si>
  <si>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</si>
  <si>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</si>
  <si>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</si>
  <si>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</si>
  <si>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</si>
  <si>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</si>
  <si>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</si>
  <si>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</si>
  <si>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</si>
  <si>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</si>
  <si>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</si>
  <si>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</si>
  <si>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</si>
  <si>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</si>
  <si>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</si>
  <si>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</si>
  <si>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</si>
  <si>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</si>
  <si>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</si>
  <si>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</si>
  <si>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</si>
  <si>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</si>
  <si>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</si>
  <si>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</si>
  <si>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</si>
  <si>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</si>
  <si>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</si>
  <si>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</si>
  <si>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</si>
  <si>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</si>
  <si>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</si>
  <si>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</si>
  <si>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</si>
  <si>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</si>
  <si>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</si>
  <si>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</si>
  <si>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</si>
  <si>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</si>
  <si>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</si>
  <si>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</si>
  <si>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</si>
  <si>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</si>
  <si>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</si>
  <si>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</si>
  <si>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</si>
  <si>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</si>
  <si>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</si>
  <si>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</si>
  <si>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</si>
  <si>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</si>
  <si>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</si>
  <si>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</si>
  <si>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</si>
  <si>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</si>
  <si>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</si>
  <si>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</si>
  <si>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</si>
  <si>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</si>
  <si>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</si>
  <si>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</si>
  <si>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</si>
  <si>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</si>
  <si>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</si>
  <si>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</si>
  <si>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</si>
  <si>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</si>
  <si>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</si>
  <si>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</si>
  <si>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</si>
  <si>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</si>
  <si>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</si>
  <si>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</si>
  <si>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</si>
  <si>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</si>
  <si>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</si>
  <si>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</si>
  <si>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</si>
  <si>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</si>
  <si>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</si>
  <si>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</si>
  <si>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</si>
  <si>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</si>
  <si>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</si>
  <si>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</si>
  <si>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</si>
  <si>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</si>
  <si>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</si>
  <si>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</si>
  <si>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</si>
  <si>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</si>
  <si>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</si>
  <si>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</si>
  <si>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</si>
  <si>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</si>
  <si>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</si>
  <si>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</si>
  <si>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</si>
  <si>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</si>
  <si>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</si>
  <si>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</si>
  <si>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</si>
  <si>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</si>
  <si>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</si>
  <si>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</si>
  <si>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</si>
  <si>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</si>
  <si>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</si>
  <si>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</si>
  <si>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</si>
  <si>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</si>
  <si>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</si>
  <si>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</si>
  <si>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</si>
  <si>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</si>
  <si>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</si>
  <si>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</si>
  <si>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</si>
  <si>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</si>
  <si>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</si>
  <si>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</si>
  <si>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</si>
  <si>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</si>
  <si>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</si>
  <si>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</si>
  <si>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</si>
  <si>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</si>
  <si>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</si>
  <si>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</si>
  <si>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</si>
  <si>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</si>
  <si>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</si>
  <si>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</si>
  <si>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</si>
  <si>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</si>
  <si>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</si>
  <si>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</si>
  <si>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</si>
  <si>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</si>
  <si>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</si>
  <si>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</si>
  <si>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</si>
  <si>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</si>
  <si>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</si>
  <si>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</si>
  <si>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</si>
  <si>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</si>
  <si>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</si>
  <si>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</si>
  <si>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</si>
  <si>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</si>
  <si>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</si>
  <si>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</si>
  <si>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</si>
  <si>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</si>
  <si>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</si>
  <si>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</si>
  <si>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</si>
  <si>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</si>
  <si>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</si>
  <si>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</si>
  <si>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</si>
  <si>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</si>
  <si>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</si>
  <si>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</si>
  <si>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</si>
  <si>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</si>
  <si>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</si>
  <si>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</si>
  <si>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</si>
  <si>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</si>
  <si>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</si>
  <si>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</si>
  <si>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</si>
  <si>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</si>
  <si>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</si>
  <si>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</si>
  <si>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</si>
  <si>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</si>
  <si>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</si>
  <si>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</si>
  <si>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</si>
  <si>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</si>
  <si>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</si>
  <si>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</si>
  <si>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</si>
  <si>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</si>
  <si>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</si>
  <si>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</si>
  <si>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</si>
  <si>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</si>
  <si>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</si>
  <si>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</si>
  <si>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</si>
  <si>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</si>
  <si>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</si>
  <si>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</si>
  <si>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</si>
  <si>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</si>
  <si>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</si>
  <si>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</si>
  <si>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</si>
  <si>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</si>
  <si>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</si>
  <si>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</si>
  <si>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</si>
  <si>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</si>
  <si>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</si>
  <si>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</si>
  <si>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</si>
  <si>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</si>
  <si>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</si>
  <si>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</si>
  <si>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</si>
  <si>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</si>
  <si>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</si>
  <si>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</si>
  <si>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</si>
  <si>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</si>
  <si>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</si>
  <si>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</si>
  <si>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</si>
  <si>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</si>
  <si>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</si>
  <si>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</si>
  <si>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</si>
  <si>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</si>
  <si>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</si>
  <si>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</si>
  <si>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</si>
  <si>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</si>
  <si>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</si>
  <si>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</si>
  <si>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</si>
  <si>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</si>
  <si>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</si>
  <si>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</si>
  <si>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</si>
  <si>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</si>
  <si>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</si>
  <si>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</si>
  <si>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</si>
  <si>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</si>
  <si>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</si>
  <si>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</si>
  <si>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</si>
  <si>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</si>
  <si>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</si>
  <si>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</si>
  <si>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</si>
  <si>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</si>
  <si>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</si>
  <si>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</si>
  <si>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</si>
  <si>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</si>
  <si>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</si>
  <si>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</si>
  <si>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</si>
  <si>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</si>
  <si>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</si>
  <si>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</si>
  <si>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</si>
  <si>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</si>
  <si>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</si>
  <si>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</si>
  <si>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</si>
  <si>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</si>
  <si>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</si>
  <si>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</si>
  <si>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</si>
  <si>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</si>
  <si>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</si>
  <si>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</si>
  <si>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</si>
  <si>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</si>
  <si>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</si>
  <si>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</si>
  <si>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</si>
  <si>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</si>
  <si>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</si>
  <si>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</si>
  <si>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</si>
  <si>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</si>
  <si>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</si>
  <si>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</si>
  <si>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</si>
  <si>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</si>
  <si>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</si>
  <si>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</si>
  <si>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</si>
  <si>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</si>
  <si>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</si>
  <si>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</si>
  <si>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</si>
  <si>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</si>
  <si>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</si>
  <si>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</si>
  <si>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</si>
  <si>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</si>
  <si>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</si>
  <si>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</si>
  <si>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</si>
  <si>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</si>
  <si>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</si>
  <si>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</si>
  <si>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</si>
  <si>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</si>
  <si>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</si>
  <si>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</si>
  <si>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</si>
  <si>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</si>
  <si>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</si>
  <si>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</si>
  <si>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</si>
  <si>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</si>
  <si>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</si>
  <si>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</si>
  <si>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</si>
  <si>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</si>
  <si>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</si>
  <si>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</si>
  <si>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</si>
  <si>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</si>
  <si>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</si>
  <si>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</si>
  <si>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</si>
  <si>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</si>
  <si>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</si>
  <si>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</si>
  <si>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</si>
  <si>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</si>
  <si>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</si>
  <si>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</si>
  <si>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</si>
  <si>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</si>
  <si>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</si>
  <si>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</si>
  <si>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</si>
  <si>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</si>
  <si>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</si>
  <si>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</si>
  <si>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</si>
  <si>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</si>
  <si>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</si>
  <si>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</si>
  <si>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</si>
  <si>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</si>
  <si>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</si>
  <si>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</si>
  <si>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</si>
  <si>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</si>
  <si>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</si>
  <si>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</si>
  <si>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</si>
  <si>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</si>
  <si>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</si>
  <si>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</si>
  <si>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</si>
  <si>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</si>
  <si>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</si>
  <si>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</si>
  <si>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</si>
  <si>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</si>
  <si>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</si>
  <si>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</si>
  <si>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</si>
  <si>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</si>
  <si>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</si>
  <si>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</si>
  <si>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</si>
  <si>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</si>
  <si>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</si>
  <si>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</si>
  <si>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</si>
  <si>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</si>
  <si>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</si>
  <si>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</si>
  <si>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</si>
  <si>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</si>
  <si>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</si>
  <si>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</si>
  <si>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</si>
  <si>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</si>
  <si>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</si>
  <si>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</si>
  <si>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</si>
  <si>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</si>
  <si>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</si>
  <si>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</si>
  <si>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</si>
  <si>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</si>
  <si>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</si>
  <si>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</si>
  <si>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</si>
  <si>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</si>
  <si>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</si>
  <si>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</si>
  <si>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</si>
  <si>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</si>
  <si>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</si>
  <si>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</si>
  <si>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</si>
  <si>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</si>
  <si>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</si>
  <si>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</si>
  <si>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</si>
  <si>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</si>
  <si>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</si>
  <si>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</si>
  <si>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</si>
  <si>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</si>
  <si>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</si>
  <si>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</si>
  <si>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</si>
  <si>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</si>
  <si>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</si>
  <si>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</si>
  <si>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</si>
  <si>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</si>
  <si>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</si>
  <si>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</si>
  <si>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</si>
  <si>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</si>
  <si>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</si>
  <si>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</si>
  <si>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</si>
  <si>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</si>
  <si>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</si>
  <si>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</si>
  <si>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</si>
  <si>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</si>
  <si>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</si>
  <si>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</si>
  <si>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</si>
  <si>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</si>
  <si>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</si>
  <si>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</si>
  <si>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</si>
  <si>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</si>
  <si>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</si>
  <si>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</si>
  <si>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</si>
  <si>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</si>
  <si>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</si>
  <si>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</si>
  <si>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</si>
  <si>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</si>
  <si>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</si>
  <si>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</si>
  <si>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</si>
  <si>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</si>
  <si>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</si>
  <si>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</si>
  <si>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</si>
  <si>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</si>
  <si>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</si>
  <si>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</si>
  <si>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</si>
  <si>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</si>
  <si>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</si>
  <si>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</si>
  <si>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</si>
  <si>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</si>
  <si>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</si>
  <si>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</si>
  <si>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</si>
  <si>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</si>
  <si>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</si>
  <si>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</si>
  <si>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</si>
  <si>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</si>
  <si>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</si>
  <si>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</si>
  <si>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</si>
  <si>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</si>
  <si>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</si>
  <si>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</si>
  <si>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</si>
  <si>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</si>
  <si>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</si>
  <si>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</si>
  <si>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</si>
  <si>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</si>
  <si>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</si>
  <si>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</si>
  <si>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</si>
  <si>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</si>
  <si>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</si>
  <si>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</si>
  <si>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</si>
  <si>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</si>
  <si>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</si>
  <si>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</si>
  <si>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</si>
  <si>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</si>
  <si>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</si>
  <si>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</si>
  <si>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</si>
  <si>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</si>
  <si>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</si>
  <si>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</si>
  <si>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</si>
  <si>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</si>
  <si>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</si>
  <si>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</si>
  <si>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</si>
  <si>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</si>
  <si>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</si>
  <si>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</si>
  <si>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</si>
  <si>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</si>
  <si>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</si>
  <si>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</si>
  <si>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</si>
  <si>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</si>
  <si>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</si>
  <si>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</si>
  <si>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</si>
  <si>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</si>
  <si>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</si>
  <si>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</si>
  <si>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</si>
  <si>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</si>
  <si>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</si>
  <si>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</si>
  <si>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</si>
  <si>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</si>
  <si>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</si>
  <si>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</si>
  <si>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</si>
  <si>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</si>
  <si>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</si>
  <si>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</si>
  <si>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</si>
  <si>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</si>
  <si>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</si>
  <si>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</si>
  <si>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</si>
  <si>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</si>
  <si>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</si>
  <si>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</si>
  <si>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</si>
  <si>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</si>
  <si>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</si>
  <si>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</si>
  <si>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</si>
  <si>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</si>
  <si>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</si>
  <si>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</si>
  <si>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</si>
  <si>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</si>
  <si>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</si>
  <si>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</si>
  <si>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</si>
  <si>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</si>
  <si>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</si>
  <si>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</si>
  <si>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</si>
  <si>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</si>
  <si>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</si>
  <si>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</si>
  <si>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</si>
  <si>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</si>
  <si>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</si>
  <si>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</si>
  <si>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</si>
  <si>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</si>
  <si>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</si>
  <si>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</si>
  <si>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</si>
  <si>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</si>
  <si>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</si>
  <si>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</si>
  <si>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</si>
  <si>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</si>
  <si>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</si>
  <si>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</si>
  <si>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</si>
  <si>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</si>
  <si>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</si>
  <si>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</si>
  <si>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</si>
  <si>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</si>
  <si>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</si>
  <si>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</si>
  <si>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</si>
  <si>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</si>
  <si>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</si>
  <si>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</si>
  <si>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</si>
  <si>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</si>
  <si>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</si>
  <si>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</si>
  <si>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</si>
  <si>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</si>
  <si>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</si>
  <si>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</si>
  <si>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</si>
  <si>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</si>
  <si>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</si>
  <si>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</si>
  <si>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</si>
  <si>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</si>
  <si>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</si>
  <si>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</si>
  <si>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</si>
  <si>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</si>
  <si>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</si>
  <si>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</si>
  <si>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</si>
  <si>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</si>
  <si>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</si>
  <si>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</si>
  <si>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</si>
  <si>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</si>
  <si>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</si>
  <si>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</si>
  <si>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</si>
  <si>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</si>
  <si>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</si>
  <si>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</si>
  <si>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</si>
  <si>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</si>
  <si>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</si>
  <si>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</si>
  <si>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</si>
  <si>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</si>
  <si>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</si>
  <si>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</si>
  <si>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</si>
  <si>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</si>
  <si>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</si>
  <si>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</si>
  <si>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</si>
  <si>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</si>
  <si>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</si>
  <si>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</si>
  <si>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</si>
  <si>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</si>
  <si>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</si>
  <si>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</si>
  <si>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</si>
  <si>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</si>
  <si>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</si>
  <si>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</si>
  <si>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</si>
  <si>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</si>
  <si>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</si>
  <si>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</si>
  <si>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</si>
  <si>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</si>
  <si>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</si>
  <si>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</si>
  <si>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</si>
  <si>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</si>
  <si>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</si>
  <si>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</si>
  <si>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</si>
  <si>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</si>
  <si>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</si>
  <si>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</si>
  <si>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</si>
  <si>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</si>
  <si>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</si>
  <si>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</si>
  <si>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</si>
  <si>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</si>
  <si>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</si>
  <si>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</si>
  <si>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</si>
  <si>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</si>
  <si>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</si>
  <si>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</si>
  <si>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</si>
  <si>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</si>
  <si>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</si>
  <si>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</si>
  <si>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</si>
  <si>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</si>
  <si>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</si>
  <si>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</si>
  <si>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</si>
  <si>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</si>
  <si>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</si>
  <si>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</si>
  <si>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</si>
  <si>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</si>
  <si>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</si>
  <si>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</si>
  <si>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</si>
  <si>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</si>
  <si>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</si>
  <si>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</si>
  <si>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</si>
  <si>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</si>
  <si>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</si>
  <si>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</si>
  <si>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</si>
  <si>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</si>
  <si>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</si>
  <si>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</si>
  <si>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</si>
  <si>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</si>
  <si>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</si>
  <si>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</si>
  <si>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</si>
  <si>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</si>
  <si>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</si>
  <si>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</si>
  <si>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</si>
  <si>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</si>
  <si>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</si>
  <si>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</si>
  <si>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</si>
  <si>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</si>
  <si>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</si>
  <si>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</si>
  <si>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</si>
  <si>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</si>
  <si>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</si>
  <si>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</si>
  <si>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</si>
  <si>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</si>
  <si>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</si>
  <si>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</si>
  <si>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</si>
  <si>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</si>
  <si>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</si>
  <si>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</si>
  <si>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</si>
  <si>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</si>
  <si>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</si>
  <si>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</si>
  <si>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</si>
  <si>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</si>
  <si>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</si>
  <si>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</si>
  <si>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</si>
  <si>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</si>
  <si>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</si>
  <si>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</si>
  <si>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</si>
  <si>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</si>
  <si>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</si>
  <si>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</si>
  <si>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</si>
  <si>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</si>
  <si>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</si>
  <si>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</si>
  <si>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</si>
  <si>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</si>
  <si>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</si>
  <si>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</si>
  <si>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</si>
  <si>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</si>
  <si>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</si>
  <si>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</si>
  <si>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</si>
  <si>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</si>
  <si>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</si>
  <si>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</si>
  <si>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</si>
  <si>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</si>
  <si>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</si>
  <si>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</si>
  <si>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</si>
  <si>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</si>
  <si>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</si>
  <si>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</si>
  <si>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</si>
  <si>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</si>
  <si>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</si>
  <si>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</si>
  <si>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</si>
  <si>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</si>
  <si>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</si>
  <si>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</si>
  <si>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</si>
  <si>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</si>
  <si>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</si>
  <si>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</si>
  <si>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</si>
  <si>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</si>
  <si>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</si>
  <si>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</si>
  <si>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</si>
  <si>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</si>
  <si>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</si>
  <si>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</si>
  <si>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</si>
  <si>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</si>
  <si>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</si>
  <si>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</si>
  <si>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</si>
  <si>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</si>
  <si>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</si>
  <si>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</si>
  <si>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</si>
  <si>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</si>
  <si>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</si>
  <si>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</si>
  <si>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</si>
  <si>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</si>
  <si>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</si>
  <si>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</si>
  <si>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</si>
  <si>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</si>
  <si>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</si>
  <si>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</si>
  <si>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</si>
  <si>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</si>
  <si>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</si>
  <si>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</si>
  <si>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</si>
  <si>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</si>
  <si>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</si>
  <si>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</si>
  <si>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</si>
  <si>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</si>
  <si>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</si>
  <si>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</si>
  <si>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</si>
  <si>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</si>
  <si>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</si>
  <si>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</si>
  <si>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</si>
  <si>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</si>
  <si>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</si>
  <si>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</si>
  <si>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</si>
  <si>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</si>
  <si>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</si>
  <si>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</si>
  <si>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</si>
  <si>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</si>
  <si>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</si>
  <si>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</si>
  <si>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</si>
  <si>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</si>
  <si>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</si>
  <si>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</si>
  <si>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</si>
  <si>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</si>
  <si>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</si>
  <si>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</si>
  <si>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</si>
  <si>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</si>
  <si>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</si>
  <si>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</si>
  <si>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</si>
  <si>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</si>
  <si>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</si>
  <si>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</si>
  <si>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</si>
  <si>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</si>
  <si>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</si>
  <si>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</si>
  <si>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</si>
  <si>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</si>
  <si>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</si>
  <si>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</si>
  <si>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</si>
  <si>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</si>
  <si>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</si>
  <si>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</si>
  <si>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</si>
  <si>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</si>
  <si>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</si>
  <si>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</si>
  <si>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</si>
  <si>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</si>
  <si>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</si>
  <si>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</si>
  <si>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</si>
  <si>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</si>
  <si>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</si>
  <si>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</si>
  <si>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</si>
  <si>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</si>
  <si>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</si>
  <si>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</si>
  <si>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</si>
  <si>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</si>
  <si>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</si>
  <si>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</si>
  <si>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</si>
  <si>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</si>
  <si>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</si>
  <si>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</si>
  <si>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</si>
  <si>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</si>
  <si>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</si>
  <si>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</si>
  <si>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</si>
  <si>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</si>
  <si>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</si>
  <si>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</si>
  <si>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</si>
  <si>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</si>
  <si>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</si>
  <si>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</si>
  <si>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</si>
  <si>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</si>
  <si>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</si>
  <si>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</si>
  <si>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</si>
  <si>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</si>
  <si>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</si>
  <si>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</si>
  <si>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</si>
  <si>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</si>
  <si>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</si>
  <si>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</si>
  <si>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</si>
  <si>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</si>
  <si>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</si>
  <si>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</si>
  <si>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</si>
  <si>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</si>
  <si>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</si>
  <si>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</si>
  <si>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</si>
  <si>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</si>
  <si>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</si>
  <si>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</si>
  <si>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</si>
  <si>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</si>
  <si>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</si>
  <si>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</si>
  <si>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</si>
  <si>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</si>
  <si>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</si>
  <si>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</si>
  <si>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</si>
  <si>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</si>
  <si>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</si>
  <si>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</si>
  <si>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</si>
  <si>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</si>
  <si>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</si>
  <si>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</si>
  <si>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</si>
  <si>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</si>
  <si>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</si>
  <si>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</si>
  <si>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</si>
  <si>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</si>
  <si>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</si>
  <si>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</si>
  <si>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</si>
  <si>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</si>
  <si>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</si>
  <si>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</si>
  <si>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</si>
  <si>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</si>
  <si>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</si>
  <si>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</si>
  <si>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</si>
  <si>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</si>
  <si>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</si>
  <si>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</si>
  <si>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</si>
  <si>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</si>
  <si>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</si>
  <si>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</si>
  <si>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</si>
  <si>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</si>
  <si>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</si>
  <si>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</si>
  <si>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</si>
  <si>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</si>
  <si>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</si>
  <si>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</si>
  <si>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</si>
  <si>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</si>
  <si>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</si>
  <si>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</si>
  <si>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</si>
  <si>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</si>
  <si>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</si>
  <si>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</si>
  <si>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</si>
  <si>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</si>
  <si>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</si>
  <si>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</si>
  <si>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</si>
  <si>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</si>
  <si>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</si>
  <si>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</si>
  <si>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</si>
  <si>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</si>
  <si>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</si>
  <si>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</si>
  <si>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</si>
  <si>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</si>
  <si>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</si>
  <si>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</si>
  <si>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</si>
  <si>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</si>
  <si>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</si>
  <si>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</si>
  <si>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</si>
  <si>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</si>
  <si>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</si>
  <si>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</si>
  <si>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</si>
  <si>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</si>
  <si>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</si>
  <si>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</si>
  <si>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</si>
  <si>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</si>
  <si>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</si>
  <si>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</si>
  <si>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</si>
  <si>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</si>
  <si>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</si>
  <si>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</si>
  <si>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</si>
  <si>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</si>
  <si>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</si>
  <si>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</si>
  <si>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</si>
  <si>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</si>
  <si>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</si>
  <si>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</si>
  <si>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</si>
  <si>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</si>
  <si>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</si>
  <si>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</si>
  <si>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</si>
  <si>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</si>
  <si>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</si>
  <si>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</si>
  <si>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</si>
  <si>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</si>
  <si>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</si>
  <si>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</si>
  <si>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</si>
  <si>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</si>
  <si>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</si>
  <si>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</si>
  <si>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</si>
  <si>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</si>
  <si>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</si>
  <si>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</si>
  <si>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</si>
  <si>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</si>
  <si>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</si>
  <si>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</si>
  <si>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</si>
  <si>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</si>
  <si>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</si>
  <si>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</si>
  <si>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</si>
  <si>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</si>
  <si>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</si>
  <si>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</si>
  <si>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</si>
  <si>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</si>
  <si>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</si>
  <si>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</si>
  <si>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</si>
  <si>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</si>
  <si>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</si>
  <si>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</si>
  <si>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</si>
  <si>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</si>
  <si>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</si>
  <si>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</si>
  <si>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</si>
  <si>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</si>
  <si>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</si>
  <si>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</si>
  <si>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</si>
  <si>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</si>
  <si>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</si>
  <si>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</si>
  <si>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</si>
  <si>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</si>
  <si>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</si>
  <si>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</si>
  <si>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</si>
  <si>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</si>
  <si>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</si>
  <si>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</si>
  <si>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</si>
  <si>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</si>
  <si>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</si>
  <si>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</si>
  <si>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</si>
  <si>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</si>
  <si>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</si>
  <si>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</si>
  <si>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</si>
  <si>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</si>
  <si>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</si>
  <si>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</si>
  <si>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</si>
  <si>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</si>
  <si>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</si>
  <si>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</si>
  <si>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</si>
  <si>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</si>
  <si>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</si>
  <si>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</si>
  <si>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</si>
  <si>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</si>
  <si>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</si>
  <si>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</si>
  <si>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</si>
  <si>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</si>
  <si>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</si>
  <si>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</si>
  <si>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</si>
  <si>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</si>
  <si>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</si>
  <si>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</si>
  <si>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</si>
  <si>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</si>
  <si>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</si>
  <si>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</si>
  <si>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</si>
  <si>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</si>
  <si>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</si>
  <si>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</si>
  <si>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</si>
  <si>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</si>
  <si>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</si>
  <si>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</si>
  <si>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</si>
  <si>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</si>
  <si>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</si>
  <si>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</si>
  <si>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</si>
  <si>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</si>
  <si>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</si>
  <si>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</si>
  <si>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</si>
  <si>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</si>
  <si>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</si>
  <si>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</si>
  <si>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</si>
  <si>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</si>
  <si>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</si>
  <si>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</si>
  <si>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</si>
  <si>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</si>
  <si>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</si>
  <si>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</si>
  <si>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</si>
  <si>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</si>
  <si>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</si>
  <si>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</si>
  <si>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</si>
  <si>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</si>
  <si>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</si>
  <si>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</si>
  <si>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</si>
  <si>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</si>
  <si>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</si>
  <si>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</si>
  <si>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</si>
  <si>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</si>
  <si>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</si>
  <si>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</si>
  <si>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</si>
  <si>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</si>
  <si>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</si>
  <si>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</si>
  <si>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</si>
  <si>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</si>
  <si>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</si>
  <si>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</si>
  <si>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</si>
  <si>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</si>
  <si>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</si>
  <si>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</si>
  <si>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</si>
  <si>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</si>
  <si>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</si>
  <si>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</si>
  <si>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</si>
  <si>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</si>
  <si>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</si>
  <si>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</si>
  <si>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</si>
  <si>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</si>
  <si>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</si>
  <si>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</si>
  <si>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</si>
  <si>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</si>
  <si>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</si>
  <si>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</si>
  <si>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</si>
  <si>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</si>
  <si>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</si>
  <si>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</si>
  <si>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</si>
  <si>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</si>
  <si>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</si>
  <si>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</si>
  <si>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</si>
  <si>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</si>
  <si>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</si>
  <si>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</si>
  <si>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</si>
  <si>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</si>
  <si>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</si>
  <si>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</si>
  <si>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</si>
  <si>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</si>
  <si>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</si>
  <si>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</si>
  <si>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</si>
  <si>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</si>
  <si>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</si>
  <si>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</si>
  <si>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</si>
  <si>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</si>
  <si>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</si>
  <si>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</si>
  <si>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</si>
  <si>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</si>
  <si>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</si>
  <si>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</si>
  <si>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</si>
  <si>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</si>
  <si>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</si>
  <si>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</si>
  <si>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</si>
  <si>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</si>
  <si>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</si>
  <si>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</si>
  <si>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</si>
  <si>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</si>
  <si>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</si>
  <si>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</si>
  <si>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</si>
  <si>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</si>
  <si>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</si>
  <si>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</si>
  <si>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</si>
  <si>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</si>
  <si>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</si>
  <si>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</si>
  <si>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</si>
  <si>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</si>
  <si>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</si>
  <si>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</si>
  <si>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</si>
  <si>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</si>
  <si>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</si>
  <si>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</si>
  <si>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</si>
  <si>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</si>
  <si>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</si>
  <si>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</si>
  <si>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</si>
  <si>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</si>
  <si>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</si>
  <si>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</si>
  <si>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</si>
  <si>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</si>
  <si>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</si>
  <si>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</si>
  <si>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</si>
  <si>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</si>
  <si>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</si>
  <si>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</si>
  <si>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</si>
  <si>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</si>
  <si>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</si>
  <si>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</si>
  <si>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</si>
  <si>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</si>
  <si>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</si>
  <si>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</si>
  <si>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</si>
  <si>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</si>
  <si>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</si>
  <si>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</si>
  <si>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</si>
  <si>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</si>
  <si>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</si>
  <si>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</si>
  <si>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</si>
  <si>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</si>
  <si>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</si>
  <si>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</si>
  <si>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</si>
  <si>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</si>
  <si>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</si>
  <si>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</si>
  <si>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</si>
  <si>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</si>
  <si>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</si>
  <si>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</si>
  <si>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</si>
  <si>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</si>
  <si>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</si>
  <si>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</si>
  <si>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</si>
  <si>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</si>
  <si>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</si>
  <si>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</si>
  <si>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</si>
  <si>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</si>
  <si>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</si>
  <si>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</si>
  <si>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</si>
  <si>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</si>
  <si>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</si>
  <si>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</si>
  <si>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</si>
  <si>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</si>
  <si>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</si>
  <si>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</si>
  <si>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</si>
  <si>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</si>
  <si>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</si>
  <si>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</si>
  <si>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</si>
  <si>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</si>
  <si>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</si>
  <si>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</si>
  <si>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</si>
  <si>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</si>
  <si>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</si>
  <si>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</si>
  <si>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</si>
  <si>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</si>
  <si>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</si>
  <si>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</si>
  <si>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</si>
  <si>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</si>
  <si>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</si>
  <si>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</si>
  <si>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住宅</t>
    <phoneticPr fontId="7" type="noConversion"/>
  </si>
  <si>
    <t>划拨</t>
  </si>
  <si>
    <t>成新度</t>
  </si>
  <si>
    <t>工程进度</t>
  </si>
  <si>
    <t>售价</t>
  </si>
  <si>
    <t>正常</t>
  </si>
  <si>
    <t>住宅</t>
    <phoneticPr fontId="24" type="noConversion"/>
  </si>
  <si>
    <t>西城区新风南里7号楼3层6门631号</t>
    <phoneticPr fontId="3" type="noConversion"/>
  </si>
  <si>
    <t>2013-3-09653-RB</t>
    <phoneticPr fontId="3" type="noConversion"/>
  </si>
  <si>
    <t>2013-3-05845-RB</t>
    <phoneticPr fontId="3" type="noConversion"/>
  </si>
  <si>
    <t>新风街6号楼</t>
    <phoneticPr fontId="3" type="noConversion"/>
  </si>
  <si>
    <t>南北</t>
  </si>
  <si>
    <t>南北</t>
    <phoneticPr fontId="24" type="noConversion"/>
  </si>
  <si>
    <t>南</t>
  </si>
  <si>
    <t>南</t>
    <phoneticPr fontId="24" type="noConversion"/>
  </si>
  <si>
    <t>东西</t>
  </si>
  <si>
    <t>东西</t>
    <phoneticPr fontId="24" type="noConversion"/>
  </si>
  <si>
    <t>楼层</t>
    <phoneticPr fontId="24" type="noConversion"/>
  </si>
  <si>
    <t>3/6</t>
    <phoneticPr fontId="24" type="noConversion"/>
  </si>
  <si>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</si>
  <si>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</si>
  <si>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</si>
  <si>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</si>
  <si>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</si>
  <si>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</si>
  <si>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</si>
  <si>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</si>
  <si>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</si>
  <si>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</si>
  <si>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</si>
  <si>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</si>
  <si>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</si>
  <si>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</si>
  <si>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</si>
  <si>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</si>
  <si>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</si>
  <si>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</si>
  <si>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</si>
  <si>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</si>
  <si>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</si>
  <si>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</si>
  <si>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</si>
  <si>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</si>
  <si>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</si>
  <si>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</si>
  <si>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</si>
  <si>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</si>
  <si>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</si>
  <si>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</si>
  <si>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</si>
  <si>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</si>
  <si>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</si>
  <si>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</si>
  <si>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</si>
  <si>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</si>
  <si>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</si>
  <si>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</si>
  <si>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</si>
  <si>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</si>
  <si>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</si>
  <si>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</si>
  <si>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</si>
  <si>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</si>
  <si>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</si>
  <si>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</si>
  <si>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</si>
  <si>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</si>
  <si>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</si>
  <si>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</si>
  <si>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</si>
  <si>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</si>
  <si>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</si>
  <si>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</si>
  <si>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</si>
  <si>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</si>
  <si>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</si>
  <si>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</si>
  <si>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</si>
  <si>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</si>
  <si>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</si>
  <si>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</si>
  <si>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</si>
  <si>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</si>
  <si>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</si>
  <si>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</si>
  <si>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</si>
  <si>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</si>
  <si>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</si>
  <si>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</si>
  <si>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</si>
  <si>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</si>
  <si>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</si>
  <si>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</si>
  <si>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</si>
  <si>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2012-22-CP-57818-FU</t>
  </si>
  <si>
    <t>李欣</t>
  </si>
  <si>
    <t>420103197803083220</t>
    <phoneticPr fontId="3" type="noConversion"/>
  </si>
  <si>
    <t>西城区</t>
    <phoneticPr fontId="3" type="noConversion"/>
  </si>
  <si>
    <t>新风南里</t>
    <phoneticPr fontId="3" type="noConversion"/>
  </si>
  <si>
    <t>15号楼</t>
    <phoneticPr fontId="3" type="noConversion"/>
  </si>
  <si>
    <t>1层9门</t>
    <phoneticPr fontId="3" type="noConversion"/>
  </si>
  <si>
    <t>二室二厅一卫一厨</t>
    <phoneticPr fontId="3" type="noConversion"/>
  </si>
  <si>
    <t>复式、平层√、跃层、错层</t>
    <phoneticPr fontId="3" type="noConversion"/>
  </si>
  <si>
    <t>北京住房公积金管理中心住房公积金贷款中心</t>
    <phoneticPr fontId="3" type="noConversion"/>
  </si>
  <si>
    <t>冯德智</t>
    <phoneticPr fontId="3" type="noConversion"/>
  </si>
  <si>
    <t>二手房</t>
    <phoneticPr fontId="3" type="noConversion"/>
  </si>
  <si>
    <t>可抵押商品住宅</t>
    <phoneticPr fontId="3" type="noConversion"/>
  </si>
  <si>
    <t>李晓岩</t>
    <phoneticPr fontId="3" type="noConversion"/>
  </si>
  <si>
    <t>一</t>
  </si>
  <si>
    <t>祁龙</t>
    <phoneticPr fontId="3" type="noConversion"/>
  </si>
  <si>
    <t>换正式</t>
    <phoneticPr fontId="3" type="noConversion"/>
  </si>
  <si>
    <t>买卖合同</t>
    <phoneticPr fontId="3" type="noConversion"/>
  </si>
  <si>
    <t xml:space="preserve">C </t>
    <phoneticPr fontId="3" type="noConversion"/>
  </si>
  <si>
    <t>678244</t>
    <phoneticPr fontId="3" type="noConversion"/>
  </si>
  <si>
    <t>刘全雨</t>
    <phoneticPr fontId="3" type="noConversion"/>
  </si>
  <si>
    <t>祁龙</t>
    <phoneticPr fontId="3" type="noConversion"/>
  </si>
  <si>
    <t>正常</t>
    <phoneticPr fontId="3" type="noConversion"/>
  </si>
  <si>
    <t>中介</t>
    <phoneticPr fontId="3" type="noConversion"/>
  </si>
  <si>
    <t>不含任何税费</t>
    <phoneticPr fontId="3" type="noConversion"/>
  </si>
  <si>
    <t>祁龙</t>
  </si>
  <si>
    <t>北京住房公积金管理中心住房公积金贷款中心</t>
  </si>
  <si>
    <t>2012-22-CP-58194-FU</t>
    <phoneticPr fontId="3" type="noConversion"/>
  </si>
  <si>
    <t>温少芳</t>
    <phoneticPr fontId="3" type="noConversion"/>
  </si>
  <si>
    <t>37068519800816172X</t>
    <phoneticPr fontId="3" type="noConversion"/>
  </si>
  <si>
    <t>新风南里</t>
    <phoneticPr fontId="3" type="noConversion"/>
  </si>
  <si>
    <t/>
  </si>
  <si>
    <t>6号楼-</t>
    <phoneticPr fontId="3" type="noConversion"/>
  </si>
  <si>
    <t>1层2单元</t>
    <phoneticPr fontId="3" type="noConversion"/>
  </si>
  <si>
    <t>203号</t>
    <phoneticPr fontId="3" type="noConversion"/>
  </si>
  <si>
    <t>温少芳</t>
    <phoneticPr fontId="3" type="noConversion"/>
  </si>
  <si>
    <t>一室一厅一卫一厨</t>
    <phoneticPr fontId="3" type="noConversion"/>
  </si>
  <si>
    <t>复式、平层√、跃层、错层</t>
  </si>
  <si>
    <t>冯德智</t>
  </si>
  <si>
    <t>二手房</t>
    <phoneticPr fontId="3" type="noConversion"/>
  </si>
  <si>
    <t>可抵押商品住宅</t>
  </si>
  <si>
    <t>李晓岩</t>
    <phoneticPr fontId="3" type="noConversion"/>
  </si>
  <si>
    <t>二</t>
    <phoneticPr fontId="3" type="noConversion"/>
  </si>
  <si>
    <t>王明君</t>
    <phoneticPr fontId="3" type="noConversion"/>
  </si>
  <si>
    <t>换正式</t>
    <phoneticPr fontId="3" type="noConversion"/>
  </si>
  <si>
    <t>买卖合同</t>
    <phoneticPr fontId="3" type="noConversion"/>
  </si>
  <si>
    <t>C</t>
    <phoneticPr fontId="3" type="noConversion"/>
  </si>
  <si>
    <t>678336</t>
    <phoneticPr fontId="3" type="noConversion"/>
  </si>
  <si>
    <t>郗淑玲</t>
    <phoneticPr fontId="3" type="noConversion"/>
  </si>
  <si>
    <t>王明君</t>
  </si>
  <si>
    <t>中介</t>
  </si>
  <si>
    <t>不含任何税费</t>
  </si>
  <si>
    <t>2013-22-CP-03883-FU</t>
  </si>
  <si>
    <t>吴光欣</t>
  </si>
  <si>
    <t>620502197709190719</t>
    <phoneticPr fontId="3" type="noConversion"/>
  </si>
  <si>
    <t>西城区</t>
    <phoneticPr fontId="3" type="noConversion"/>
  </si>
  <si>
    <t>新风南里</t>
  </si>
  <si>
    <t>6号楼</t>
    <phoneticPr fontId="3" type="noConversion"/>
  </si>
  <si>
    <t>3层2门</t>
    <phoneticPr fontId="3" type="noConversion"/>
  </si>
  <si>
    <t>233号</t>
    <phoneticPr fontId="3" type="noConversion"/>
  </si>
  <si>
    <t>一室一厅一卫一厨</t>
    <phoneticPr fontId="3" type="noConversion"/>
  </si>
  <si>
    <t>北京住房公积金管理中心住房公积金贷款中心</t>
    <phoneticPr fontId="3" type="noConversion"/>
  </si>
  <si>
    <t>李晓岩</t>
  </si>
  <si>
    <t>三</t>
    <phoneticPr fontId="3" type="noConversion"/>
  </si>
  <si>
    <t>戴钧</t>
    <phoneticPr fontId="3" type="noConversion"/>
  </si>
  <si>
    <t>买卖合同</t>
    <phoneticPr fontId="3" type="noConversion"/>
  </si>
  <si>
    <t>冀桂兰</t>
    <phoneticPr fontId="3" type="noConversion"/>
  </si>
  <si>
    <t>戴钧</t>
    <phoneticPr fontId="3" type="noConversion"/>
  </si>
  <si>
    <t>正常</t>
    <phoneticPr fontId="3" type="noConversion"/>
  </si>
  <si>
    <t>中介</t>
    <phoneticPr fontId="3" type="noConversion"/>
  </si>
  <si>
    <t>不含任何税费</t>
    <phoneticPr fontId="3" type="noConversion"/>
  </si>
  <si>
    <t>戴钧</t>
  </si>
  <si>
    <t>2013-22-GP-01273-U</t>
  </si>
  <si>
    <t>吕战竹、张宝荣</t>
    <phoneticPr fontId="3" type="noConversion"/>
  </si>
  <si>
    <t>370629197512272079、370321197611143929</t>
    <phoneticPr fontId="3" type="noConversion"/>
  </si>
  <si>
    <t>5门</t>
    <phoneticPr fontId="3" type="noConversion"/>
  </si>
  <si>
    <t>601</t>
    <phoneticPr fontId="3" type="noConversion"/>
  </si>
  <si>
    <t>施康强</t>
    <phoneticPr fontId="3" type="noConversion"/>
  </si>
  <si>
    <t>三室一厅一卫一厨</t>
    <phoneticPr fontId="3" type="noConversion"/>
  </si>
  <si>
    <t>复式、平层√、跃层、错层</t>
    <phoneticPr fontId="3" type="noConversion"/>
  </si>
  <si>
    <t>北京住房公积金管理中心中央国家机关分中心</t>
    <phoneticPr fontId="3" type="noConversion"/>
  </si>
  <si>
    <t>可抵押商品住宅</t>
    <phoneticPr fontId="3" type="noConversion"/>
  </si>
  <si>
    <t>刘文</t>
    <phoneticPr fontId="3" type="noConversion"/>
  </si>
  <si>
    <t>新增</t>
    <phoneticPr fontId="3" type="noConversion"/>
  </si>
  <si>
    <t>买卖合同</t>
    <phoneticPr fontId="3" type="noConversion"/>
  </si>
  <si>
    <t>C</t>
    <phoneticPr fontId="3" type="noConversion"/>
  </si>
  <si>
    <t>682566</t>
    <phoneticPr fontId="3" type="noConversion"/>
  </si>
  <si>
    <t>施康强</t>
    <phoneticPr fontId="3" type="noConversion"/>
  </si>
  <si>
    <t>刘文</t>
    <phoneticPr fontId="3" type="noConversion"/>
  </si>
  <si>
    <t>二手房</t>
    <phoneticPr fontId="3" type="noConversion"/>
  </si>
  <si>
    <t>正常</t>
    <phoneticPr fontId="3" type="noConversion"/>
  </si>
  <si>
    <t>中介</t>
    <phoneticPr fontId="3" type="noConversion"/>
  </si>
  <si>
    <t>不含任何税费</t>
    <phoneticPr fontId="3" type="noConversion"/>
  </si>
  <si>
    <t>刘文</t>
  </si>
  <si>
    <t>北京住房公积金管理中心中央国家机关分中心</t>
  </si>
  <si>
    <t>2013-22-GP-09093-U</t>
    <phoneticPr fontId="3" type="noConversion"/>
  </si>
  <si>
    <t>胡剑英</t>
    <phoneticPr fontId="3" type="noConversion"/>
  </si>
  <si>
    <t>330106197909270419</t>
    <phoneticPr fontId="3" type="noConversion"/>
  </si>
  <si>
    <t>13810478364</t>
    <phoneticPr fontId="3" type="noConversion"/>
  </si>
  <si>
    <t>西城区</t>
    <phoneticPr fontId="3" type="noConversion"/>
  </si>
  <si>
    <t>14号楼</t>
    <phoneticPr fontId="3" type="noConversion"/>
  </si>
  <si>
    <t>6层11门602</t>
    <phoneticPr fontId="3" type="noConversion"/>
  </si>
  <si>
    <t>李文</t>
    <phoneticPr fontId="3" type="noConversion"/>
  </si>
  <si>
    <t>6</t>
    <phoneticPr fontId="3" type="noConversion"/>
  </si>
  <si>
    <t>二室一厅一卫一厨</t>
    <phoneticPr fontId="3" type="noConversion"/>
  </si>
  <si>
    <t>北京住房公积金管理中心中央国家机关分中心</t>
    <phoneticPr fontId="3" type="noConversion"/>
  </si>
  <si>
    <t>冯德智</t>
    <phoneticPr fontId="3" type="noConversion"/>
  </si>
  <si>
    <t>二</t>
    <phoneticPr fontId="3" type="noConversion"/>
  </si>
  <si>
    <t>新增</t>
    <phoneticPr fontId="3" type="noConversion"/>
  </si>
  <si>
    <t xml:space="preserve"> </t>
  </si>
  <si>
    <t>700844</t>
    <phoneticPr fontId="3" type="noConversion"/>
  </si>
  <si>
    <t>李文</t>
    <phoneticPr fontId="3" type="noConversion"/>
  </si>
  <si>
    <t>王明君</t>
    <phoneticPr fontId="3" type="noConversion"/>
  </si>
  <si>
    <t>二手房</t>
    <phoneticPr fontId="3" type="noConversion"/>
  </si>
  <si>
    <t>2013-22-ZP-08742-FU</t>
    <phoneticPr fontId="3" type="noConversion"/>
  </si>
  <si>
    <t>李亚彬</t>
  </si>
  <si>
    <t>130602196904160931</t>
    <phoneticPr fontId="3" type="noConversion"/>
  </si>
  <si>
    <t>新风南里</t>
    <phoneticPr fontId="3" type="noConversion"/>
  </si>
  <si>
    <t>9号楼</t>
    <phoneticPr fontId="3" type="noConversion"/>
  </si>
  <si>
    <t>4层4门502</t>
    <phoneticPr fontId="3" type="noConversion"/>
  </si>
  <si>
    <t>韦金芳</t>
    <phoneticPr fontId="3" type="noConversion"/>
  </si>
  <si>
    <t>二室一厅一卫一厨</t>
    <phoneticPr fontId="3" type="noConversion"/>
  </si>
  <si>
    <t>北京住房公积金管理中心中共中央直属机关分中心</t>
    <phoneticPr fontId="3" type="noConversion"/>
  </si>
  <si>
    <t>冯德智</t>
    <phoneticPr fontId="3" type="noConversion"/>
  </si>
  <si>
    <t>赵盼</t>
    <phoneticPr fontId="3" type="noConversion"/>
  </si>
  <si>
    <t>换正式</t>
    <phoneticPr fontId="3" type="noConversion"/>
  </si>
  <si>
    <t>买卖合同</t>
    <phoneticPr fontId="3" type="noConversion"/>
  </si>
  <si>
    <t>韦金芳</t>
    <phoneticPr fontId="3" type="noConversion"/>
  </si>
  <si>
    <t>正常</t>
    <phoneticPr fontId="3" type="noConversion"/>
  </si>
  <si>
    <t>赵盼</t>
  </si>
  <si>
    <t>北京住房公积金管理中心中共中央直属机关分中心</t>
  </si>
  <si>
    <t>2013-22-YP-14032-FU</t>
    <phoneticPr fontId="3" type="noConversion"/>
  </si>
  <si>
    <t>庞凤国</t>
    <phoneticPr fontId="3" type="noConversion"/>
  </si>
  <si>
    <t>110227195505260019</t>
    <phoneticPr fontId="3" type="noConversion"/>
  </si>
  <si>
    <t>13901141825</t>
    <phoneticPr fontId="3" type="noConversion"/>
  </si>
  <si>
    <t>4号楼</t>
    <phoneticPr fontId="3" type="noConversion"/>
  </si>
  <si>
    <t>-1层5门</t>
    <phoneticPr fontId="3" type="noConversion"/>
  </si>
  <si>
    <t>501</t>
    <phoneticPr fontId="3" type="noConversion"/>
  </si>
  <si>
    <t>庞凤国</t>
    <phoneticPr fontId="3" type="noConversion"/>
  </si>
  <si>
    <t>-1</t>
    <phoneticPr fontId="3" type="noConversion"/>
  </si>
  <si>
    <t>冯德智</t>
    <phoneticPr fontId="3" type="noConversion"/>
  </si>
  <si>
    <t>四</t>
    <phoneticPr fontId="3" type="noConversion"/>
  </si>
  <si>
    <t>孙岳</t>
    <phoneticPr fontId="3" type="noConversion"/>
  </si>
  <si>
    <t>C</t>
    <phoneticPr fontId="3" type="noConversion"/>
  </si>
  <si>
    <t>兰玉赞</t>
  </si>
  <si>
    <t>孙岳</t>
    <phoneticPr fontId="3" type="noConversion"/>
  </si>
  <si>
    <t>孙岳</t>
  </si>
  <si>
    <t>2013-22-CP-17996-FU</t>
    <phoneticPr fontId="3" type="noConversion"/>
  </si>
  <si>
    <t>郭利川</t>
    <phoneticPr fontId="3" type="noConversion"/>
  </si>
  <si>
    <t>510111197407024220</t>
    <phoneticPr fontId="3" type="noConversion"/>
  </si>
  <si>
    <t>13811992732</t>
    <phoneticPr fontId="3" type="noConversion"/>
  </si>
  <si>
    <t>15号楼</t>
    <phoneticPr fontId="3" type="noConversion"/>
  </si>
  <si>
    <t>5层4门501</t>
    <phoneticPr fontId="3" type="noConversion"/>
  </si>
  <si>
    <t>戈鸿利</t>
    <phoneticPr fontId="3" type="noConversion"/>
  </si>
  <si>
    <t>5</t>
    <phoneticPr fontId="3" type="noConversion"/>
  </si>
  <si>
    <t>二室一厅一卫一厨</t>
    <phoneticPr fontId="3" type="noConversion"/>
  </si>
  <si>
    <t>北京住房公积金管理中心住房公积金贷款中心</t>
    <phoneticPr fontId="3" type="noConversion"/>
  </si>
  <si>
    <t>二手房</t>
  </si>
  <si>
    <t>五</t>
    <phoneticPr fontId="3" type="noConversion"/>
  </si>
  <si>
    <t>赵盼</t>
    <phoneticPr fontId="3" type="noConversion"/>
  </si>
  <si>
    <t>739490</t>
    <phoneticPr fontId="3" type="noConversion"/>
  </si>
  <si>
    <t>戈鸿利</t>
    <phoneticPr fontId="3" type="noConversion"/>
  </si>
  <si>
    <t>赵盼</t>
    <phoneticPr fontId="3" type="noConversion"/>
  </si>
  <si>
    <t>2013-22-GP-33391-U</t>
    <phoneticPr fontId="3" type="noConversion"/>
  </si>
  <si>
    <t>曹韬</t>
    <phoneticPr fontId="3" type="noConversion"/>
  </si>
  <si>
    <t>140603197806010537</t>
    <phoneticPr fontId="3" type="noConversion"/>
  </si>
  <si>
    <t>新风南里</t>
    <phoneticPr fontId="3" type="noConversion"/>
  </si>
  <si>
    <t>3号楼</t>
    <phoneticPr fontId="3" type="noConversion"/>
  </si>
  <si>
    <t>1门</t>
    <phoneticPr fontId="3" type="noConversion"/>
  </si>
  <si>
    <t>李春茹</t>
    <phoneticPr fontId="3" type="noConversion"/>
  </si>
  <si>
    <t>2</t>
    <phoneticPr fontId="3" type="noConversion"/>
  </si>
  <si>
    <t>李晓岩</t>
    <phoneticPr fontId="3" type="noConversion"/>
  </si>
  <si>
    <t>七</t>
    <phoneticPr fontId="3" type="noConversion"/>
  </si>
  <si>
    <t>段明菲</t>
    <phoneticPr fontId="3" type="noConversion"/>
  </si>
  <si>
    <t>新增</t>
    <phoneticPr fontId="3" type="noConversion"/>
  </si>
  <si>
    <t>李春茹</t>
    <phoneticPr fontId="3" type="noConversion"/>
  </si>
  <si>
    <t>段明菲</t>
    <phoneticPr fontId="3" type="noConversion"/>
  </si>
  <si>
    <t>段明菲</t>
  </si>
  <si>
    <t>2013-22-GP-17531-U</t>
    <phoneticPr fontId="3" type="noConversion"/>
  </si>
  <si>
    <t>田隽</t>
    <phoneticPr fontId="3" type="noConversion"/>
  </si>
  <si>
    <t>211103197509220927</t>
    <phoneticPr fontId="3" type="noConversion"/>
  </si>
  <si>
    <t>13520066910</t>
    <phoneticPr fontId="3" type="noConversion"/>
  </si>
  <si>
    <t>新风北里</t>
    <phoneticPr fontId="3" type="noConversion"/>
  </si>
  <si>
    <t>4号楼</t>
    <phoneticPr fontId="3" type="noConversion"/>
  </si>
  <si>
    <t>2-401</t>
    <phoneticPr fontId="3" type="noConversion"/>
  </si>
  <si>
    <t>卢一鸣</t>
    <phoneticPr fontId="3" type="noConversion"/>
  </si>
  <si>
    <t>三室一厅一卫一厨（现为：二室一厅一卫一厨）</t>
    <phoneticPr fontId="3" type="noConversion"/>
  </si>
  <si>
    <t>三</t>
    <phoneticPr fontId="3" type="noConversion"/>
  </si>
  <si>
    <t>新增</t>
    <phoneticPr fontId="3" type="noConversion"/>
  </si>
  <si>
    <t>买卖合同</t>
  </si>
  <si>
    <t>724410</t>
    <phoneticPr fontId="3" type="noConversion"/>
  </si>
  <si>
    <t>卢一鸣</t>
    <phoneticPr fontId="3" type="noConversion"/>
  </si>
  <si>
    <t>段明菲</t>
    <phoneticPr fontId="3" type="noConversion"/>
  </si>
  <si>
    <t>2013-22-GP-17908-U</t>
    <phoneticPr fontId="3" type="noConversion"/>
  </si>
  <si>
    <t>蒋峰、皮巍</t>
    <phoneticPr fontId="3" type="noConversion"/>
  </si>
  <si>
    <t>130903198101090310、210103198304154528</t>
    <phoneticPr fontId="3" type="noConversion"/>
  </si>
  <si>
    <t>13691222179</t>
    <phoneticPr fontId="3" type="noConversion"/>
  </si>
  <si>
    <t>新风北里</t>
    <phoneticPr fontId="3" type="noConversion"/>
  </si>
  <si>
    <t>2号楼</t>
    <phoneticPr fontId="3" type="noConversion"/>
  </si>
  <si>
    <t>304</t>
    <phoneticPr fontId="3" type="noConversion"/>
  </si>
  <si>
    <t>刘月梅</t>
    <phoneticPr fontId="3" type="noConversion"/>
  </si>
  <si>
    <t>一室一厅一卫一厨</t>
    <phoneticPr fontId="3" type="noConversion"/>
  </si>
  <si>
    <t>冯德智</t>
    <phoneticPr fontId="3" type="noConversion"/>
  </si>
  <si>
    <t>三</t>
    <phoneticPr fontId="3" type="noConversion"/>
  </si>
  <si>
    <t>张旭婷</t>
    <phoneticPr fontId="3" type="noConversion"/>
  </si>
  <si>
    <t>733848</t>
    <phoneticPr fontId="3" type="noConversion"/>
  </si>
  <si>
    <t>刘月梅</t>
  </si>
  <si>
    <t>张旭婷</t>
  </si>
  <si>
    <t>2013-22-YP-00135-FU</t>
    <phoneticPr fontId="3" type="noConversion"/>
  </si>
  <si>
    <t>郑霞</t>
    <phoneticPr fontId="3" type="noConversion"/>
  </si>
  <si>
    <t>513434198012040021</t>
    <phoneticPr fontId="3" type="noConversion"/>
  </si>
  <si>
    <t>18911769352</t>
    <phoneticPr fontId="3" type="noConversion"/>
  </si>
  <si>
    <t>6号楼</t>
    <phoneticPr fontId="3" type="noConversion"/>
  </si>
  <si>
    <t>6层1门162号</t>
    <phoneticPr fontId="3" type="noConversion"/>
  </si>
  <si>
    <t>宋起中</t>
    <phoneticPr fontId="3" type="noConversion"/>
  </si>
  <si>
    <t>复式、平层√、跃层、错层</t>
    <phoneticPr fontId="3" type="noConversion"/>
  </si>
  <si>
    <t>一</t>
    <phoneticPr fontId="3" type="noConversion"/>
  </si>
  <si>
    <t>687767</t>
    <phoneticPr fontId="3" type="noConversion"/>
  </si>
  <si>
    <t>宋起中</t>
  </si>
  <si>
    <t>中介</t>
    <phoneticPr fontId="3" type="noConversion"/>
  </si>
  <si>
    <t>不含任何税费</t>
    <phoneticPr fontId="3" type="noConversion"/>
  </si>
  <si>
    <t>2012-22-YP-54965-FU</t>
    <phoneticPr fontId="3" type="noConversion"/>
  </si>
  <si>
    <t>李尊霞</t>
    <phoneticPr fontId="3" type="noConversion"/>
  </si>
  <si>
    <t>372827197706058126</t>
    <phoneticPr fontId="3" type="noConversion"/>
  </si>
  <si>
    <t>新街口外大街10号院</t>
    <phoneticPr fontId="3" type="noConversion"/>
  </si>
  <si>
    <t>2层</t>
    <phoneticPr fontId="3" type="noConversion"/>
  </si>
  <si>
    <t>11-201</t>
    <phoneticPr fontId="3" type="noConversion"/>
  </si>
  <si>
    <t>李尊霞</t>
    <phoneticPr fontId="3" type="noConversion"/>
  </si>
  <si>
    <t>李晓岩</t>
    <phoneticPr fontId="3" type="noConversion"/>
  </si>
  <si>
    <t>一</t>
    <phoneticPr fontId="3" type="noConversion"/>
  </si>
  <si>
    <t>669585</t>
    <phoneticPr fontId="3" type="noConversion"/>
  </si>
  <si>
    <t>雷湘方</t>
    <phoneticPr fontId="3" type="noConversion"/>
  </si>
  <si>
    <t>段明菲</t>
    <phoneticPr fontId="3" type="noConversion"/>
  </si>
  <si>
    <t>正常</t>
    <phoneticPr fontId="3" type="noConversion"/>
  </si>
  <si>
    <t>2012-22-YP-59302-FU</t>
    <phoneticPr fontId="3" type="noConversion"/>
  </si>
  <si>
    <t>常婉华</t>
    <phoneticPr fontId="3" type="noConversion"/>
  </si>
  <si>
    <t>110102197207200444</t>
    <phoneticPr fontId="3" type="noConversion"/>
  </si>
  <si>
    <t>18911263080</t>
    <phoneticPr fontId="3" type="noConversion"/>
  </si>
  <si>
    <t>海淀区</t>
    <phoneticPr fontId="3" type="noConversion"/>
  </si>
  <si>
    <t>新街口外大街31号</t>
    <phoneticPr fontId="3" type="noConversion"/>
  </si>
  <si>
    <t>1号楼</t>
    <phoneticPr fontId="3" type="noConversion"/>
  </si>
  <si>
    <t>6层1门</t>
    <phoneticPr fontId="3" type="noConversion"/>
  </si>
  <si>
    <t>163</t>
    <phoneticPr fontId="3" type="noConversion"/>
  </si>
  <si>
    <t>常婉华</t>
    <phoneticPr fontId="3" type="noConversion"/>
  </si>
  <si>
    <t>6</t>
    <phoneticPr fontId="3" type="noConversion"/>
  </si>
  <si>
    <t>北京住房公积金管理中心住房公积金贷款中心</t>
    <phoneticPr fontId="3" type="noConversion"/>
  </si>
  <si>
    <t>二</t>
    <phoneticPr fontId="3" type="noConversion"/>
  </si>
  <si>
    <t>杨菲菲</t>
    <phoneticPr fontId="3" type="noConversion"/>
  </si>
  <si>
    <t>C</t>
    <phoneticPr fontId="3" type="noConversion"/>
  </si>
  <si>
    <t>686757</t>
    <phoneticPr fontId="3" type="noConversion"/>
  </si>
  <si>
    <t>纪明</t>
  </si>
  <si>
    <t>杨菲菲</t>
    <phoneticPr fontId="3" type="noConversion"/>
  </si>
  <si>
    <t>杨菲菲</t>
  </si>
  <si>
    <t>2013-22-GP-00906-U</t>
    <phoneticPr fontId="3" type="noConversion"/>
  </si>
  <si>
    <t>张焯</t>
    <phoneticPr fontId="3" type="noConversion"/>
  </si>
  <si>
    <t>420106197601210825</t>
    <phoneticPr fontId="3" type="noConversion"/>
  </si>
  <si>
    <t>13370131516</t>
    <phoneticPr fontId="3" type="noConversion"/>
  </si>
  <si>
    <t>新街口外大街甲8号</t>
    <phoneticPr fontId="3" type="noConversion"/>
  </si>
  <si>
    <t>20号楼</t>
    <phoneticPr fontId="3" type="noConversion"/>
  </si>
  <si>
    <t>2-13</t>
    <phoneticPr fontId="3" type="noConversion"/>
  </si>
  <si>
    <t>李淑芹</t>
    <phoneticPr fontId="3" type="noConversion"/>
  </si>
  <si>
    <t>二室一厅一卫一厨</t>
    <phoneticPr fontId="3" type="noConversion"/>
  </si>
  <si>
    <t>新增</t>
  </si>
  <si>
    <t>650033</t>
    <phoneticPr fontId="3" type="noConversion"/>
  </si>
  <si>
    <t>李淑芹</t>
    <phoneticPr fontId="3" type="noConversion"/>
  </si>
  <si>
    <t>双方</t>
    <phoneticPr fontId="3" type="noConversion"/>
  </si>
  <si>
    <t>含装修</t>
    <phoneticPr fontId="3" type="noConversion"/>
  </si>
  <si>
    <t>2013-22-GP-02095-U</t>
    <phoneticPr fontId="3" type="noConversion"/>
  </si>
  <si>
    <t>何涛</t>
    <phoneticPr fontId="3" type="noConversion"/>
  </si>
  <si>
    <t>640103197908280934</t>
    <phoneticPr fontId="3" type="noConversion"/>
  </si>
  <si>
    <t>新街口外大街6号</t>
    <phoneticPr fontId="3" type="noConversion"/>
  </si>
  <si>
    <t>4号楼</t>
    <phoneticPr fontId="3" type="noConversion"/>
  </si>
  <si>
    <t>5门</t>
    <phoneticPr fontId="3" type="noConversion"/>
  </si>
  <si>
    <t>王红雨</t>
    <phoneticPr fontId="3" type="noConversion"/>
  </si>
  <si>
    <t>杨熙</t>
    <phoneticPr fontId="3" type="noConversion"/>
  </si>
  <si>
    <t>杨熙</t>
    <phoneticPr fontId="3" type="noConversion"/>
  </si>
  <si>
    <t>杨熙</t>
  </si>
  <si>
    <t>2013-22-YP-02145-U-Z</t>
  </si>
  <si>
    <t>王倩、崔甜</t>
  </si>
  <si>
    <t>420115198206304718、140202198306293522</t>
    <phoneticPr fontId="3" type="noConversion"/>
  </si>
  <si>
    <t>13488752630</t>
    <phoneticPr fontId="3" type="noConversion"/>
  </si>
  <si>
    <t>新街口外大街10号院</t>
    <phoneticPr fontId="3" type="noConversion"/>
  </si>
  <si>
    <t>5层12门502号</t>
    <phoneticPr fontId="3" type="noConversion"/>
  </si>
  <si>
    <t>5</t>
    <phoneticPr fontId="3" type="noConversion"/>
  </si>
  <si>
    <t>李晓岩</t>
    <phoneticPr fontId="3" type="noConversion"/>
  </si>
  <si>
    <t>杨菲菲</t>
    <phoneticPr fontId="3" type="noConversion"/>
  </si>
  <si>
    <t>684378</t>
    <phoneticPr fontId="3" type="noConversion"/>
  </si>
  <si>
    <t>张敬京</t>
    <phoneticPr fontId="3" type="noConversion"/>
  </si>
  <si>
    <t>杨菲菲</t>
    <phoneticPr fontId="3" type="noConversion"/>
  </si>
  <si>
    <t>2013-22-GP-26539-U</t>
    <phoneticPr fontId="3" type="noConversion"/>
  </si>
  <si>
    <t>叶研</t>
    <phoneticPr fontId="3" type="noConversion"/>
  </si>
  <si>
    <t>412727198302150016</t>
    <phoneticPr fontId="3" type="noConversion"/>
  </si>
  <si>
    <t>13911137124</t>
    <phoneticPr fontId="3" type="noConversion"/>
  </si>
  <si>
    <t>海淀区</t>
    <phoneticPr fontId="3" type="noConversion"/>
  </si>
  <si>
    <t>新街口外大街31号</t>
    <phoneticPr fontId="3" type="noConversion"/>
  </si>
  <si>
    <t>2号楼</t>
    <phoneticPr fontId="3" type="noConversion"/>
  </si>
  <si>
    <t>5门六层</t>
    <phoneticPr fontId="3" type="noConversion"/>
  </si>
  <si>
    <t>562</t>
    <phoneticPr fontId="3" type="noConversion"/>
  </si>
  <si>
    <t>全淑英</t>
    <phoneticPr fontId="3" type="noConversion"/>
  </si>
  <si>
    <t>6</t>
    <phoneticPr fontId="3" type="noConversion"/>
  </si>
  <si>
    <t>二室一厅一卫一厨</t>
    <phoneticPr fontId="3" type="noConversion"/>
  </si>
  <si>
    <t>北京住房公积金管理中心中央国家机关分中心</t>
    <phoneticPr fontId="3" type="noConversion"/>
  </si>
  <si>
    <t>汪鸿</t>
    <phoneticPr fontId="3" type="noConversion"/>
  </si>
  <si>
    <t>五</t>
    <phoneticPr fontId="3" type="noConversion"/>
  </si>
  <si>
    <t>新增</t>
    <phoneticPr fontId="3" type="noConversion"/>
  </si>
  <si>
    <t>760045</t>
    <phoneticPr fontId="3" type="noConversion"/>
  </si>
  <si>
    <t>全淑英</t>
    <phoneticPr fontId="3" type="noConversion"/>
  </si>
  <si>
    <t>2013-22-CP-19842-FU</t>
  </si>
  <si>
    <t>王厚昕</t>
  </si>
  <si>
    <t>371203197710083717</t>
    <phoneticPr fontId="3" type="noConversion"/>
  </si>
  <si>
    <t>新街口外大街31号</t>
    <phoneticPr fontId="3" type="noConversion"/>
  </si>
  <si>
    <t>3号楼</t>
    <phoneticPr fontId="3" type="noConversion"/>
  </si>
  <si>
    <t>2层7门</t>
    <phoneticPr fontId="3" type="noConversion"/>
  </si>
  <si>
    <t>复式、平层√、跃层、错层</t>
    <phoneticPr fontId="3" type="noConversion"/>
  </si>
  <si>
    <t>七</t>
    <phoneticPr fontId="3" type="noConversion"/>
  </si>
  <si>
    <t>孙雪松</t>
    <phoneticPr fontId="3" type="noConversion"/>
  </si>
  <si>
    <t>张大力</t>
    <phoneticPr fontId="3" type="noConversion"/>
  </si>
  <si>
    <t>孙雪松</t>
    <phoneticPr fontId="3" type="noConversion"/>
  </si>
  <si>
    <t>孙雪松</t>
  </si>
  <si>
    <t>2013-22-YP-32064-FU</t>
    <phoneticPr fontId="3" type="noConversion"/>
  </si>
  <si>
    <t>许丽敏</t>
  </si>
  <si>
    <t>610103197804142427</t>
  </si>
  <si>
    <t>西城区</t>
  </si>
  <si>
    <t>新街口外大街10号院</t>
  </si>
  <si>
    <t>3层19门</t>
  </si>
  <si>
    <t>301号</t>
  </si>
  <si>
    <t>二室一厅一卫一厨</t>
  </si>
  <si>
    <t>刘宇宁</t>
  </si>
  <si>
    <t>八</t>
    <phoneticPr fontId="3" type="noConversion"/>
  </si>
  <si>
    <t>王晶晶</t>
    <phoneticPr fontId="3" type="noConversion"/>
  </si>
  <si>
    <t>换正式</t>
    <phoneticPr fontId="3" type="noConversion"/>
  </si>
  <si>
    <t>771684</t>
  </si>
  <si>
    <t>张润华</t>
  </si>
  <si>
    <t>王晶晶</t>
    <phoneticPr fontId="3" type="noConversion"/>
  </si>
  <si>
    <t>王晶晶</t>
  </si>
  <si>
    <t>2013-22-YP-40683-FU</t>
    <phoneticPr fontId="3" type="noConversion"/>
  </si>
  <si>
    <t>邢曼</t>
    <phoneticPr fontId="3" type="noConversion"/>
  </si>
  <si>
    <t>110109198112041224</t>
    <phoneticPr fontId="3" type="noConversion"/>
  </si>
  <si>
    <t>海淀区</t>
    <phoneticPr fontId="3" type="noConversion"/>
  </si>
  <si>
    <t>新街口外大街31号</t>
    <phoneticPr fontId="3" type="noConversion"/>
  </si>
  <si>
    <t>8层4门</t>
    <phoneticPr fontId="3" type="noConversion"/>
  </si>
  <si>
    <t>802</t>
    <phoneticPr fontId="3" type="noConversion"/>
  </si>
  <si>
    <t>北京住房公积金管理中心住房公积金贷款中心</t>
    <phoneticPr fontId="3" type="noConversion"/>
  </si>
  <si>
    <t>十</t>
    <phoneticPr fontId="3" type="noConversion"/>
  </si>
  <si>
    <t>801399</t>
    <phoneticPr fontId="3" type="noConversion"/>
  </si>
  <si>
    <t>陈莹</t>
    <phoneticPr fontId="3" type="noConversion"/>
  </si>
  <si>
    <t>2013-22-CP-47143-U</t>
    <phoneticPr fontId="3" type="noConversion"/>
  </si>
  <si>
    <t>王云、张</t>
    <phoneticPr fontId="3" type="noConversion"/>
  </si>
  <si>
    <t>110102197608093053、110101197801253526</t>
    <phoneticPr fontId="3" type="noConversion"/>
  </si>
  <si>
    <t>13801209293</t>
    <phoneticPr fontId="3" type="noConversion"/>
  </si>
  <si>
    <t>新街口外大街28号院</t>
    <phoneticPr fontId="3" type="noConversion"/>
  </si>
  <si>
    <t>9号楼</t>
    <phoneticPr fontId="3" type="noConversion"/>
  </si>
  <si>
    <t>6层</t>
    <phoneticPr fontId="3" type="noConversion"/>
  </si>
  <si>
    <t>3-603</t>
    <phoneticPr fontId="3" type="noConversion"/>
  </si>
  <si>
    <t>王云、张</t>
    <phoneticPr fontId="3" type="noConversion"/>
  </si>
  <si>
    <t>十二</t>
    <phoneticPr fontId="3" type="noConversion"/>
  </si>
  <si>
    <t>付希</t>
    <phoneticPr fontId="3" type="noConversion"/>
  </si>
  <si>
    <t>换正式</t>
    <phoneticPr fontId="3" type="noConversion"/>
  </si>
  <si>
    <t>828628</t>
    <phoneticPr fontId="3" type="noConversion"/>
  </si>
  <si>
    <t>李崇良</t>
    <phoneticPr fontId="3" type="noConversion"/>
  </si>
  <si>
    <t>付希</t>
    <phoneticPr fontId="3" type="noConversion"/>
  </si>
  <si>
    <t>付希</t>
  </si>
  <si>
    <t>装修</t>
    <phoneticPr fontId="24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</si>
  <si>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</si>
  <si>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</si>
  <si>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</si>
  <si>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</si>
  <si>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</si>
  <si>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</si>
  <si>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</si>
  <si>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</si>
  <si>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</si>
  <si>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</si>
  <si>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</si>
  <si>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</si>
  <si>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</si>
  <si>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</si>
  <si>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</si>
  <si>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</si>
  <si>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</si>
  <si>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</si>
  <si>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</si>
  <si>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</si>
  <si>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</si>
  <si>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</si>
  <si>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</si>
  <si>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</si>
  <si>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</si>
  <si>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</si>
  <si>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</si>
  <si>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</si>
  <si>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</si>
  <si>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</si>
  <si>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</si>
  <si>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</si>
  <si>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</si>
  <si>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</si>
  <si>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</si>
  <si>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</si>
  <si>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</si>
  <si>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</si>
  <si>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</si>
  <si>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</si>
  <si>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</si>
  <si>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</si>
  <si>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</si>
  <si>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</si>
  <si>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</si>
  <si>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</si>
  <si>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</si>
  <si>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</si>
  <si>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</si>
  <si>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</si>
  <si>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</si>
  <si>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</si>
  <si>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</si>
  <si>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</si>
  <si>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</si>
  <si>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</si>
  <si>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</si>
  <si>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</si>
  <si>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</si>
  <si>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3层19门301号</t>
  </si>
  <si>
    <t>涂料</t>
  </si>
  <si>
    <t>外窗：塑钢窗；外门：防盗门</t>
  </si>
  <si>
    <t>铝扣板吊顶</t>
  </si>
  <si>
    <t>瓷砖</t>
  </si>
  <si>
    <t>地砖、木地板</t>
  </si>
  <si>
    <t>地砖</t>
  </si>
  <si>
    <t>木门</t>
  </si>
  <si>
    <t>洗菜池、整体橱柜、灶具、抽油烟机</t>
  </si>
  <si>
    <t>面盆、座便器</t>
  </si>
  <si>
    <t>水泥地面，涂料墙面</t>
  </si>
  <si>
    <t>市政供水</t>
  </si>
  <si>
    <t>市政排水</t>
  </si>
  <si>
    <t>市政供电</t>
  </si>
  <si>
    <t>集中供暖</t>
  </si>
  <si>
    <t>管道燃气入户</t>
  </si>
  <si>
    <t>有线电视、电话线、宽带入户</t>
  </si>
  <si>
    <t>消防井</t>
  </si>
  <si>
    <t>电表磁卡计费</t>
  </si>
  <si>
    <t>小区门卫</t>
  </si>
  <si>
    <t>无</t>
  </si>
  <si>
    <t>无法停车</t>
  </si>
  <si>
    <t>自管</t>
  </si>
  <si>
    <t>标准居住区</t>
  </si>
  <si>
    <t>市级、区级、小区级√、街区级</t>
  </si>
  <si>
    <t>城市主干道、城市次干道√、支路</t>
  </si>
  <si>
    <t>有22、16路等公交线路及地铁2号线经过</t>
  </si>
  <si>
    <t>利用周围配套设施</t>
    <phoneticPr fontId="3" type="noConversion"/>
  </si>
  <si>
    <t>√</t>
  </si>
  <si>
    <t>多层板楼</t>
  </si>
  <si>
    <t>良</t>
  </si>
  <si>
    <t>七通一平</t>
  </si>
  <si>
    <t>中</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</si>
  <si>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</si>
  <si>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</si>
  <si>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</si>
  <si>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</si>
  <si>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</si>
  <si>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</si>
  <si>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</si>
  <si>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</si>
  <si>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</si>
  <si>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</si>
  <si>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</si>
  <si>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</si>
  <si>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</si>
  <si>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</si>
  <si>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</si>
  <si>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</si>
  <si>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</si>
  <si>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</si>
  <si>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</si>
  <si>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</si>
  <si>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</si>
  <si>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</si>
  <si>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</si>
  <si>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</si>
  <si>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</si>
  <si>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</si>
  <si>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</si>
  <si>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</si>
  <si>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</si>
  <si>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</si>
  <si>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</si>
  <si>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</si>
  <si>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</si>
  <si>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2013-22-YP-32064-FU</t>
    <phoneticPr fontId="3" type="noConversion"/>
  </si>
  <si>
    <t>X京房权证西字第116690号</t>
    <phoneticPr fontId="19" type="noConversion"/>
  </si>
  <si>
    <t>西城区新街口外大街10号院3层19门301号</t>
    <phoneticPr fontId="19" type="noConversion"/>
  </si>
  <si>
    <t>混合</t>
    <phoneticPr fontId="19" type="noConversion"/>
  </si>
  <si>
    <t>6（-1）</t>
    <phoneticPr fontId="19" type="noConversion"/>
  </si>
  <si>
    <t>住宅</t>
    <phoneticPr fontId="19" type="noConversion"/>
  </si>
  <si>
    <t>单独所有</t>
    <phoneticPr fontId="19" type="noConversion"/>
  </si>
  <si>
    <t>2013-08-02</t>
    <phoneticPr fontId="19" type="noConversion"/>
  </si>
  <si>
    <t>商品房</t>
    <phoneticPr fontId="19" type="noConversion"/>
  </si>
  <si>
    <t>王晶晶</t>
    <phoneticPr fontId="19" type="noConversion"/>
  </si>
  <si>
    <t>新街口外大街10号院</t>
    <phoneticPr fontId="134" type="noConversion"/>
  </si>
  <si>
    <t>新街口外大街10号院</t>
    <phoneticPr fontId="3" type="noConversion"/>
  </si>
  <si>
    <t>2013-22-YP-32064-FU</t>
    <phoneticPr fontId="134" type="noConversion"/>
  </si>
  <si>
    <t>新街口外大街乙8号</t>
    <phoneticPr fontId="3" type="noConversion"/>
  </si>
  <si>
    <t>8/16</t>
    <phoneticPr fontId="24" type="noConversion"/>
  </si>
  <si>
    <t>5/7</t>
    <phoneticPr fontId="24" type="noConversion"/>
  </si>
  <si>
    <t>多层</t>
  </si>
  <si>
    <t>多层</t>
    <phoneticPr fontId="24" type="noConversion"/>
  </si>
  <si>
    <t>高层</t>
  </si>
  <si>
    <t>高层</t>
    <phoneticPr fontId="24" type="noConversion"/>
  </si>
  <si>
    <t>钢混</t>
  </si>
  <si>
    <t>钢混</t>
    <phoneticPr fontId="24" type="noConversion"/>
  </si>
  <si>
    <t>砖混</t>
  </si>
  <si>
    <t>砖混</t>
    <phoneticPr fontId="24" type="noConversion"/>
  </si>
  <si>
    <t>普装</t>
  </si>
  <si>
    <t>普装</t>
    <phoneticPr fontId="24" type="noConversion"/>
  </si>
  <si>
    <t>毛坯</t>
    <phoneticPr fontId="24" type="noConversion"/>
  </si>
  <si>
    <t>简装</t>
  </si>
  <si>
    <t>简装</t>
    <phoneticPr fontId="24" type="noConversion"/>
  </si>
  <si>
    <t>建成年代</t>
    <phoneticPr fontId="24" type="noConversion"/>
  </si>
  <si>
    <t>成本法 (元)</t>
  </si>
  <si>
    <t>比较法-住宅</t>
  </si>
  <si>
    <t>单套模式</t>
  </si>
  <si>
    <t>电梯</t>
    <phoneticPr fontId="24" type="noConversion"/>
  </si>
  <si>
    <t>无</t>
    <phoneticPr fontId="24" type="noConversion"/>
  </si>
  <si>
    <t>有</t>
    <phoneticPr fontId="24" type="noConversion"/>
  </si>
  <si>
    <t>有</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</si>
</sst>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DBNum1][$-411]General"/>
    <numFmt numFmtId="200"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right"/>
      <protection locked="0"/>
    </xf>
    <xf numFmtId="0" fontId="19" fillId="22" borderId="1" xfId="0"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1" xfId="0" applyFont="1" applyFill="1" applyBorder="1" applyAlignment="1" applyProtection="1">
      <protection locked="0"/>
    </xf>
    <xf numFmtId="0" fontId="19" fillId="0" borderId="1" xfId="0" applyNumberFormat="1"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alignment horizontal="right"/>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80" fillId="0" borderId="1" xfId="0" applyNumberFormat="1" applyFont="1" applyFill="1" applyBorder="1" applyAlignment="1" applyProtection="1">
      <alignment horizontal="center"/>
      <protection locked="0"/>
    </xf>
    <xf numFmtId="0" fontId="19" fillId="0" borderId="1" xfId="0" applyFont="1" applyFill="1" applyBorder="1" applyAlignment="1">
      <alignment horizontal="left"/>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0" fontId="19" fillId="0" borderId="1" xfId="0" applyFont="1" applyFill="1" applyBorder="1" applyAlignment="1">
      <alignment horizontal="center"/>
    </xf>
    <xf numFmtId="1"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7" fontId="19" fillId="0" borderId="1" xfId="0" applyNumberFormat="1" applyFont="1" applyFill="1" applyBorder="1" applyAlignment="1"/>
    <xf numFmtId="179" fontId="19" fillId="0" borderId="1" xfId="0" applyNumberFormat="1" applyFont="1" applyFill="1" applyBorder="1" applyAlignment="1"/>
    <xf numFmtId="183" fontId="19" fillId="0" borderId="1" xfId="0" applyNumberFormat="1" applyFont="1" applyFill="1" applyBorder="1" applyAlignment="1"/>
    <xf numFmtId="0" fontId="270" fillId="0" borderId="0" xfId="0" applyFont="1" applyFill="1" applyBorder="1" applyAlignment="1"/>
    <xf numFmtId="0" fontId="19" fillId="0" borderId="0" xfId="0" applyNumberFormat="1" applyFont="1" applyFill="1" applyBorder="1" applyAlignment="1"/>
    <xf numFmtId="0" fontId="19" fillId="0" borderId="0" xfId="0" applyFont="1" applyFill="1" applyBorder="1" applyAlignment="1"/>
    <xf numFmtId="49" fontId="19" fillId="0" borderId="1" xfId="0" applyNumberFormat="1" applyFont="1" applyFill="1" applyBorder="1" applyAlignment="1">
      <alignment horizontal="right"/>
    </xf>
    <xf numFmtId="198" fontId="19" fillId="0" borderId="1" xfId="0" applyNumberFormat="1" applyFont="1" applyFill="1" applyBorder="1" applyAlignment="1" applyProtection="1">
      <alignment horizontal="center"/>
    </xf>
    <xf numFmtId="0" fontId="19" fillId="0" borderId="1" xfId="0" applyNumberFormat="1" applyFont="1" applyFill="1" applyBorder="1" applyAlignment="1"/>
    <xf numFmtId="0" fontId="19" fillId="0" borderId="0" xfId="0" applyNumberFormat="1" applyFont="1" applyFill="1" applyBorder="1" applyAlignment="1" applyProtection="1">
      <alignment horizontal="center"/>
      <protection locked="0"/>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0" fontId="19" fillId="0" borderId="1" xfId="0" applyFont="1" applyFill="1" applyBorder="1" applyAlignment="1">
      <alignment horizontal="right" vertical="center"/>
    </xf>
    <xf numFmtId="1" fontId="19"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198" fontId="19" fillId="0" borderId="1" xfId="0" applyNumberFormat="1" applyFont="1" applyFill="1" applyBorder="1" applyAlignment="1" applyProtection="1">
      <alignment horizontal="center" vertical="center"/>
    </xf>
    <xf numFmtId="183"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0" xfId="0" applyFont="1" applyFill="1" applyBorder="1" applyAlignment="1">
      <alignment vertical="center"/>
    </xf>
    <xf numFmtId="49" fontId="19" fillId="0" borderId="1" xfId="0" applyNumberFormat="1" applyFont="1" applyFill="1" applyBorder="1" applyAlignment="1">
      <alignment horizontal="left"/>
    </xf>
    <xf numFmtId="31" fontId="19" fillId="0" borderId="1" xfId="0" applyNumberFormat="1" applyFont="1" applyFill="1" applyBorder="1" applyAlignment="1"/>
    <xf numFmtId="0" fontId="19" fillId="0" borderId="1" xfId="0" applyFont="1" applyFill="1" applyBorder="1" applyAlignment="1" applyProtection="1">
      <alignment horizontal="left"/>
    </xf>
    <xf numFmtId="49" fontId="19" fillId="0" borderId="1" xfId="0" applyNumberFormat="1" applyFont="1" applyFill="1" applyBorder="1" applyAlignment="1" applyProtection="1">
      <alignment horizontal="left"/>
    </xf>
    <xf numFmtId="0" fontId="19" fillId="0" borderId="1" xfId="0" applyFont="1" applyFill="1" applyBorder="1" applyAlignment="1" applyProtection="1">
      <alignment horizontal="right"/>
      <protection locked="0"/>
    </xf>
    <xf numFmtId="49" fontId="19" fillId="0" borderId="1" xfId="0" applyNumberFormat="1" applyFont="1" applyFill="1" applyBorder="1" applyAlignment="1" applyProtection="1"/>
    <xf numFmtId="0" fontId="19" fillId="0" borderId="1" xfId="0" applyFont="1" applyFill="1" applyBorder="1" applyAlignment="1" applyProtection="1"/>
    <xf numFmtId="31" fontId="19" fillId="0" borderId="1" xfId="0" applyNumberFormat="1" applyFont="1" applyFill="1" applyBorder="1" applyAlignment="1" applyProtection="1"/>
    <xf numFmtId="49" fontId="19" fillId="0" borderId="1" xfId="0" applyNumberFormat="1" applyFont="1" applyFill="1" applyBorder="1" applyAlignment="1" applyProtection="1">
      <alignment horizontal="left"/>
      <protection locked="0"/>
    </xf>
    <xf numFmtId="0" fontId="19" fillId="0" borderId="1" xfId="0" applyFont="1" applyFill="1" applyBorder="1" applyAlignment="1" applyProtection="1">
      <alignment horizontal="left"/>
      <protection locked="0"/>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31" fontId="19" fillId="0" borderId="1" xfId="0" applyNumberFormat="1" applyFont="1" applyFill="1" applyBorder="1" applyAlignment="1" applyProtection="1">
      <alignment horizontal="right"/>
      <protection locked="0"/>
    </xf>
    <xf numFmtId="183" fontId="19" fillId="0" borderId="1" xfId="0" applyNumberFormat="1" applyFont="1" applyFill="1" applyBorder="1" applyAlignment="1" applyProtection="1">
      <protection locked="0"/>
    </xf>
    <xf numFmtId="0" fontId="19" fillId="0" borderId="1" xfId="0" applyFont="1" applyFill="1" applyBorder="1" applyAlignment="1" applyProtection="1">
      <alignment horizontal="left" vertical="center"/>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right" vertical="center"/>
      <protection locked="0"/>
    </xf>
    <xf numFmtId="49" fontId="19" fillId="0" borderId="1" xfId="0" applyNumberFormat="1" applyFont="1" applyFill="1" applyBorder="1" applyAlignment="1" applyProtection="1">
      <alignment vertical="center"/>
    </xf>
    <xf numFmtId="0" fontId="19" fillId="0" borderId="1" xfId="0" applyFont="1" applyFill="1" applyBorder="1" applyAlignment="1">
      <alignment horizontal="center" vertical="center"/>
    </xf>
    <xf numFmtId="0" fontId="19" fillId="0" borderId="1" xfId="0" applyFont="1" applyFill="1" applyBorder="1" applyAlignment="1" applyProtection="1">
      <alignment horizontal="center" vertical="center"/>
    </xf>
    <xf numFmtId="31" fontId="19" fillId="0" borderId="1" xfId="0" applyNumberFormat="1" applyFont="1" applyFill="1" applyBorder="1" applyAlignment="1" applyProtection="1">
      <alignment vertical="center"/>
    </xf>
    <xf numFmtId="198" fontId="19" fillId="0" borderId="1" xfId="0" applyNumberFormat="1" applyFont="1" applyFill="1" applyBorder="1" applyAlignment="1">
      <alignment horizontal="left" vertical="center"/>
    </xf>
    <xf numFmtId="49" fontId="19" fillId="0" borderId="1" xfId="0" applyNumberFormat="1" applyFont="1" applyFill="1" applyBorder="1" applyAlignment="1" applyProtection="1">
      <alignment vertical="center"/>
      <protection locked="0"/>
    </xf>
    <xf numFmtId="0" fontId="19" fillId="0" borderId="1" xfId="0"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right" vertical="center"/>
      <protection locked="0"/>
    </xf>
    <xf numFmtId="179"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pplyProtection="1">
      <alignment horizontal="right" vertical="center"/>
      <protection locked="0"/>
    </xf>
    <xf numFmtId="58"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lignment vertical="center"/>
    </xf>
    <xf numFmtId="183" fontId="19" fillId="0" borderId="1" xfId="0" applyNumberFormat="1" applyFont="1" applyFill="1" applyBorder="1" applyAlignment="1" applyProtection="1">
      <alignment vertical="center"/>
      <protection locked="0"/>
    </xf>
    <xf numFmtId="0" fontId="19" fillId="0" borderId="1" xfId="0" applyFont="1" applyFill="1" applyBorder="1" applyAlignment="1">
      <alignment horizontal="left" vertical="center"/>
    </xf>
    <xf numFmtId="49" fontId="19" fillId="0" borderId="1" xfId="0" applyNumberFormat="1" applyFont="1" applyFill="1" applyBorder="1" applyAlignment="1">
      <alignment horizontal="left" vertical="center"/>
    </xf>
    <xf numFmtId="0" fontId="19" fillId="0" borderId="1" xfId="0" applyNumberFormat="1" applyFont="1" applyFill="1" applyBorder="1" applyAlignment="1">
      <alignment horizontal="right" vertical="center"/>
    </xf>
    <xf numFmtId="31" fontId="19" fillId="0" borderId="1" xfId="0" applyNumberFormat="1" applyFont="1" applyFill="1" applyBorder="1" applyAlignment="1">
      <alignment horizontal="left" vertical="center"/>
    </xf>
    <xf numFmtId="183"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199" fontId="19" fillId="0" borderId="1" xfId="0" applyNumberFormat="1" applyFont="1" applyFill="1" applyBorder="1" applyAlignment="1">
      <alignment vertical="center"/>
    </xf>
    <xf numFmtId="0" fontId="19" fillId="0" borderId="1" xfId="0" applyNumberFormat="1" applyFont="1" applyFill="1" applyBorder="1" applyAlignment="1">
      <alignment vertical="center"/>
    </xf>
    <xf numFmtId="197" fontId="19" fillId="0" borderId="1" xfId="0" applyNumberFormat="1" applyFont="1" applyFill="1" applyBorder="1" applyAlignment="1">
      <alignment vertical="center"/>
    </xf>
    <xf numFmtId="179" fontId="19" fillId="0" borderId="1" xfId="0" applyNumberFormat="1" applyFont="1" applyFill="1" applyBorder="1" applyAlignment="1">
      <alignment vertical="center"/>
    </xf>
    <xf numFmtId="198" fontId="19" fillId="0" borderId="1" xfId="0" applyNumberFormat="1" applyFont="1" applyFill="1" applyBorder="1" applyAlignment="1" applyProtection="1">
      <alignment horizontal="left" vertical="center"/>
    </xf>
    <xf numFmtId="197" fontId="19" fillId="0" borderId="1" xfId="0" applyNumberFormat="1" applyFont="1" applyFill="1" applyBorder="1" applyAlignment="1" applyProtection="1">
      <alignment vertical="center"/>
      <protection locked="0"/>
    </xf>
    <xf numFmtId="49"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58" fontId="19" fillId="0" borderId="1" xfId="0" applyNumberFormat="1" applyFont="1" applyFill="1" applyBorder="1" applyAlignment="1" applyProtection="1">
      <protection locked="0"/>
    </xf>
    <xf numFmtId="0" fontId="19" fillId="0" borderId="1" xfId="0" applyFont="1" applyFill="1" applyBorder="1" applyAlignment="1">
      <alignment horizontal="right" wrapText="1"/>
    </xf>
    <xf numFmtId="31" fontId="19" fillId="0" borderId="1" xfId="0" applyNumberFormat="1" applyFont="1" applyFill="1" applyBorder="1" applyAlignment="1">
      <alignment horizontal="left"/>
    </xf>
    <xf numFmtId="197" fontId="19" fillId="0" borderId="1" xfId="0" applyNumberFormat="1" applyFont="1" applyFill="1" applyBorder="1" applyAlignment="1">
      <alignment horizontal="left"/>
    </xf>
    <xf numFmtId="179" fontId="19" fillId="0" borderId="1"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pplyProtection="1">
      <protection locked="0"/>
    </xf>
    <xf numFmtId="200" fontId="19" fillId="0" borderId="1" xfId="0" applyNumberFormat="1" applyFont="1" applyFill="1" applyBorder="1" applyAlignment="1">
      <alignment horizontal="right"/>
    </xf>
    <xf numFmtId="185" fontId="19" fillId="0" borderId="1" xfId="0" applyNumberFormat="1" applyFont="1" applyFill="1" applyBorder="1" applyAlignment="1">
      <alignment horizontal="right" vertical="center"/>
    </xf>
    <xf numFmtId="49" fontId="19" fillId="0" borderId="1" xfId="0" applyNumberFormat="1" applyFont="1" applyFill="1" applyBorder="1" applyAlignment="1" applyProtection="1">
      <alignment horizontal="left" vertical="center"/>
      <protection locked="0"/>
    </xf>
    <xf numFmtId="31" fontId="19" fillId="0" borderId="1" xfId="0" applyNumberFormat="1" applyFont="1" applyFill="1" applyBorder="1" applyAlignment="1" applyProtection="1">
      <alignment vertical="center"/>
      <protection locked="0"/>
    </xf>
    <xf numFmtId="0" fontId="19" fillId="5" borderId="1" xfId="0" applyFont="1" applyFill="1" applyBorder="1" applyAlignment="1">
      <alignment horizontal="left" vertical="center"/>
    </xf>
    <xf numFmtId="0" fontId="19" fillId="5" borderId="1" xfId="0" applyFont="1" applyFill="1" applyBorder="1" applyAlignment="1">
      <alignment vertical="center"/>
    </xf>
    <xf numFmtId="49" fontId="19" fillId="5" borderId="1" xfId="0" applyNumberFormat="1" applyFont="1" applyFill="1" applyBorder="1" applyAlignment="1">
      <alignment vertical="center"/>
    </xf>
    <xf numFmtId="0" fontId="19" fillId="5" borderId="1" xfId="0" applyFont="1" applyFill="1" applyBorder="1" applyAlignment="1">
      <alignment horizontal="right" vertical="center"/>
    </xf>
    <xf numFmtId="0" fontId="19" fillId="5" borderId="1" xfId="0" applyNumberFormat="1" applyFont="1" applyFill="1" applyBorder="1" applyAlignment="1">
      <alignment vertical="center"/>
    </xf>
    <xf numFmtId="2" fontId="19" fillId="5" borderId="1" xfId="0" applyNumberFormat="1" applyFont="1" applyFill="1" applyBorder="1" applyAlignment="1">
      <alignment vertical="center"/>
    </xf>
    <xf numFmtId="196" fontId="19" fillId="5" borderId="1" xfId="0" applyNumberFormat="1" applyFont="1" applyFill="1" applyBorder="1" applyAlignment="1">
      <alignment horizontal="right" vertical="center"/>
    </xf>
    <xf numFmtId="9" fontId="19" fillId="5" borderId="1" xfId="0" applyNumberFormat="1" applyFont="1" applyFill="1" applyBorder="1" applyAlignment="1">
      <alignment vertical="center"/>
    </xf>
    <xf numFmtId="2" fontId="19" fillId="5" borderId="1" xfId="0" applyNumberFormat="1" applyFont="1" applyFill="1" applyBorder="1" applyAlignment="1" applyProtection="1">
      <alignment vertical="center"/>
    </xf>
    <xf numFmtId="196" fontId="19" fillId="5" borderId="1" xfId="0" applyNumberFormat="1" applyFont="1" applyFill="1" applyBorder="1" applyAlignment="1">
      <alignment vertical="center"/>
    </xf>
    <xf numFmtId="197" fontId="19" fillId="5" borderId="1" xfId="0" applyNumberFormat="1" applyFont="1" applyFill="1" applyBorder="1" applyAlignment="1">
      <alignment vertical="center"/>
    </xf>
    <xf numFmtId="179" fontId="19" fillId="5" borderId="1" xfId="0" applyNumberFormat="1" applyFont="1" applyFill="1" applyBorder="1" applyAlignment="1">
      <alignment vertical="center"/>
    </xf>
    <xf numFmtId="183" fontId="19" fillId="5" borderId="1" xfId="0" applyNumberFormat="1" applyFont="1" applyFill="1" applyBorder="1" applyAlignment="1">
      <alignment vertical="center"/>
    </xf>
    <xf numFmtId="31" fontId="19" fillId="5" borderId="1" xfId="0" applyNumberFormat="1" applyFont="1" applyFill="1" applyBorder="1" applyAlignment="1">
      <alignment vertical="center"/>
    </xf>
    <xf numFmtId="0" fontId="19" fillId="5" borderId="1" xfId="0" applyFont="1" applyFill="1" applyBorder="1" applyAlignment="1" applyProtection="1">
      <alignment vertical="center"/>
      <protection locked="0"/>
    </xf>
    <xf numFmtId="0" fontId="270" fillId="5" borderId="0" xfId="0" applyFont="1" applyFill="1" applyBorder="1" applyAlignment="1"/>
    <xf numFmtId="0" fontId="19" fillId="5" borderId="0" xfId="0" applyFont="1" applyFill="1" applyBorder="1" applyAlignment="1" applyProtection="1">
      <alignment vertical="center"/>
      <protection locked="0"/>
    </xf>
    <xf numFmtId="0" fontId="19" fillId="5" borderId="0" xfId="0" applyFont="1" applyFill="1" applyBorder="1" applyAlignment="1">
      <alignment vertical="center"/>
    </xf>
    <xf numFmtId="0" fontId="19" fillId="0" borderId="1" xfId="0" applyNumberFormat="1" applyFont="1" applyFill="1" applyBorder="1" applyAlignment="1">
      <alignment horizontal="right"/>
    </xf>
    <xf numFmtId="58" fontId="19" fillId="0" borderId="1" xfId="0" applyNumberFormat="1" applyFont="1" applyFill="1" applyBorder="1" applyAlignment="1"/>
    <xf numFmtId="196" fontId="19" fillId="0" borderId="1" xfId="0" applyNumberFormat="1" applyFont="1" applyFill="1" applyBorder="1" applyAlignment="1">
      <alignment vertical="center"/>
    </xf>
    <xf numFmtId="9" fontId="19" fillId="0" borderId="1" xfId="0" applyNumberFormat="1" applyFont="1" applyFill="1" applyBorder="1" applyAlignment="1">
      <alignment vertical="center"/>
    </xf>
    <xf numFmtId="0" fontId="19" fillId="0" borderId="1" xfId="0" applyFont="1" applyFill="1" applyBorder="1" applyAlignment="1" applyProtection="1">
      <alignment horizontal="center" vertical="center"/>
      <protection locked="0"/>
    </xf>
    <xf numFmtId="0" fontId="80" fillId="22" borderId="1" xfId="0" applyFont="1" applyFill="1" applyBorder="1" applyAlignment="1">
      <alignment horizontal="left"/>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80" fillId="22" borderId="1"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19" fillId="23" borderId="1" xfId="0" applyFont="1" applyFill="1" applyBorder="1" applyAlignment="1">
      <alignment horizontal="left" vertical="center"/>
    </xf>
    <xf numFmtId="0" fontId="19" fillId="23" borderId="1" xfId="0" applyFont="1" applyFill="1" applyBorder="1">
      <alignment vertical="center"/>
    </xf>
    <xf numFmtId="0" fontId="19" fillId="23" borderId="1" xfId="0" applyFont="1" applyFill="1" applyBorder="1" applyProtection="1">
      <alignment vertical="center"/>
      <protection locked="0"/>
    </xf>
    <xf numFmtId="0" fontId="19" fillId="23" borderId="1" xfId="0" applyFont="1" applyFill="1" applyBorder="1" applyAlignment="1">
      <alignment horizontal="right" vertical="center"/>
    </xf>
    <xf numFmtId="0" fontId="19" fillId="0" borderId="0" xfId="0" applyFont="1">
      <alignment vertical="center"/>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49" fontId="19" fillId="23" borderId="1" xfId="0" applyNumberFormat="1" applyFont="1" applyFill="1" applyBorder="1">
      <alignment vertical="center"/>
    </xf>
    <xf numFmtId="0" fontId="94" fillId="0" borderId="9" xfId="0" applyNumberFormat="1" applyFont="1" applyFill="1" applyBorder="1" applyAlignment="1" applyProtection="1">
      <alignment horizontal="center" vertical="center" wrapText="1"/>
      <protection locked="0"/>
    </xf>
    <xf numFmtId="49" fontId="44" fillId="9" borderId="7" xfId="0" applyNumberFormat="1" applyFont="1" applyFill="1" applyBorder="1" applyAlignment="1" applyProtection="1">
      <alignment horizontal="center" vertical="center" wrapText="1"/>
      <protection locked="0"/>
    </xf>
    <xf numFmtId="0" fontId="44" fillId="9" borderId="8" xfId="0" applyNumberFormat="1" applyFont="1" applyFill="1" applyBorder="1" applyAlignment="1" applyProtection="1">
      <alignment horizontal="center" vertical="center" wrapText="1"/>
    </xf>
    <xf numFmtId="0" fontId="51" fillId="9" borderId="30" xfId="0" applyFont="1" applyFill="1" applyBorder="1" applyAlignment="1" applyProtection="1">
      <alignment horizontal="center" vertical="center" wrapText="1"/>
      <protection locked="0"/>
    </xf>
    <xf numFmtId="0" fontId="51" fillId="9" borderId="5" xfId="0" applyNumberFormat="1"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80" fillId="22" borderId="5"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141443</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3" cy="4571429"/>
        </a:xfrm>
        <a:prstGeom prst="rect">
          <a:avLst/>
        </a:prstGeom>
      </xdr:spPr>
    </xdr:pic>
    <xdr:clientData/>
  </xdr:twoCellAnchor>
  <xdr:twoCellAnchor editAs="oneCell">
    <xdr:from>
      <xdr:col>0</xdr:col>
      <xdr:colOff>0</xdr:colOff>
      <xdr:row>27</xdr:row>
      <xdr:rowOff>0</xdr:rowOff>
    </xdr:from>
    <xdr:to>
      <xdr:col>17</xdr:col>
      <xdr:colOff>388890</xdr:colOff>
      <xdr:row>39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3076190" cy="2095238"/>
        </a:xfrm>
        <a:prstGeom prst="rect">
          <a:avLst/>
        </a:prstGeom>
      </xdr:spPr>
    </xdr:pic>
    <xdr:clientData/>
  </xdr:twoCellAnchor>
  <xdr:twoCellAnchor editAs="oneCell">
    <xdr:from>
      <xdr:col>0</xdr:col>
      <xdr:colOff>0</xdr:colOff>
      <xdr:row>39</xdr:row>
      <xdr:rowOff>0</xdr:rowOff>
    </xdr:from>
    <xdr:to>
      <xdr:col>17</xdr:col>
      <xdr:colOff>255557</xdr:colOff>
      <xdr:row>66</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2942857" cy="4695238"/>
        </a:xfrm>
        <a:prstGeom prst="rect">
          <a:avLst/>
        </a:prstGeom>
      </xdr:spPr>
    </xdr:pic>
    <xdr:clientData/>
  </xdr:twoCellAnchor>
  <xdr:twoCellAnchor editAs="oneCell">
    <xdr:from>
      <xdr:col>0</xdr:col>
      <xdr:colOff>0</xdr:colOff>
      <xdr:row>65</xdr:row>
      <xdr:rowOff>152400</xdr:rowOff>
    </xdr:from>
    <xdr:to>
      <xdr:col>17</xdr:col>
      <xdr:colOff>236509</xdr:colOff>
      <xdr:row>81</xdr:row>
      <xdr:rowOff>28248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6650"/>
          <a:ext cx="12923809" cy="2619048"/>
        </a:xfrm>
        <a:prstGeom prst="rect">
          <a:avLst/>
        </a:prstGeom>
      </xdr:spPr>
    </xdr:pic>
    <xdr:clientData/>
  </xdr:twoCellAnchor>
  <xdr:twoCellAnchor editAs="oneCell">
    <xdr:from>
      <xdr:col>0</xdr:col>
      <xdr:colOff>0</xdr:colOff>
      <xdr:row>81</xdr:row>
      <xdr:rowOff>9525</xdr:rowOff>
    </xdr:from>
    <xdr:to>
      <xdr:col>3</xdr:col>
      <xdr:colOff>361519</xdr:colOff>
      <xdr:row>98</xdr:row>
      <xdr:rowOff>152018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96975"/>
          <a:ext cx="3447619"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1002414</v>
          </cell>
        </row>
      </sheetData>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2013年10月21日</v>
      </c>
    </row>
    <row r="13" spans="1:2" s="1203" customFormat="1">
      <c r="A13" s="1201" t="s">
        <v>529</v>
      </c>
      <c r="B13" s="1202" t="str">
        <f>'预评函-1'!A18</f>
        <v>本次估价的“房地产价值”是指在正常市场情况下，在价值时点2013年10月21日，估价对象规划用途为，土地取得方式为划拨，假定未设立法定优先受偿款下的房地产市场价值。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3"/>
      <c r="B54" s="1554" t="s">
        <v>385</v>
      </c>
      <c r="C54" s="1551" t="s">
        <v>583</v>
      </c>
    </row>
    <row r="55" spans="1:4">
      <c r="A55" s="3673"/>
      <c r="B55" s="1554" t="s">
        <v>386</v>
      </c>
      <c r="C55" s="1551" t="s">
        <v>584</v>
      </c>
    </row>
    <row r="56" spans="1:4">
      <c r="A56" s="3673"/>
      <c r="B56" s="1554" t="s">
        <v>387</v>
      </c>
      <c r="C56" s="1551" t="s">
        <v>588</v>
      </c>
    </row>
    <row r="57" spans="1:4">
      <c r="A57" s="36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32" sqref="I32"/>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674" t="s">
        <v>2584</v>
      </c>
      <c r="J2" s="3674"/>
      <c r="K2" s="3674"/>
      <c r="L2" s="3674"/>
      <c r="M2" s="3674"/>
      <c r="N2" s="3674"/>
      <c r="O2" s="3674"/>
      <c r="P2" s="3674"/>
      <c r="Q2" s="3674"/>
      <c r="R2" s="3674"/>
    </row>
    <row r="3" spans="1:18">
      <c r="A3" s="3020" t="s">
        <v>2505</v>
      </c>
      <c r="B3" s="3021">
        <f>项目基本情况!D3</f>
        <v>41568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13.16</v>
      </c>
      <c r="D5" s="3025">
        <f>IF(ISERROR(ROUND(POWER(1+E5,A5-C5)*(POWER(1+E5,C5)-1)/(POWER(1+E5,A5)-1),3)),0,ROUND(POWER(1+E5,A5-C5)*(POWER(1+E5,C5)-1)/(POWER(1+E5,A5)-1),4))</f>
        <v>0.50929999999999997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23.17</v>
      </c>
      <c r="D6" s="3025">
        <f>IF(ISERROR(ROUND(POWER(1+E6,A6-C6)*(POWER(1+E6,C6)-1)/(POWER(1+E6,A6)-1),3)),0,ROUND(POWER(1+E6,A6-C6)*(POWER(1+E6,C6)-1)/(POWER(1+E6,A6)-1),4))</f>
        <v>0.69469999999999998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43.19</v>
      </c>
      <c r="D7" s="3025">
        <f>IF(ISERROR(ROUND(POWER(1+E7,A7-C7)*(POWER(1+E7,C7)-1)/(POWER(1+E7,A7)-1),3)),0,ROUND(POWER(1+E7,A7-C7)*(POWER(1+E7,C7)-1)/(POWER(1+E7,A7)-1),4))</f>
        <v>0.87219999999999998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83" t="str">
        <f>IF(B10="北京市","北京市",C10)&amp;F10&amp;IF(结果表!G1="在建","出让国有建设用地使用权及在建建筑物",IF(结果表!G1="土地","出让国有建设用地使用权",))&amp;B9&amp;"预评估"</f>
        <v>预评估</v>
      </c>
      <c r="C1" s="3684"/>
      <c r="D1" s="3684"/>
      <c r="E1" s="3684"/>
      <c r="F1" s="3684"/>
      <c r="G1" s="3684"/>
      <c r="H1" s="3684"/>
      <c r="I1" s="368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45356</v>
      </c>
      <c r="C3" s="2374" t="s">
        <v>2171</v>
      </c>
      <c r="D3" s="2373">
        <v>41568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686" t="s">
        <v>2177</v>
      </c>
      <c r="E8" s="2391"/>
      <c r="F8" s="2392"/>
      <c r="G8" s="2663"/>
      <c r="H8" s="2663"/>
      <c r="I8" s="2663"/>
      <c r="J8" s="2439"/>
      <c r="K8" s="2614"/>
      <c r="L8" s="2613"/>
      <c r="M8" s="2613"/>
      <c r="N8" s="2439"/>
      <c r="O8" s="2450"/>
      <c r="P8" s="2439"/>
      <c r="Q8" s="2439"/>
      <c r="R8" s="2439"/>
    </row>
    <row r="9" spans="1:30" ht="13.5" thickBot="1">
      <c r="A9" s="2393" t="s">
        <v>2178</v>
      </c>
      <c r="B9" s="2394"/>
      <c r="C9" s="2395"/>
      <c r="D9" s="368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3387</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4"/>
      <c r="K15" s="2451"/>
      <c r="L15" s="2451"/>
      <c r="M15" s="2509"/>
      <c r="N15" s="2451"/>
      <c r="O15" s="2509"/>
      <c r="P15" s="2439"/>
      <c r="Q15" s="2439"/>
      <c r="AD15" s="1745"/>
    </row>
    <row r="16" spans="1:30">
      <c r="A16" s="2400" t="s">
        <v>2193</v>
      </c>
      <c r="B16" s="3693"/>
      <c r="C16" s="3694"/>
      <c r="D16" s="3695"/>
      <c r="E16" s="2413" t="s">
        <v>2194</v>
      </c>
      <c r="F16" s="3696"/>
      <c r="G16" s="3697"/>
      <c r="H16" s="3697"/>
      <c r="I16" s="3698"/>
      <c r="J16" s="2439"/>
      <c r="K16" s="2617"/>
      <c r="L16" s="2451"/>
      <c r="M16" s="2451"/>
      <c r="N16" s="2509"/>
      <c r="O16" s="2451"/>
      <c r="P16" s="2509"/>
      <c r="Q16" s="2439"/>
      <c r="R16" s="2439"/>
    </row>
    <row r="17" spans="1:28">
      <c r="A17" s="313" t="s">
        <v>2195</v>
      </c>
      <c r="B17" s="302" t="s">
        <v>2196</v>
      </c>
      <c r="C17" s="8">
        <f>'数据-汇总表'!E3</f>
        <v>62.6</v>
      </c>
      <c r="D17" s="2322" t="s">
        <v>2197</v>
      </c>
      <c r="E17" s="3699" t="s">
        <v>2198</v>
      </c>
      <c r="F17" s="3700"/>
      <c r="G17" s="3700"/>
      <c r="H17" s="3700"/>
      <c r="I17" s="370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702" t="s">
        <v>2202</v>
      </c>
      <c r="F18" s="3703"/>
      <c r="G18" s="3703"/>
      <c r="H18" s="3703"/>
      <c r="I18" s="370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89" t="s">
        <v>2206</v>
      </c>
      <c r="C20" s="3690"/>
      <c r="D20" s="3691" t="s">
        <v>2207</v>
      </c>
      <c r="E20" s="3692"/>
      <c r="F20" s="2647" t="s">
        <v>1056</v>
      </c>
      <c r="G20" s="2664"/>
      <c r="H20" s="2664"/>
      <c r="I20" s="2664"/>
      <c r="J20" s="2439"/>
      <c r="K20" s="368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8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8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7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7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7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77"/>
      <c r="B30" s="302" t="s">
        <v>2218</v>
      </c>
      <c r="C30" s="3678"/>
      <c r="D30" s="3679"/>
      <c r="E30" s="2664"/>
      <c r="F30" s="2664"/>
      <c r="G30" s="2664"/>
      <c r="H30" s="2664"/>
      <c r="I30" s="2664"/>
      <c r="J30" s="2439"/>
      <c r="K30" s="2616"/>
      <c r="L30" s="2613"/>
      <c r="M30" s="2613"/>
      <c r="N30" s="2439"/>
      <c r="O30" s="2450"/>
      <c r="P30" s="2439"/>
      <c r="Q30" s="2439"/>
      <c r="R30" s="2439"/>
      <c r="S30" s="2439"/>
      <c r="T30" s="2439"/>
      <c r="U30" s="2439"/>
      <c r="V30" s="2439"/>
    </row>
    <row r="31" spans="1:28">
      <c r="A31" s="368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8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8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75" t="s">
        <v>2228</v>
      </c>
      <c r="T34" s="2428" t="str">
        <f>NUMBERSTRING(7-K34,1)&amp;"通"</f>
        <v>七通</v>
      </c>
      <c r="U34" s="2439"/>
      <c r="V34" s="2439"/>
    </row>
    <row r="35" spans="1:30">
      <c r="A35" s="2429"/>
      <c r="B35" s="3682" t="s">
        <v>2229</v>
      </c>
      <c r="C35" s="3682"/>
      <c r="D35" s="3682"/>
      <c r="E35" s="368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62.6</v>
      </c>
      <c r="H5" s="13">
        <f t="shared" ref="H5:AT5" si="0">SUM(H13:H656)</f>
        <v>62.6</v>
      </c>
      <c r="I5" s="13">
        <f t="shared" si="0"/>
        <v>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62.6</v>
      </c>
      <c r="BA5" s="15">
        <f t="shared" si="1"/>
        <v>62.6</v>
      </c>
      <c r="BB5" s="15">
        <f t="shared" si="1"/>
        <v>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62.6</v>
      </c>
      <c r="H13" s="17">
        <f>SUMIF(I$12:AB$12,"总值",I13:AB13)</f>
        <v>62.6</v>
      </c>
      <c r="I13" s="1626">
        <v>62.6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62.6</v>
      </c>
      <c r="BA13" s="13">
        <f>SUM(BB13:BK13)</f>
        <v>62.6</v>
      </c>
      <c r="BB13" s="13">
        <f>IF($D13="是",I13-J13,0)</f>
        <v>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4" t="s">
        <v>1131</v>
      </c>
      <c r="B2" s="3714"/>
      <c r="C2" s="3714"/>
      <c r="D2" s="796" t="s">
        <v>1107</v>
      </c>
      <c r="E2" s="1639" t="s">
        <v>1108</v>
      </c>
      <c r="F2" s="2659"/>
      <c r="G2" s="2650"/>
      <c r="H2" s="2651"/>
      <c r="I2" s="2325" t="s">
        <v>1132</v>
      </c>
      <c r="J2" s="2659"/>
      <c r="K2" s="2659"/>
      <c r="L2" s="2659"/>
      <c r="M2" s="2659"/>
      <c r="N2" s="2661"/>
      <c r="O2" s="2659"/>
      <c r="P2" s="2659"/>
    </row>
    <row r="3" spans="1:16" ht="15.75" thickBot="1">
      <c r="A3" s="3715" t="s">
        <v>1105</v>
      </c>
      <c r="B3" s="3715"/>
      <c r="C3" s="3715"/>
      <c r="D3" s="43">
        <f>'数据-基础表'!AY6</f>
        <v>0</v>
      </c>
      <c r="E3" s="43">
        <f>'数据-基础表'!AZ5</f>
        <v>62.6</v>
      </c>
      <c r="F3" s="2659"/>
      <c r="G3" s="1145"/>
      <c r="H3" s="1026" t="s">
        <v>1106</v>
      </c>
      <c r="I3" s="855" t="e">
        <f>ROUND('数据-基础表'!B3/'数据-基础表'!A3,2)</f>
        <v>#DIV/0!</v>
      </c>
      <c r="J3" s="2659"/>
      <c r="K3" s="2659"/>
      <c r="L3" s="2659"/>
      <c r="M3" s="2659"/>
      <c r="N3" s="2661"/>
      <c r="O3" s="2659"/>
      <c r="P3" s="2659"/>
    </row>
    <row r="4" spans="1:16" ht="15">
      <c r="A4" s="3716"/>
      <c r="B4" s="3717"/>
      <c r="C4" s="371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719" t="s">
        <v>1110</v>
      </c>
      <c r="C5" s="3719"/>
      <c r="D5" s="45">
        <f>ROUND($D$3*E5/$E$3,2)</f>
        <v>0</v>
      </c>
      <c r="E5" s="46">
        <f>SUMIF('数据-基础表'!$11:$11,"住宅",'数据-基础表'!$5:$5)</f>
        <v>62.6</v>
      </c>
      <c r="F5" s="2659"/>
      <c r="G5" s="1145"/>
      <c r="H5" s="1026" t="s">
        <v>1106</v>
      </c>
      <c r="I5" s="855" t="e">
        <f>ROUND(E31/D31,2)</f>
        <v>#DIV/0!</v>
      </c>
      <c r="J5" s="2659"/>
      <c r="K5" s="2659"/>
      <c r="L5" s="2659"/>
      <c r="M5" s="2659"/>
      <c r="N5" s="2659"/>
      <c r="O5" s="2659"/>
      <c r="P5" s="2659"/>
    </row>
    <row r="6" spans="1:16" ht="15" thickBot="1">
      <c r="A6" s="1644"/>
      <c r="B6" s="3719" t="s">
        <v>1111</v>
      </c>
      <c r="C6" s="3719"/>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711"/>
      <c r="B7" s="3712"/>
      <c r="C7" s="371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62.6</v>
      </c>
      <c r="F16" s="2659"/>
      <c r="G16" s="2660"/>
      <c r="H16" s="1648" t="s">
        <v>1135</v>
      </c>
      <c r="I16" s="1649"/>
      <c r="J16" s="1139"/>
      <c r="K16" s="3708" t="s">
        <v>1135</v>
      </c>
      <c r="L16" s="3709"/>
      <c r="M16" s="3709"/>
      <c r="N16" s="3709"/>
      <c r="O16" s="3709"/>
      <c r="P16" s="3710"/>
    </row>
    <row r="17" spans="1:19" ht="15">
      <c r="A17" s="1650" t="s">
        <v>1136</v>
      </c>
      <c r="B17" s="1651" t="s">
        <v>1137</v>
      </c>
      <c r="C17" s="1652" t="s">
        <v>1138</v>
      </c>
      <c r="D17" s="1653" t="s">
        <v>1126</v>
      </c>
      <c r="E17" s="1654" t="s">
        <v>1127</v>
      </c>
      <c r="F17" s="1655"/>
      <c r="G17" s="1656"/>
      <c r="H17" s="1657" t="s">
        <v>1139</v>
      </c>
      <c r="I17" s="1658" t="s">
        <v>1124</v>
      </c>
      <c r="J17" s="1139"/>
      <c r="K17" s="3705" t="s">
        <v>1140</v>
      </c>
      <c r="L17" s="3706"/>
      <c r="M17" s="3707"/>
      <c r="N17" s="3705" t="s">
        <v>1141</v>
      </c>
      <c r="O17" s="3706"/>
      <c r="P17" s="37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62.6</v>
      </c>
      <c r="F19" s="2795">
        <f>'数据-基础表'!I13</f>
        <v>62.6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62.6</v>
      </c>
      <c r="F27" s="1140">
        <f>IF(SUM(F19:F26)=E8,SUM(F19:F26),"地上面积有误")</f>
        <v>62.6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62.6</v>
      </c>
      <c r="F31" s="677">
        <f>F27+F30</f>
        <v>62.6</v>
      </c>
      <c r="G31" s="678">
        <f>G27+G30</f>
        <v>0</v>
      </c>
      <c r="H31" s="2659"/>
      <c r="I31" s="2659"/>
      <c r="J31" s="2659"/>
      <c r="K31" s="2659"/>
      <c r="L31" s="2659"/>
      <c r="M31" s="2659"/>
      <c r="N31" s="2659"/>
      <c r="O31" s="2659"/>
      <c r="P31" s="2659"/>
    </row>
    <row r="32" spans="1:19">
      <c r="A32" s="1643"/>
      <c r="B32" s="1643" t="s">
        <v>1159</v>
      </c>
      <c r="C32" s="1643"/>
      <c r="D32" s="1643"/>
      <c r="E32" s="1053">
        <f>SUMIF(C19:C26,"*住宅*",E19:E26)</f>
        <v>62.6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41568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62.6</v>
      </c>
      <c r="L6" s="733">
        <v>2000</v>
      </c>
      <c r="M6" s="67">
        <f t="shared" ref="M6:M14" si="0">ROUND(K6*L6/10000,0)</f>
        <v>13</v>
      </c>
      <c r="N6" s="731">
        <v>0.75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125200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62.6</v>
      </c>
      <c r="L16" s="93">
        <f>ROUND(M16*10000/SUM(K6:K14),0)</f>
        <v>2077</v>
      </c>
      <c r="M16" s="93">
        <f>SUM(M6:M14)</f>
        <v>13</v>
      </c>
      <c r="N16" s="94">
        <f>ROUND(SUMPRODUCT(M6:M14,N6:N14)/M16,3)</f>
        <v>0.75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20" t="s">
        <v>2286</v>
      </c>
      <c r="B1" s="3721"/>
      <c r="C1" s="3721"/>
      <c r="D1" s="3721"/>
      <c r="E1" s="3721"/>
      <c r="F1" s="3721"/>
      <c r="G1" s="37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0" sqref="D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41568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380</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'数据-基础表'!B3</f>
        <v>62.6</v>
      </c>
      <c r="C14" s="2518"/>
      <c r="D14" s="2518">
        <f ca="1">结果表!G19</f>
        <v>380</v>
      </c>
      <c r="E14" s="2518">
        <f ca="1">ROUND(D14*10000/B14,0)</f>
        <v>60703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756" t="str">
        <f>项目基本情况!S2</f>
        <v>房地产</v>
      </c>
      <c r="B2" s="3757"/>
      <c r="C2" s="3757"/>
      <c r="D2" s="3757"/>
      <c r="E2" s="3757"/>
      <c r="F2" s="3757"/>
      <c r="G2" s="3757"/>
      <c r="H2" s="3757"/>
      <c r="I2" s="3758"/>
    </row>
    <row r="3" spans="1:12" ht="12.75">
      <c r="A3" s="3760" t="s">
        <v>1264</v>
      </c>
      <c r="B3" s="3761"/>
      <c r="C3" s="3761"/>
      <c r="D3" s="3761"/>
      <c r="E3" s="3761"/>
      <c r="F3" s="3761"/>
      <c r="G3" s="3761"/>
      <c r="H3" s="3761"/>
      <c r="I3" s="3761"/>
    </row>
    <row r="4" spans="1:12" ht="14.25">
      <c r="A4" s="1754" t="s">
        <v>1265</v>
      </c>
      <c r="B4" s="1755" t="s">
        <v>1266</v>
      </c>
      <c r="C4" s="1756" t="s">
        <v>3998</v>
      </c>
      <c r="D4" s="1756" t="s">
        <v>3999</v>
      </c>
      <c r="E4" s="3762" t="s">
        <v>1267</v>
      </c>
      <c r="F4" s="3763"/>
      <c r="G4" s="3763"/>
      <c r="H4" s="3763"/>
      <c r="I4" s="376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736" t="s">
        <v>1268</v>
      </c>
      <c r="B5" s="3723">
        <v>25</v>
      </c>
      <c r="C5" s="3739">
        <v>2</v>
      </c>
      <c r="D5" s="3759">
        <f>10-C5</f>
        <v>8</v>
      </c>
      <c r="E5" s="131" t="s">
        <v>1269</v>
      </c>
      <c r="F5" s="1757"/>
      <c r="G5" s="1757"/>
      <c r="H5" s="1757"/>
      <c r="I5" s="1373"/>
    </row>
    <row r="6" spans="1:12" ht="12.75">
      <c r="A6" s="3736"/>
      <c r="B6" s="3723"/>
      <c r="C6" s="3740"/>
      <c r="D6" s="3759"/>
      <c r="E6" s="131" t="s">
        <v>1270</v>
      </c>
      <c r="F6" s="1757"/>
      <c r="G6" s="1757"/>
      <c r="H6" s="1757"/>
      <c r="I6" s="1373"/>
    </row>
    <row r="7" spans="1:12" ht="12.75">
      <c r="A7" s="3736"/>
      <c r="B7" s="3723"/>
      <c r="C7" s="3741"/>
      <c r="D7" s="3759"/>
      <c r="E7" s="131" t="s">
        <v>1271</v>
      </c>
      <c r="F7" s="1757"/>
      <c r="G7" s="1757"/>
      <c r="H7" s="1757"/>
      <c r="I7" s="1373"/>
    </row>
    <row r="8" spans="1:12" ht="12.75">
      <c r="A8" s="3736" t="s">
        <v>1272</v>
      </c>
      <c r="B8" s="3723">
        <v>15</v>
      </c>
      <c r="C8" s="3739"/>
      <c r="D8" s="3759"/>
      <c r="E8" s="131" t="s">
        <v>1273</v>
      </c>
      <c r="F8" s="1757"/>
      <c r="G8" s="1757"/>
      <c r="H8" s="1757"/>
      <c r="I8" s="1373"/>
    </row>
    <row r="9" spans="1:12" ht="12.75">
      <c r="A9" s="3736"/>
      <c r="B9" s="3723"/>
      <c r="C9" s="3741"/>
      <c r="D9" s="3759"/>
      <c r="E9" s="131" t="s">
        <v>1274</v>
      </c>
      <c r="F9" s="1757"/>
      <c r="G9" s="1757"/>
      <c r="H9" s="1757"/>
      <c r="I9" s="1373"/>
    </row>
    <row r="10" spans="1:12" ht="12.75">
      <c r="A10" s="3736" t="s">
        <v>1275</v>
      </c>
      <c r="B10" s="3723">
        <v>15</v>
      </c>
      <c r="C10" s="3739"/>
      <c r="D10" s="3759"/>
      <c r="E10" s="131" t="s">
        <v>1276</v>
      </c>
      <c r="F10" s="1757"/>
      <c r="G10" s="1757"/>
      <c r="H10" s="1757"/>
      <c r="I10" s="1373"/>
    </row>
    <row r="11" spans="1:12" ht="12.75">
      <c r="A11" s="3736"/>
      <c r="B11" s="3723"/>
      <c r="C11" s="3741"/>
      <c r="D11" s="3759"/>
      <c r="E11" s="131" t="s">
        <v>1277</v>
      </c>
      <c r="F11" s="1757"/>
      <c r="G11" s="1757"/>
      <c r="H11" s="1757"/>
      <c r="I11" s="1373"/>
    </row>
    <row r="12" spans="1:12" ht="12.75">
      <c r="A12" s="3736" t="s">
        <v>1278</v>
      </c>
      <c r="B12" s="3723">
        <v>15</v>
      </c>
      <c r="C12" s="3739"/>
      <c r="D12" s="3759"/>
      <c r="E12" s="131" t="s">
        <v>1279</v>
      </c>
      <c r="F12" s="1757"/>
      <c r="G12" s="1757"/>
      <c r="H12" s="1757"/>
      <c r="I12" s="1373"/>
    </row>
    <row r="13" spans="1:12" ht="12.75">
      <c r="A13" s="3736"/>
      <c r="B13" s="3723"/>
      <c r="C13" s="3741"/>
      <c r="D13" s="3759"/>
      <c r="E13" s="131" t="s">
        <v>1280</v>
      </c>
      <c r="F13" s="1757"/>
      <c r="G13" s="1757"/>
      <c r="H13" s="1757"/>
      <c r="I13" s="1373"/>
    </row>
    <row r="14" spans="1:12" ht="12.75">
      <c r="A14" s="3736" t="s">
        <v>1281</v>
      </c>
      <c r="B14" s="3723">
        <v>30</v>
      </c>
      <c r="C14" s="3739"/>
      <c r="D14" s="3759"/>
      <c r="E14" s="131" t="s">
        <v>1282</v>
      </c>
      <c r="F14" s="1757"/>
      <c r="G14" s="1757"/>
      <c r="H14" s="1757"/>
      <c r="I14" s="1373"/>
    </row>
    <row r="15" spans="1:12" ht="12.75">
      <c r="A15" s="3736"/>
      <c r="B15" s="3723"/>
      <c r="C15" s="3740"/>
      <c r="D15" s="3759"/>
      <c r="E15" s="131" t="s">
        <v>1283</v>
      </c>
      <c r="F15" s="1757"/>
      <c r="G15" s="1757"/>
      <c r="H15" s="1757"/>
      <c r="I15" s="1373"/>
    </row>
    <row r="16" spans="1:12" ht="12.75">
      <c r="A16" s="3736"/>
      <c r="B16" s="3723"/>
      <c r="C16" s="3741"/>
      <c r="D16" s="3759"/>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746" t="s">
        <v>2131</v>
      </c>
      <c r="F18" s="3747"/>
      <c r="G18" s="3747"/>
      <c r="H18" s="3747"/>
      <c r="I18" s="3747"/>
      <c r="K18" s="302" t="s">
        <v>1289</v>
      </c>
      <c r="L18" s="302">
        <f>IF(C1="",'数据-汇总表'!E3,SUMIF(项目类型,C1,'数据-汇总表'!E17:E26)+SUMIF(项目类型,C1,'数据-汇总表'!I17:I26))</f>
        <v>62.6</v>
      </c>
      <c r="M18" s="302">
        <f>IF(C1="",'数据-汇总表'!E3,SUMIF(项目类型,C1,'数据-汇总表'!E17:E26))</f>
        <v>62.6</v>
      </c>
    </row>
    <row r="19" spans="1:36" ht="15">
      <c r="A19" s="1761" t="s">
        <v>1290</v>
      </c>
      <c r="B19" s="1762" t="s">
        <v>1291</v>
      </c>
      <c r="C19" s="134">
        <f ca="1">SUMIF(INDIRECT("'"&amp;C4&amp;"'"&amp;"!A:A"),结果表!B19,INDIRECT("'"&amp;C4&amp;"'"&amp;"!B:B"))</f>
        <v>146.63149999999999</v>
      </c>
      <c r="D19" s="135">
        <f ca="1">SUMIF(INDIRECT("'"&amp;D4&amp;"'"&amp;"!A:A"),结果表!B19,INDIRECT("'"&amp;D4&amp;"'"&amp;"!B:B"))</f>
        <v>437.81810000000002</v>
      </c>
      <c r="E19" s="1761" t="s">
        <v>1292</v>
      </c>
      <c r="F19" s="1762" t="s">
        <v>1291</v>
      </c>
      <c r="G19" s="136">
        <f ca="1">ROUND(C19*$C$18+D19*$D$18,0)</f>
        <v>380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23424</v>
      </c>
      <c r="D20" s="138">
        <f ca="1">SUMIF(INDIRECT("'"&amp;D4&amp;"'"&amp;"!A:A"),结果表!B20,INDIRECT("'"&amp;D4&amp;"'"&amp;"!B:B"))</f>
        <v>69939</v>
      </c>
      <c r="E20" s="1764"/>
      <c r="F20" s="1026" t="s">
        <v>1295</v>
      </c>
      <c r="G20" s="139">
        <f ca="1">ROUND(C20*$C$18+D20*$D$18,0)</f>
        <v>60636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1.9858393319307246</v>
      </c>
      <c r="E22" s="129"/>
      <c r="F22" s="129"/>
      <c r="G22" s="129"/>
      <c r="H22" s="129"/>
      <c r="I22" s="129"/>
    </row>
    <row r="23" spans="1:36" ht="13.5" thickBot="1">
      <c r="A23" s="1747"/>
      <c r="B23" s="1747"/>
      <c r="C23" s="1747"/>
      <c r="D23" s="1747"/>
      <c r="E23" s="129"/>
      <c r="F23" s="129"/>
      <c r="G23" s="129"/>
      <c r="H23" s="129"/>
      <c r="I23" s="129"/>
    </row>
    <row r="24" spans="1:36" ht="14.25">
      <c r="A24" s="3730" t="s">
        <v>1299</v>
      </c>
      <c r="B24" s="1762" t="s">
        <v>1291</v>
      </c>
      <c r="C24" s="136">
        <f>IF(B30=0,0,D30)</f>
        <v>0</v>
      </c>
      <c r="D24" s="1769"/>
      <c r="E24" s="129"/>
      <c r="F24" s="129"/>
      <c r="G24" s="129"/>
      <c r="H24" s="129"/>
      <c r="I24" s="129"/>
    </row>
    <row r="25" spans="1:36" ht="14.25">
      <c r="A25" s="37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60636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50" t="s">
        <v>1312</v>
      </c>
      <c r="B36" s="1787" t="s">
        <v>1313</v>
      </c>
      <c r="C36" s="145"/>
      <c r="D36" s="1788"/>
      <c r="E36" s="1789"/>
      <c r="F36" s="1790"/>
      <c r="G36" s="129"/>
      <c r="H36" s="129"/>
      <c r="I36" s="129"/>
    </row>
    <row r="37" spans="1:15" ht="15.75" thickBot="1">
      <c r="A37" s="3751"/>
      <c r="B37" s="1674" t="s">
        <v>1314</v>
      </c>
      <c r="C37" s="147"/>
      <c r="D37" s="1139"/>
      <c r="E37" s="1139"/>
      <c r="F37" s="1790"/>
      <c r="G37" s="129"/>
      <c r="H37" s="129"/>
      <c r="I37" s="129"/>
    </row>
    <row r="38" spans="1:15" ht="15.75" thickBot="1">
      <c r="A38" s="375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27" t="s">
        <v>1326</v>
      </c>
      <c r="B45" s="3728"/>
      <c r="C45" s="3729"/>
      <c r="D45" s="155" t="e">
        <f ca="1">ROUND(H101*F45,0)</f>
        <v>#REF!</v>
      </c>
      <c r="E45" s="156" t="s">
        <v>1327</v>
      </c>
      <c r="F45" s="157">
        <v>1</v>
      </c>
      <c r="G45" s="158" t="s">
        <v>1328</v>
      </c>
      <c r="H45" s="129"/>
      <c r="I45" s="129"/>
      <c r="J45" s="3805" t="s">
        <v>1329</v>
      </c>
      <c r="K45" s="3805"/>
      <c r="L45" s="3805"/>
      <c r="M45" s="3805"/>
      <c r="N45" s="3805"/>
      <c r="O45" s="3805"/>
    </row>
    <row r="46" spans="1:15" ht="14.25" customHeight="1">
      <c r="A46" s="3724" t="s">
        <v>1330</v>
      </c>
      <c r="B46" s="3725"/>
      <c r="C46" s="3725"/>
      <c r="D46" s="3725"/>
      <c r="E46" s="3725"/>
      <c r="F46" s="3725"/>
      <c r="G46" s="3726"/>
      <c r="H46" s="1806"/>
      <c r="I46" s="159"/>
      <c r="J46" s="2523">
        <v>1</v>
      </c>
      <c r="K46" s="3786" t="s">
        <v>1331</v>
      </c>
      <c r="L46" s="3786"/>
      <c r="M46" s="3806"/>
      <c r="N46" s="3806"/>
      <c r="O46" s="3806"/>
    </row>
    <row r="47" spans="1:15" ht="12" customHeight="1">
      <c r="A47" s="160" t="s">
        <v>1332</v>
      </c>
      <c r="B47" s="161"/>
      <c r="C47" s="162"/>
      <c r="D47" s="1087" t="s">
        <v>1333</v>
      </c>
      <c r="E47" s="302" t="s">
        <v>1334</v>
      </c>
      <c r="F47" s="163" t="s">
        <v>1335</v>
      </c>
      <c r="G47" s="2546" t="s">
        <v>1336</v>
      </c>
      <c r="H47" s="2547"/>
      <c r="I47" s="159"/>
      <c r="J47" s="2523">
        <v>2</v>
      </c>
      <c r="K47" s="3786" t="s">
        <v>1337</v>
      </c>
      <c r="L47" s="3786"/>
      <c r="M47" s="3807">
        <f>'数据-取费表'!B2</f>
        <v>41568</v>
      </c>
      <c r="N47" s="3807"/>
      <c r="O47" s="3807"/>
    </row>
    <row r="48" spans="1:15" ht="25.5">
      <c r="A48" s="3755" t="s">
        <v>1338</v>
      </c>
      <c r="B48" s="3738"/>
      <c r="C48" s="37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86" t="s">
        <v>1340</v>
      </c>
      <c r="L48" s="3786"/>
      <c r="M48" s="3808" t="e">
        <f ca="1">H101</f>
        <v>#REF!</v>
      </c>
      <c r="N48" s="3808"/>
      <c r="O48" s="3808"/>
    </row>
    <row r="49" spans="1:35" ht="25.5" customHeight="1">
      <c r="A49" s="2333" t="s">
        <v>1341</v>
      </c>
      <c r="B49" s="3722" t="s">
        <v>1342</v>
      </c>
      <c r="C49" s="3722"/>
      <c r="D49" s="1590">
        <v>0</v>
      </c>
      <c r="E49" s="324" t="s">
        <v>1343</v>
      </c>
      <c r="F49" s="2424" t="s">
        <v>28</v>
      </c>
      <c r="G49" s="3792"/>
      <c r="H49" s="2310" t="s">
        <v>2134</v>
      </c>
      <c r="I49" s="2311"/>
      <c r="J49" s="2523">
        <v>4</v>
      </c>
      <c r="K49" s="3786" t="str">
        <f>IF(项目基本情况!E8="房地产抵押价值","房地产抵押价值","抵押担保权已注销时的房地产抵押价值")</f>
        <v>抵押担保权已注销时的房地产抵押价值</v>
      </c>
      <c r="L49" s="3786"/>
      <c r="M49" s="3808" t="str">
        <f>IF(项目基本情况!E8="房地产抵押价值",H107,H109)</f>
        <v>——</v>
      </c>
      <c r="N49" s="3808"/>
      <c r="O49" s="3808"/>
    </row>
    <row r="50" spans="1:35" ht="25.5" customHeight="1">
      <c r="A50" s="2551"/>
      <c r="B50" s="3722" t="s">
        <v>1344</v>
      </c>
      <c r="C50" s="3722"/>
      <c r="D50" s="2552"/>
      <c r="E50" s="332"/>
      <c r="F50" s="2424"/>
      <c r="G50" s="3793"/>
      <c r="H50" s="2312" t="s">
        <v>2135</v>
      </c>
      <c r="I50" s="2311"/>
      <c r="J50" s="3805" t="s">
        <v>1345</v>
      </c>
      <c r="K50" s="3805"/>
      <c r="L50" s="3805"/>
      <c r="M50" s="3805"/>
      <c r="N50" s="3805"/>
      <c r="O50" s="3805"/>
    </row>
    <row r="51" spans="1:35" ht="20.45" customHeight="1">
      <c r="A51" s="2553"/>
      <c r="B51" s="3722" t="s">
        <v>1346</v>
      </c>
      <c r="C51" s="3722"/>
      <c r="D51" s="1087"/>
      <c r="E51" s="327"/>
      <c r="F51" s="2424"/>
      <c r="G51" s="3794"/>
      <c r="H51" s="2312" t="s">
        <v>2136</v>
      </c>
      <c r="I51" s="2311"/>
      <c r="J51" s="2524" t="s">
        <v>1347</v>
      </c>
      <c r="K51" s="3786" t="s">
        <v>1348</v>
      </c>
      <c r="L51" s="3786"/>
      <c r="M51" s="2524" t="s">
        <v>1349</v>
      </c>
      <c r="N51" s="2524" t="s">
        <v>1350</v>
      </c>
      <c r="O51" s="2524" t="s">
        <v>1351</v>
      </c>
    </row>
    <row r="52" spans="1:35" ht="24" customHeight="1">
      <c r="A52" s="2335" t="s">
        <v>1352</v>
      </c>
      <c r="B52" s="3722" t="s">
        <v>1353</v>
      </c>
      <c r="C52" s="3722"/>
      <c r="D52" s="1087" t="e">
        <f ca="1">ROUND(D45*'数据-取费表'!B41/(1+'数据-取费表'!C42),0)</f>
        <v>#REF!</v>
      </c>
      <c r="E52" s="2334" t="s">
        <v>1354</v>
      </c>
      <c r="F52" s="2554">
        <f>'数据-取费表'!B41</f>
        <v>5.6000000000000001E-2</v>
      </c>
      <c r="G52" s="2555"/>
      <c r="H52" s="2544"/>
      <c r="I52" s="1807"/>
      <c r="J52" s="2523">
        <v>1</v>
      </c>
      <c r="K52" s="3787" t="s">
        <v>1355</v>
      </c>
      <c r="L52" s="3787"/>
      <c r="M52" s="2525" t="b">
        <f>D48</f>
        <v>0</v>
      </c>
      <c r="N52" s="2523" t="str">
        <f>E48</f>
        <v>销售额×税（费）率</v>
      </c>
      <c r="O52" s="2526">
        <f>F48</f>
        <v>5.6000000000000001E-2</v>
      </c>
    </row>
    <row r="53" spans="1:35" ht="12" customHeight="1">
      <c r="A53" s="2335" t="s">
        <v>1356</v>
      </c>
      <c r="B53" s="3748" t="s">
        <v>2291</v>
      </c>
      <c r="C53" s="3749"/>
      <c r="D53" s="1087" t="e">
        <f ca="1">ROUND(D45*'数据-取费表'!B41/(1+'数据-取费表'!C42),0)</f>
        <v>#REF!</v>
      </c>
      <c r="E53" s="2334" t="s">
        <v>1354</v>
      </c>
      <c r="F53" s="2554">
        <f>'数据-取费表'!B41</f>
        <v>5.6000000000000001E-2</v>
      </c>
      <c r="G53" s="2555"/>
      <c r="H53" s="2544"/>
      <c r="I53" s="1807"/>
      <c r="J53" s="2523">
        <v>2</v>
      </c>
      <c r="K53" s="3787" t="s">
        <v>1357</v>
      </c>
      <c r="L53" s="3787"/>
      <c r="M53" s="2525" t="e">
        <f t="shared" ref="M53:O54" ca="1" si="0">D55</f>
        <v>#REF!</v>
      </c>
      <c r="N53" s="2523" t="str">
        <f t="shared" si="0"/>
        <v>销售额×税（费）率</v>
      </c>
      <c r="O53" s="2526" t="str">
        <f t="shared" si="0"/>
        <v>免征</v>
      </c>
    </row>
    <row r="54" spans="1:35" ht="12" customHeight="1">
      <c r="A54" s="2335" t="s">
        <v>1358</v>
      </c>
      <c r="B54" s="3748" t="s">
        <v>2292</v>
      </c>
      <c r="C54" s="3749"/>
      <c r="D54" s="1087" t="e">
        <f ca="1">C68</f>
        <v>#REF!</v>
      </c>
      <c r="E54" s="327" t="s">
        <v>1359</v>
      </c>
      <c r="F54" s="2554">
        <f>'数据-取费表'!B41</f>
        <v>5.6000000000000001E-2</v>
      </c>
      <c r="G54" s="2555"/>
      <c r="H54" s="2556"/>
      <c r="I54" s="1807"/>
      <c r="J54" s="2523">
        <v>3</v>
      </c>
      <c r="K54" s="3787" t="s">
        <v>1360</v>
      </c>
      <c r="L54" s="3787"/>
      <c r="M54" s="2525" t="e">
        <f t="shared" ca="1" si="0"/>
        <v>#REF!</v>
      </c>
      <c r="N54" s="2523" t="str">
        <f t="shared" si="0"/>
        <v>增值额×税（费）率</v>
      </c>
      <c r="O54" s="2527" t="str">
        <f t="shared" si="0"/>
        <v>免征</v>
      </c>
    </row>
    <row r="55" spans="1:35" ht="24" customHeight="1">
      <c r="A55" s="3737" t="s">
        <v>1361</v>
      </c>
      <c r="B55" s="3738"/>
      <c r="C55" s="3738"/>
      <c r="D55" s="2324" t="e">
        <f ca="1">IF(H55="个人住宅",0,ROUND(D45*I55,0))</f>
        <v>#REF!</v>
      </c>
      <c r="E55" s="2334" t="s">
        <v>1362</v>
      </c>
      <c r="F55" s="2554" t="str">
        <f>IF(H55="正常",I55,"免征")</f>
        <v>免征</v>
      </c>
      <c r="G55" s="2555"/>
      <c r="H55" s="2550"/>
      <c r="I55" s="165">
        <f>'数据-取费表'!B49</f>
        <v>5.0000000000000001E-4</v>
      </c>
      <c r="J55" s="2523">
        <f>IF(H59="非个人房产","",4)</f>
        <v>4</v>
      </c>
      <c r="K55" s="3787" t="str">
        <f>IF(H59="非个人房产","——","个人所得税")</f>
        <v>个人所得税</v>
      </c>
      <c r="L55" s="3787"/>
      <c r="M55" s="2528" t="e">
        <f ca="1">D59</f>
        <v>#REF!</v>
      </c>
      <c r="N55" s="2040" t="str">
        <f>E59</f>
        <v>差额计税</v>
      </c>
      <c r="O55" s="2529">
        <f>F59</f>
        <v>0.01</v>
      </c>
    </row>
    <row r="56" spans="1:35" ht="24.75">
      <c r="A56" s="3737" t="s">
        <v>1363</v>
      </c>
      <c r="B56" s="3738"/>
      <c r="C56" s="3738"/>
      <c r="D56" s="2324" t="e">
        <f ca="1">IF(H56="个人住宅",D57,D58)</f>
        <v>#REF!</v>
      </c>
      <c r="E56" s="2334" t="s">
        <v>1364</v>
      </c>
      <c r="F56" s="2554" t="str">
        <f>IF(H56="正常",F58,"免征")</f>
        <v>免征</v>
      </c>
      <c r="G56" s="2557" t="s">
        <v>1365</v>
      </c>
      <c r="H56" s="2558"/>
      <c r="I56" s="1808"/>
      <c r="J56" s="2523" t="str">
        <f>IF(项目基本情况!K6="上海银行",IF(J55="",4,J55+1),"")</f>
        <v/>
      </c>
      <c r="K56" s="3810" t="str">
        <f>IF(项目基本情况!K6="上海银行","其他处置费用","")</f>
        <v/>
      </c>
      <c r="L56" s="3811"/>
      <c r="M56" s="2525" t="str">
        <f>IF(项目基本情况!K6="上海银行",M69,"")</f>
        <v/>
      </c>
      <c r="N56" s="3810" t="str">
        <f>IF(项目基本情况!K6="上海银行","包含处置中涉及的律师、诉讼、拍卖、评估等费用","")</f>
        <v/>
      </c>
      <c r="O56" s="3813"/>
    </row>
    <row r="57" spans="1:35" ht="12.75">
      <c r="A57" s="2335" t="s">
        <v>1341</v>
      </c>
      <c r="B57" s="3748" t="s">
        <v>1366</v>
      </c>
      <c r="C57" s="3749"/>
      <c r="D57" s="1590">
        <v>0</v>
      </c>
      <c r="E57" s="324" t="s">
        <v>1343</v>
      </c>
      <c r="F57" s="302"/>
      <c r="G57" s="2555"/>
      <c r="H57" s="2559"/>
      <c r="I57" s="1808"/>
      <c r="J57" s="3787">
        <f>IF(AND(J55="",J56=""),4,IF(项目基本情况!K6="上海银行",结果表!J56+1,结果表!J55+1))</f>
        <v>5</v>
      </c>
      <c r="K57" s="3787" t="s">
        <v>1367</v>
      </c>
      <c r="L57" s="2530" t="s">
        <v>1368</v>
      </c>
      <c r="M57" s="2531"/>
      <c r="N57" s="2532">
        <f ca="1">SUMIF(M52:M56,"&lt;9e307")</f>
        <v>0</v>
      </c>
      <c r="O57" s="2533"/>
      <c r="P57" s="2690" t="e">
        <f ca="1">N57/M49</f>
        <v>#VALUE!</v>
      </c>
    </row>
    <row r="58" spans="1:35" ht="24.75">
      <c r="A58" s="2335" t="s">
        <v>1352</v>
      </c>
      <c r="B58" s="3748" t="s">
        <v>1369</v>
      </c>
      <c r="C58" s="3722"/>
      <c r="D58" s="2324" t="e">
        <f ca="1">IF(H58="转让取得",C81,C97)</f>
        <v>#REF!</v>
      </c>
      <c r="E58" s="2334" t="s">
        <v>1364</v>
      </c>
      <c r="F58" s="302" t="s">
        <v>28</v>
      </c>
      <c r="G58" s="2555"/>
      <c r="H58" s="2558"/>
      <c r="I58" s="1808"/>
      <c r="J58" s="3787"/>
      <c r="K58" s="3787"/>
      <c r="L58" s="2530" t="s">
        <v>1370</v>
      </c>
      <c r="M58" s="2534"/>
      <c r="N58" s="2535" t="str">
        <f ca="1">NUMBERSTRING(INT(N57*10000),2)&amp;"元整"</f>
        <v>零元整</v>
      </c>
      <c r="O58" s="2536"/>
    </row>
    <row r="59" spans="1:35" ht="24.75" thickBot="1">
      <c r="A59" s="3790" t="s">
        <v>1371</v>
      </c>
      <c r="B59" s="3791"/>
      <c r="C59" s="379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88">
        <f>J57+1</f>
        <v>6</v>
      </c>
      <c r="K59" s="3787" t="s">
        <v>1372</v>
      </c>
      <c r="L59" s="2523" t="s">
        <v>1368</v>
      </c>
      <c r="M59" s="2537"/>
      <c r="N59" s="2538" t="e">
        <f ca="1">M49-N57</f>
        <v>#VALUE!</v>
      </c>
      <c r="O59" s="2539"/>
    </row>
    <row r="60" spans="1:35" ht="12" customHeight="1">
      <c r="A60" s="1809"/>
      <c r="B60" s="1747"/>
      <c r="C60" s="1747"/>
      <c r="D60" s="1747"/>
      <c r="E60" s="1578"/>
      <c r="F60" s="1808"/>
      <c r="G60" s="1808"/>
      <c r="H60" s="1810"/>
      <c r="I60" s="129"/>
      <c r="J60" s="3789"/>
      <c r="K60" s="3787"/>
      <c r="L60" s="2530" t="s">
        <v>1370</v>
      </c>
      <c r="M60" s="2534"/>
      <c r="N60" s="2535" t="e">
        <f ca="1">NUMBERSTRING(INT(N59*10000),2)&amp;"元整"</f>
        <v>#VALUE!</v>
      </c>
      <c r="O60" s="2536"/>
    </row>
    <row r="61" spans="1:35" ht="13.5" thickBot="1">
      <c r="A61" s="3735" t="s">
        <v>1373</v>
      </c>
      <c r="B61" s="3735"/>
      <c r="C61" s="3735"/>
      <c r="D61" s="3735"/>
      <c r="E61" s="3735"/>
      <c r="F61" s="1808"/>
      <c r="G61" s="1808"/>
      <c r="H61" s="1810"/>
      <c r="I61" s="129"/>
      <c r="J61" s="2523">
        <f>J59+1</f>
        <v>7</v>
      </c>
      <c r="K61" s="3787" t="s">
        <v>1374</v>
      </c>
      <c r="L61" s="3787"/>
      <c r="M61" s="2540"/>
      <c r="N61" s="2541" t="e">
        <f ca="1">ROUND(N59*10000/'数据-汇总表'!E3,0)</f>
        <v>#VALUE!</v>
      </c>
      <c r="O61" s="2542"/>
    </row>
    <row r="62" spans="1:35" ht="12.75">
      <c r="A62" s="3753" t="s">
        <v>1375</v>
      </c>
      <c r="B62" s="375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81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81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81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81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81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81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81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4" t="s">
        <v>1394</v>
      </c>
      <c r="B70" s="3775"/>
      <c r="C70" s="3775"/>
      <c r="D70" s="3775"/>
      <c r="E70" s="3775"/>
      <c r="F70" s="3775"/>
      <c r="G70" s="3775"/>
      <c r="H70" s="377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53" t="s">
        <v>1375</v>
      </c>
      <c r="B71" s="375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48" t="s">
        <v>1402</v>
      </c>
      <c r="F76" s="3722"/>
      <c r="G76" s="3722"/>
      <c r="H76" s="377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32" t="s">
        <v>1406</v>
      </c>
      <c r="F78" s="3733"/>
      <c r="G78" s="3733"/>
      <c r="H78" s="374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4" t="s">
        <v>1410</v>
      </c>
      <c r="B83" s="3775"/>
      <c r="C83" s="3775"/>
      <c r="D83" s="3775"/>
      <c r="E83" s="3775"/>
      <c r="F83" s="3775"/>
      <c r="G83" s="3775"/>
      <c r="H83" s="377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53" t="s">
        <v>1375</v>
      </c>
      <c r="B84" s="375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814" t="s">
        <v>2129</v>
      </c>
      <c r="H90" s="381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32" t="s">
        <v>1419</v>
      </c>
      <c r="F91" s="3733"/>
      <c r="G91" s="373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32" t="s">
        <v>1422</v>
      </c>
      <c r="F92" s="3733"/>
      <c r="G92" s="3733"/>
      <c r="H92" s="374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32" t="s">
        <v>1406</v>
      </c>
      <c r="F93" s="3733"/>
      <c r="G93" s="3733"/>
      <c r="H93" s="374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43" t="s">
        <v>1426</v>
      </c>
      <c r="F94" s="3744"/>
      <c r="G94" s="3744"/>
      <c r="H94" s="37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6" t="s">
        <v>1428</v>
      </c>
      <c r="B100" s="3717"/>
      <c r="C100" s="3717"/>
      <c r="D100" s="3734"/>
      <c r="E100" s="3717" t="s">
        <v>1429</v>
      </c>
      <c r="F100" s="3717"/>
      <c r="G100" s="3717"/>
      <c r="H100" s="3734"/>
      <c r="I100" s="129"/>
    </row>
    <row r="101" spans="1:35" ht="18.75" customHeight="1">
      <c r="A101" s="3795" t="s">
        <v>1430</v>
      </c>
      <c r="B101" s="3796"/>
      <c r="C101" s="2585" t="str">
        <f>C4</f>
        <v>成本法 (元)</v>
      </c>
      <c r="D101" s="2586" t="str">
        <f>D4</f>
        <v>比较法-住宅</v>
      </c>
      <c r="E101" s="3809" t="s">
        <v>1431</v>
      </c>
      <c r="F101" s="3766"/>
      <c r="G101" s="1827" t="s">
        <v>1432</v>
      </c>
      <c r="H101" s="2595" t="e">
        <f ca="1">H118</f>
        <v>#REF!</v>
      </c>
      <c r="I101" s="129"/>
    </row>
    <row r="102" spans="1:35" ht="18.75" customHeight="1">
      <c r="A102" s="3768" t="s">
        <v>1433</v>
      </c>
      <c r="B102" s="2584" t="s">
        <v>1432</v>
      </c>
      <c r="C102" s="2585">
        <f ca="1">IF(D32="楼面单价",ROUND(C19,0),C19)</f>
        <v>146.63149999999999</v>
      </c>
      <c r="D102" s="2586">
        <f ca="1">IF(D32="楼面单价",ROUND(D19,0),D19)</f>
        <v>437.81810000000002</v>
      </c>
      <c r="E102" s="3809"/>
      <c r="F102" s="3766"/>
      <c r="G102" s="1827" t="s">
        <v>1434</v>
      </c>
      <c r="H102" s="2555" t="e">
        <f ca="1">I118</f>
        <v>#REF!</v>
      </c>
      <c r="I102" s="129"/>
    </row>
    <row r="103" spans="1:35" ht="42.75" customHeight="1">
      <c r="A103" s="3768"/>
      <c r="B103" s="2584" t="s">
        <v>1434</v>
      </c>
      <c r="C103" s="2587">
        <f ca="1">C20</f>
        <v>23424</v>
      </c>
      <c r="D103" s="2588">
        <f ca="1">D20</f>
        <v>69939</v>
      </c>
      <c r="E103" s="3803" t="s">
        <v>1435</v>
      </c>
      <c r="F103" s="3804"/>
      <c r="G103" s="1828" t="s">
        <v>1436</v>
      </c>
      <c r="H103" s="2595">
        <f>IF(D36="正常操作",H104+H105+H106,H105+H106)</f>
        <v>0</v>
      </c>
      <c r="I103" s="129"/>
    </row>
    <row r="104" spans="1:35" ht="18.75" customHeight="1">
      <c r="A104" s="376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6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65" t="str">
        <f>IF(项目基本情况!E8="已注销","——","3.房地产抵押价值")</f>
        <v>3.房地产抵押价值</v>
      </c>
      <c r="F107" s="3766"/>
      <c r="G107" s="1827" t="s">
        <v>1432</v>
      </c>
      <c r="H107" s="2595" t="e">
        <f ca="1">IF(E107="——","——",H101-H103)</f>
        <v>#REF!</v>
      </c>
      <c r="I107" s="129"/>
    </row>
    <row r="108" spans="1:35" ht="18.75" customHeight="1">
      <c r="A108" s="129"/>
      <c r="B108" s="129"/>
      <c r="C108" s="129"/>
      <c r="D108" s="129"/>
      <c r="E108" s="3765"/>
      <c r="F108" s="3766"/>
      <c r="G108" s="1827" t="s">
        <v>1434</v>
      </c>
      <c r="H108" s="2555">
        <f ca="1">IF(H107=H101,H102,ROUND(H107*10000/'数据-汇总表'!E3,0))</f>
        <v>0</v>
      </c>
      <c r="I108" s="129"/>
    </row>
    <row r="109" spans="1:35" ht="18.75" customHeight="1">
      <c r="A109" s="129"/>
      <c r="B109" s="129"/>
      <c r="C109" s="129"/>
      <c r="D109" s="129"/>
      <c r="E109" s="3765" t="str">
        <f>IF(项目基本情况!E8="已注销及未注销","4.抵押担保权已注销时的房地产抵押价值",IF(项目基本情况!E8="已注销","3.抵押担保权已注销时的房地产抵押价值","——"))</f>
        <v>——</v>
      </c>
      <c r="F109" s="3766"/>
      <c r="G109" s="1827" t="s">
        <v>1432</v>
      </c>
      <c r="H109" s="2598" t="str">
        <f>IF(E109="——","——",H101-H105-H106)</f>
        <v>——</v>
      </c>
      <c r="I109" s="129"/>
    </row>
    <row r="110" spans="1:35" ht="18.75" customHeight="1">
      <c r="A110" s="129"/>
      <c r="B110" s="129"/>
      <c r="C110" s="129"/>
      <c r="D110" s="129"/>
      <c r="E110" s="3765"/>
      <c r="F110" s="3766"/>
      <c r="G110" s="1827" t="s">
        <v>1434</v>
      </c>
      <c r="H110" s="2555" t="str">
        <f>IF(H109="——","——",ROUND(H109*10000/'数据-汇总表'!E3,0))</f>
        <v>——</v>
      </c>
      <c r="I110" s="129"/>
    </row>
    <row r="111" spans="1:35" ht="18.75" customHeight="1">
      <c r="A111" s="129"/>
      <c r="B111" s="129"/>
      <c r="C111" s="129"/>
      <c r="D111" s="129"/>
      <c r="E111" s="3797" t="str">
        <f>IF(项目基本情况!E9="抵押净值",IF(OR(项目基本情况!E8="已注销",项目基本情况!E8="房地产抵押价值"),"4.抵押净值","5.抵押净值"),"——")</f>
        <v>——</v>
      </c>
      <c r="F111" s="3767"/>
      <c r="G111" s="1827" t="s">
        <v>1432</v>
      </c>
      <c r="H111" s="2595" t="str">
        <f>IF(E111="——","——",N59)</f>
        <v>——</v>
      </c>
      <c r="I111" s="129"/>
    </row>
    <row r="112" spans="1:35" ht="18.75" customHeight="1" thickBot="1">
      <c r="A112" s="129"/>
      <c r="B112" s="129"/>
      <c r="C112" s="129"/>
      <c r="D112" s="129"/>
      <c r="E112" s="3798"/>
      <c r="F112" s="3799"/>
      <c r="G112" s="1830" t="s">
        <v>1434</v>
      </c>
      <c r="H112" s="2599" t="str">
        <f>IF(E111="——","——",N61)</f>
        <v>——</v>
      </c>
      <c r="I112" s="129"/>
    </row>
    <row r="113" spans="1:27" ht="18.75" customHeight="1">
      <c r="A113" s="129"/>
      <c r="B113" s="129"/>
      <c r="C113" s="129"/>
      <c r="D113" s="129"/>
      <c r="E113" s="3770" t="s">
        <v>1440</v>
      </c>
      <c r="F113" s="3770"/>
      <c r="G113" s="3770"/>
      <c r="H113" s="3770"/>
      <c r="I113" s="129"/>
    </row>
    <row r="114" spans="1:27" ht="3.75" customHeight="1">
      <c r="A114" s="1747"/>
      <c r="B114" s="1747"/>
      <c r="C114" s="1747"/>
      <c r="D114" s="1747"/>
      <c r="E114" s="1809"/>
      <c r="F114" s="1809"/>
      <c r="G114" s="1809"/>
      <c r="H114" s="1809"/>
      <c r="I114" s="1747"/>
    </row>
    <row r="115" spans="1:27" ht="18.75" customHeight="1">
      <c r="A115" s="3780" t="s">
        <v>1442</v>
      </c>
      <c r="B115" s="3781"/>
      <c r="C115" s="3781"/>
      <c r="D115" s="3781"/>
      <c r="E115" s="3781"/>
      <c r="F115" s="3781"/>
      <c r="G115" s="3781"/>
      <c r="H115" s="3781"/>
      <c r="I115" s="3782"/>
    </row>
    <row r="116" spans="1:27" ht="27" customHeight="1">
      <c r="A116" s="3736" t="s">
        <v>1443</v>
      </c>
      <c r="B116" s="3771" t="s">
        <v>1444</v>
      </c>
      <c r="C116" s="3771" t="s">
        <v>1445</v>
      </c>
      <c r="D116" s="3784" t="s">
        <v>1446</v>
      </c>
      <c r="E116" s="3785"/>
      <c r="F116" s="3779" t="s">
        <v>1447</v>
      </c>
      <c r="G116" s="3779"/>
      <c r="H116" s="3736" t="s">
        <v>1448</v>
      </c>
      <c r="I116" s="3736"/>
    </row>
    <row r="117" spans="1:27" ht="18.75" customHeight="1">
      <c r="A117" s="3736"/>
      <c r="B117" s="3772"/>
      <c r="C117" s="3772"/>
      <c r="D117" s="2329" t="s">
        <v>1449</v>
      </c>
      <c r="E117" s="2329" t="s">
        <v>1450</v>
      </c>
      <c r="F117" s="2329" t="s">
        <v>1449</v>
      </c>
      <c r="G117" s="2329" t="s">
        <v>1451</v>
      </c>
      <c r="H117" s="2329" t="s">
        <v>1449</v>
      </c>
      <c r="I117" s="2329" t="s">
        <v>1451</v>
      </c>
    </row>
    <row r="118" spans="1:27" ht="24.75" customHeight="1">
      <c r="A118" s="2600" t="str">
        <f>项目基本情况!S2</f>
        <v>房地产</v>
      </c>
      <c r="B118" s="2329">
        <f>M18</f>
        <v>62.6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6" t="s">
        <v>1452</v>
      </c>
      <c r="B119" s="3736"/>
      <c r="C119" s="3736"/>
      <c r="D119" s="3776" t="e">
        <f ca="1">NUMBERSTRING(INT(D118*10000),2)&amp;"元整"</f>
        <v>#REF!</v>
      </c>
      <c r="E119" s="3778"/>
      <c r="F119" s="3776" t="e">
        <f ca="1">NUMBERSTRING(INT(F118*10000),2)&amp;"元整"</f>
        <v>#REF!</v>
      </c>
      <c r="G119" s="3778"/>
      <c r="H119" s="3776" t="e">
        <f ca="1">NUMBERSTRING(INT(H118*10000),2)&amp;"元整"</f>
        <v>#REF!</v>
      </c>
      <c r="I119" s="3778"/>
    </row>
    <row r="120" spans="1:27" ht="18.75" customHeight="1">
      <c r="A120" s="3800" t="str">
        <f>IF(项目基本情况!B9="房地产市场价值","",MID(E103,3,LEN(E103)-2))</f>
        <v>估价师知悉的法定优先受偿款</v>
      </c>
      <c r="B120" s="3801"/>
      <c r="C120" s="3802"/>
      <c r="D120" s="3800">
        <f>H103</f>
        <v>0</v>
      </c>
      <c r="E120" s="3801"/>
      <c r="F120" s="3801"/>
      <c r="G120" s="3801"/>
      <c r="H120" s="3801"/>
      <c r="I120" s="38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76" t="s">
        <v>1452</v>
      </c>
      <c r="B121" s="3777"/>
      <c r="C121" s="3778"/>
      <c r="D121" s="3776" t="str">
        <f>IF(D120=0,"零元整",NUMBERSTRING(INT(D120*10000),2)&amp;"元整")</f>
        <v>零元整</v>
      </c>
      <c r="E121" s="3777"/>
      <c r="F121" s="3777"/>
      <c r="G121" s="3777"/>
      <c r="H121" s="3777"/>
      <c r="I121" s="3778"/>
      <c r="AA121" s="725"/>
    </row>
    <row r="122" spans="1:27" ht="18.75" customHeight="1">
      <c r="A122" s="3767" t="str">
        <f>IF(项目基本情况!B9="房地产市场价值","",MID(E107,3,LEN(E107)-2))</f>
        <v>房地产抵押价值</v>
      </c>
      <c r="B122" s="3767"/>
      <c r="C122" s="3767"/>
      <c r="D122" s="3800" t="e">
        <f ca="1">H107</f>
        <v>#REF!</v>
      </c>
      <c r="E122" s="3801"/>
      <c r="F122" s="3801"/>
      <c r="G122" s="3801"/>
      <c r="H122" s="3801"/>
      <c r="I122" s="3802"/>
      <c r="AA122" s="725"/>
    </row>
    <row r="123" spans="1:27" ht="18.75" customHeight="1">
      <c r="A123" s="3736" t="s">
        <v>1452</v>
      </c>
      <c r="B123" s="3736"/>
      <c r="C123" s="3736"/>
      <c r="D123" s="3776" t="e">
        <f ca="1">NUMBERSTRING(INT(D122*10000),2)&amp;"元整"</f>
        <v>#REF!</v>
      </c>
      <c r="E123" s="3777"/>
      <c r="F123" s="3777"/>
      <c r="G123" s="3777"/>
      <c r="H123" s="3777"/>
      <c r="I123" s="3778"/>
      <c r="AA123" s="725"/>
    </row>
    <row r="124" spans="1:27" ht="18.75" customHeight="1">
      <c r="A124" s="3767" t="str">
        <f>IF(项目基本情况!B9="房地产市场价值","",MID(E109,3,LEN(E109)-2))</f>
        <v/>
      </c>
      <c r="B124" s="3767"/>
      <c r="C124" s="3767"/>
      <c r="D124" s="3800" t="str">
        <f>H109</f>
        <v>——</v>
      </c>
      <c r="E124" s="3801"/>
      <c r="F124" s="3801"/>
      <c r="G124" s="3801"/>
      <c r="H124" s="3801"/>
      <c r="I124" s="3802"/>
      <c r="AA124" s="725"/>
    </row>
    <row r="125" spans="1:27" ht="18.75" customHeight="1">
      <c r="A125" s="3736" t="s">
        <v>1452</v>
      </c>
      <c r="B125" s="3736"/>
      <c r="C125" s="3736"/>
      <c r="D125" s="3776" t="e">
        <f>NUMBERSTRING(INT(D124*10000),2)&amp;"元整"</f>
        <v>#VALUE!</v>
      </c>
      <c r="E125" s="3777"/>
      <c r="F125" s="3777"/>
      <c r="G125" s="3777"/>
      <c r="H125" s="3777"/>
      <c r="I125" s="3778"/>
      <c r="AA125" s="725"/>
    </row>
    <row r="126" spans="1:27" ht="18.75" customHeight="1">
      <c r="A126" s="3767" t="str">
        <f>IF(项目基本情况!B9="房地产市场价值","",MID(E111,3,LEN(E111)-2))</f>
        <v/>
      </c>
      <c r="B126" s="3767"/>
      <c r="C126" s="3767"/>
      <c r="D126" s="3800" t="str">
        <f>H111</f>
        <v>——</v>
      </c>
      <c r="E126" s="3801"/>
      <c r="F126" s="3801"/>
      <c r="G126" s="3801"/>
      <c r="H126" s="3801"/>
      <c r="I126" s="3802"/>
      <c r="AA126" s="725"/>
    </row>
    <row r="127" spans="1:27" ht="18.75" customHeight="1">
      <c r="A127" s="3736" t="s">
        <v>1452</v>
      </c>
      <c r="B127" s="3736"/>
      <c r="C127" s="3736"/>
      <c r="D127" s="3776" t="e">
        <f>NUMBERSTRING(INT(D126*10000),2)&amp;"元整"</f>
        <v>#VALUE!</v>
      </c>
      <c r="E127" s="3777"/>
      <c r="F127" s="3777"/>
      <c r="G127" s="3777"/>
      <c r="H127" s="3777"/>
      <c r="I127" s="3778"/>
      <c r="AA127" s="725"/>
    </row>
    <row r="128" spans="1:27" ht="21.75" customHeight="1">
      <c r="A128" s="3783" t="s">
        <v>1453</v>
      </c>
      <c r="B128" s="3783"/>
      <c r="C128" s="3783"/>
      <c r="D128" s="3783"/>
      <c r="E128" s="3783"/>
      <c r="F128" s="3783"/>
      <c r="G128" s="3783"/>
      <c r="H128" s="3783"/>
      <c r="I128" s="37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16" t="s">
        <v>1544</v>
      </c>
    </row>
    <row r="43" spans="1:7" ht="13.5" customHeight="1">
      <c r="A43" s="780" t="s">
        <v>347</v>
      </c>
      <c r="B43" s="215" t="s">
        <v>1545</v>
      </c>
      <c r="C43" s="238">
        <f ca="1">ROUND(IF('数据-取费表'!B22&lt;=1,C39*F22*'数据-取费表'!B21/2,C39*(POWER((1+F22),'数据-取费表'!B21/2)-1)),0)</f>
        <v>0</v>
      </c>
      <c r="D43" s="238"/>
      <c r="E43" s="238"/>
      <c r="F43" s="239"/>
      <c r="G43" s="3817"/>
    </row>
    <row r="44" spans="1:7" ht="13.5" customHeight="1">
      <c r="A44" s="780" t="s">
        <v>348</v>
      </c>
      <c r="B44" s="215" t="s">
        <v>1546</v>
      </c>
      <c r="C44" s="238">
        <f ca="1">ROUND(IF('数据-取费表'!B22&lt;=1,C40*F22*'数据-取费表'!B21/2,C40*(POWER((1+F22),'数据-取费表'!B21/2)-1)),4)</f>
        <v>5.9999999999999995E-4</v>
      </c>
      <c r="D44" s="238"/>
      <c r="E44" s="238"/>
      <c r="F44" s="239"/>
      <c r="G44" s="3818"/>
    </row>
    <row r="45" spans="1:7" s="214" customFormat="1" ht="13.5" customHeight="1">
      <c r="A45" s="255" t="s">
        <v>1547</v>
      </c>
      <c r="B45" s="244" t="s">
        <v>1513</v>
      </c>
      <c r="C45" s="245">
        <f ca="1">C46</f>
        <v>1</v>
      </c>
      <c r="D45" s="235">
        <f ca="1">C47</f>
        <v>5.0000000000000001E-4</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3" t="str">
        <f>项目基本情况!B1</f>
        <v>预评估</v>
      </c>
      <c r="C37" s="3633"/>
      <c r="D37" s="3633"/>
      <c r="E37" s="3633"/>
      <c r="F37" s="3633"/>
      <c r="G37" s="3633"/>
      <c r="H37" s="3633"/>
      <c r="I37" s="36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90" zoomScaleNormal="70" zoomScaleSheetLayoutView="90" workbookViewId="0">
      <selection activeCell="F27" sqref="F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146.63149999999999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1032988</v>
      </c>
      <c r="D5" s="211" t="s">
        <v>1469</v>
      </c>
      <c r="E5" s="212" t="s">
        <v>1470</v>
      </c>
      <c r="F5" s="212" t="s">
        <v>1471</v>
      </c>
      <c r="G5" s="213"/>
    </row>
    <row r="6" spans="1:8" s="214" customFormat="1" ht="13.5" customHeight="1">
      <c r="A6" s="778" t="s">
        <v>1472</v>
      </c>
      <c r="B6" s="215" t="s">
        <v>1473</v>
      </c>
      <c r="C6" s="216">
        <f>'[2]2002基准地价'!$E$18</f>
        <v>1002414</v>
      </c>
      <c r="D6" s="217"/>
      <c r="E6" s="218"/>
      <c r="F6" s="218"/>
      <c r="G6" s="219"/>
    </row>
    <row r="7" spans="1:8" s="214" customFormat="1" ht="13.5" customHeight="1">
      <c r="A7" s="778" t="s">
        <v>1474</v>
      </c>
      <c r="B7" s="215" t="s">
        <v>1475</v>
      </c>
      <c r="C7" s="220">
        <f>ROUND(C6*F7,0)</f>
        <v>30574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10016</v>
      </c>
      <c r="D9" s="845">
        <f ca="1">IF(B1="",'数据-汇总表'!E5,IF(INDIRECT("'数据-取费表'!c"&amp;$G$1)="住宅",INDIRECT("'数据-取费表'!k"&amp;$G$1),0))</f>
        <v>62.6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12520</v>
      </c>
      <c r="D19" s="849">
        <f ca="1">D9+D10</f>
        <v>62.6</v>
      </c>
      <c r="E19" s="211">
        <f>'数据-取费表'!B31</f>
        <v>200</v>
      </c>
      <c r="F19" s="231"/>
      <c r="G19" s="1856" t="s">
        <v>436</v>
      </c>
    </row>
    <row r="20" spans="1:7" s="214" customFormat="1" ht="13.5" customHeight="1">
      <c r="A20" s="255" t="s">
        <v>1574</v>
      </c>
      <c r="B20" s="210" t="s">
        <v>1575</v>
      </c>
      <c r="C20" s="232">
        <f ca="1">ROUND((C5+C19)*F20,0)</f>
        <v>10455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133195</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1587</v>
      </c>
      <c r="D24" s="238"/>
      <c r="E24" s="238"/>
      <c r="F24" s="239"/>
      <c r="G24" s="240" t="s">
        <v>1586</v>
      </c>
    </row>
    <row r="25" spans="1:7" s="214" customFormat="1" ht="24">
      <c r="A25" s="780" t="s">
        <v>1476</v>
      </c>
      <c r="B25" s="215" t="s">
        <v>1587</v>
      </c>
      <c r="C25" s="1128">
        <f ca="1">ROUND(IF('数据-取费表'!B22&lt;=1,C20*F22*'数据-取费表'!B22/2,C20*(POWER((1+F22),'数据-取费表'!B22/2)-1)),0)</f>
        <v>643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52798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52798</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1331285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149614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125200</v>
      </c>
      <c r="D34" s="217"/>
      <c r="E34" s="220"/>
      <c r="F34" s="257"/>
      <c r="G34" s="219"/>
    </row>
    <row r="35" spans="1:7" ht="13.5" customHeight="1">
      <c r="A35" s="780" t="s">
        <v>351</v>
      </c>
      <c r="B35" s="215" t="s">
        <v>1527</v>
      </c>
      <c r="C35" s="220">
        <f ca="1">ROUND(C34*F35,0)</f>
        <v>3756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6260</v>
      </c>
      <c r="D36" s="220"/>
      <c r="E36" s="220"/>
      <c r="F36" s="259">
        <f>'数据-取费表'!B34</f>
        <v>0.05</v>
      </c>
      <c r="G36" s="260" t="s">
        <v>1530</v>
      </c>
    </row>
    <row r="37" spans="1:7" s="258" customFormat="1" ht="13.5" customHeight="1">
      <c r="A37" s="780" t="s">
        <v>353</v>
      </c>
      <c r="B37" s="215" t="s">
        <v>1531</v>
      </c>
      <c r="C37" s="249">
        <f ca="1">ROUND(E37*D37,0)</f>
        <v>12520</v>
      </c>
      <c r="D37" s="217">
        <f ca="1">D19</f>
        <v>62.6</v>
      </c>
      <c r="E37" s="249">
        <f>'数据-取费表'!B35</f>
        <v>200</v>
      </c>
      <c r="F37" s="259"/>
      <c r="G37" s="261"/>
    </row>
    <row r="38" spans="1:7" ht="13.5" customHeight="1">
      <c r="A38" s="780" t="s">
        <v>354</v>
      </c>
      <c r="B38" s="215" t="s">
        <v>1533</v>
      </c>
      <c r="C38" s="220">
        <f ca="1">ROUND(C34*F38,0)</f>
        <v>1878</v>
      </c>
      <c r="D38" s="220"/>
      <c r="E38" s="220"/>
      <c r="F38" s="259">
        <f>'数据-取费表'!B36</f>
        <v>1.4999999999999999E-2</v>
      </c>
      <c r="G38" s="219" t="s">
        <v>1528</v>
      </c>
    </row>
    <row r="39" spans="1:7" s="214" customFormat="1" ht="13.5" customHeight="1">
      <c r="A39" s="255" t="s">
        <v>1534</v>
      </c>
      <c r="B39" s="210" t="s">
        <v>1535</v>
      </c>
      <c r="C39" s="232">
        <f ca="1">ROUND(C33*F20,0)</f>
        <v>1496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9293</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9201</v>
      </c>
      <c r="D42" s="238"/>
      <c r="E42" s="238"/>
      <c r="F42" s="239"/>
      <c r="G42" s="3816" t="s">
        <v>1591</v>
      </c>
    </row>
    <row r="43" spans="1:7" ht="13.5" customHeight="1">
      <c r="A43" s="780" t="s">
        <v>347</v>
      </c>
      <c r="B43" s="215" t="s">
        <v>1545</v>
      </c>
      <c r="C43" s="238">
        <f ca="1">ROUND(IF('数据-取费表'!B22&lt;=1,C39*F22*'数据-取费表'!B20/2,C39*(POWER((1+F22),'数据-取费表'!B20/2)-1)),0)</f>
        <v>92</v>
      </c>
      <c r="D43" s="238"/>
      <c r="E43" s="238"/>
      <c r="F43" s="239"/>
      <c r="G43" s="3817"/>
    </row>
    <row r="44" spans="1:7" ht="13.5" customHeight="1">
      <c r="A44" s="780" t="s">
        <v>348</v>
      </c>
      <c r="B44" s="215" t="s">
        <v>1546</v>
      </c>
      <c r="C44" s="238">
        <f ca="1">ROUND(IF('数据-取费表'!B22&lt;=1,C40*F22*'数据-取费表'!B20/2,C40*(POWER((1+F22),'数据-取费表'!B20/2)-1)),4)</f>
        <v>5.9999999999999995E-4</v>
      </c>
      <c r="D44" s="238"/>
      <c r="E44" s="238"/>
      <c r="F44" s="239"/>
      <c r="G44" s="3818"/>
    </row>
    <row r="45" spans="1:7" s="214" customFormat="1" ht="13.5" customHeight="1">
      <c r="A45" s="255" t="s">
        <v>1547</v>
      </c>
      <c r="B45" s="244" t="s">
        <v>1513</v>
      </c>
      <c r="C45" s="245">
        <f ca="1">C46</f>
        <v>7556</v>
      </c>
      <c r="D45" s="235">
        <f ca="1">C47</f>
        <v>5.0000000000000001E-4</v>
      </c>
      <c r="E45" s="236" t="s">
        <v>1539</v>
      </c>
      <c r="F45" s="246">
        <f ca="1">F27</f>
        <v>0.05</v>
      </c>
      <c r="G45" s="247" t="s">
        <v>1548</v>
      </c>
    </row>
    <row r="46" spans="1:7" s="214" customFormat="1" ht="13.5" customHeight="1">
      <c r="A46" s="780" t="s">
        <v>346</v>
      </c>
      <c r="B46" s="248" t="s">
        <v>1549</v>
      </c>
      <c r="C46" s="249">
        <f ca="1">ROUND((C33+C39)*F27,0)</f>
        <v>7556</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180040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135030</v>
      </c>
      <c r="D51" s="232"/>
      <c r="E51" s="232"/>
      <c r="F51" s="264"/>
      <c r="G51" s="234" t="s">
        <v>1560</v>
      </c>
    </row>
    <row r="52" spans="1:7" s="208" customFormat="1" ht="16.5" thickBot="1">
      <c r="A52" s="265" t="s">
        <v>1561</v>
      </c>
      <c r="B52" s="266"/>
      <c r="C52" s="267">
        <f ca="1">C31+C51</f>
        <v>1466315</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-160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21" t="s">
        <v>694</v>
      </c>
      <c r="C6" s="1074">
        <f ca="1">ROUND(F6*F8*F7*(1-F9)/10000,0)</f>
        <v>0</v>
      </c>
      <c r="D6" s="155" t="s">
        <v>2109</v>
      </c>
      <c r="E6" s="302" t="s">
        <v>696</v>
      </c>
      <c r="F6" s="303">
        <f ca="1">INDIRECT("'数据-取费表'!u"&amp;$G$1)</f>
        <v>0</v>
      </c>
      <c r="G6" s="1384"/>
      <c r="H6" s="1069" t="s">
        <v>398</v>
      </c>
      <c r="I6" s="3821" t="s">
        <v>694</v>
      </c>
      <c r="J6" s="301">
        <f ca="1">ROUND(M6*M8*M7*(1-M9)/10000,0)</f>
        <v>0</v>
      </c>
      <c r="K6" s="155" t="s">
        <v>2108</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21" t="s">
        <v>694</v>
      </c>
      <c r="C6" s="1074">
        <f ca="1">ROUND(F6*F8*F7*(1-F9),0)</f>
        <v>0</v>
      </c>
      <c r="D6" s="155" t="s">
        <v>2106</v>
      </c>
      <c r="E6" s="302" t="s">
        <v>696</v>
      </c>
      <c r="F6" s="303">
        <f ca="1">INDIRECT("'数据-取费表'!u"&amp;$G$1)</f>
        <v>0</v>
      </c>
      <c r="G6" s="1384"/>
      <c r="H6" s="1069" t="s">
        <v>398</v>
      </c>
      <c r="I6" s="3821" t="s">
        <v>694</v>
      </c>
      <c r="J6" s="301">
        <f ca="1">ROUND(M6*M8*M7*(1-M9),0)</f>
        <v>0</v>
      </c>
      <c r="K6" s="1376" t="s">
        <v>2107</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830" t="s">
        <v>2321</v>
      </c>
      <c r="K2" s="383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32" t="s">
        <v>2331</v>
      </c>
      <c r="K3" s="383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32" t="s">
        <v>2333</v>
      </c>
      <c r="K4" s="383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38" t="s">
        <v>2337</v>
      </c>
      <c r="B6" s="3839"/>
      <c r="C6" s="3840"/>
      <c r="D6" s="2870"/>
      <c r="E6" s="2871"/>
      <c r="F6" s="2872"/>
      <c r="G6" s="2873"/>
      <c r="H6" s="2848"/>
      <c r="I6" s="2849"/>
      <c r="J6" s="3824">
        <v>1</v>
      </c>
      <c r="K6" s="382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24"/>
      <c r="K7" s="382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41" t="s">
        <v>2351</v>
      </c>
      <c r="C8" s="3842"/>
      <c r="D8" s="2889" t="s">
        <v>2352</v>
      </c>
      <c r="E8" s="2890" t="s">
        <v>2353</v>
      </c>
      <c r="F8" s="2891" t="s">
        <v>2354</v>
      </c>
      <c r="G8" s="2892"/>
      <c r="H8" s="2848"/>
      <c r="I8" s="2849"/>
      <c r="J8" s="3824"/>
      <c r="K8" s="382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41" t="s">
        <v>2357</v>
      </c>
      <c r="C9" s="3842"/>
      <c r="D9" s="2889">
        <f>ROUND(D6*E9,0)</f>
        <v>0</v>
      </c>
      <c r="E9" s="2893"/>
      <c r="F9" s="2894" t="s">
        <v>2358</v>
      </c>
      <c r="G9" s="2873"/>
      <c r="H9" s="2848"/>
      <c r="I9" s="2849"/>
      <c r="J9" s="3824"/>
      <c r="K9" s="3826"/>
      <c r="L9" s="2883" t="s">
        <v>2359</v>
      </c>
      <c r="M9" s="2884"/>
      <c r="N9" s="2860"/>
      <c r="O9" s="2885"/>
      <c r="P9" s="2885"/>
      <c r="Q9" s="2886">
        <v>365</v>
      </c>
      <c r="R9" s="2887">
        <f t="shared" si="0"/>
        <v>0</v>
      </c>
      <c r="S9" s="2841"/>
      <c r="T9" s="2841"/>
      <c r="U9" s="2841"/>
      <c r="V9" s="2849"/>
    </row>
    <row r="10" spans="1:22" s="2853" customFormat="1" ht="13.15" customHeight="1">
      <c r="A10" s="2888">
        <v>2</v>
      </c>
      <c r="B10" s="3841" t="s">
        <v>2360</v>
      </c>
      <c r="C10" s="3842"/>
      <c r="D10" s="2889">
        <f>ROUND(D6*E10,0)</f>
        <v>0</v>
      </c>
      <c r="E10" s="2893"/>
      <c r="F10" s="2894" t="s">
        <v>2361</v>
      </c>
      <c r="G10" s="2873"/>
      <c r="H10" s="2848"/>
      <c r="I10" s="2849"/>
      <c r="J10" s="3824"/>
      <c r="K10" s="3826"/>
      <c r="L10" s="2883" t="s">
        <v>2362</v>
      </c>
      <c r="M10" s="2884"/>
      <c r="N10" s="2860"/>
      <c r="O10" s="2885"/>
      <c r="P10" s="2885"/>
      <c r="Q10" s="2886">
        <v>365</v>
      </c>
      <c r="R10" s="2887">
        <f t="shared" si="0"/>
        <v>0</v>
      </c>
      <c r="S10" s="2841"/>
      <c r="T10" s="2841"/>
      <c r="U10" s="2841"/>
      <c r="V10" s="2849"/>
    </row>
    <row r="11" spans="1:22" s="2853" customFormat="1" ht="13.15" customHeight="1">
      <c r="A11" s="2888">
        <v>3</v>
      </c>
      <c r="B11" s="3841" t="s">
        <v>2363</v>
      </c>
      <c r="C11" s="3842"/>
      <c r="D11" s="2889">
        <f>D12+D14+D15+D16</f>
        <v>0</v>
      </c>
      <c r="E11" s="2895" t="e">
        <f>D11/D6</f>
        <v>#DIV/0!</v>
      </c>
      <c r="F11" s="2891"/>
      <c r="G11" s="2892"/>
      <c r="H11" s="2848"/>
      <c r="I11" s="2849"/>
      <c r="J11" s="3824"/>
      <c r="K11" s="382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34" t="s">
        <v>2366</v>
      </c>
      <c r="C12" s="3835"/>
      <c r="D12" s="2897">
        <f>ROUND(D13*1.2%*(1-30%),0)</f>
        <v>0</v>
      </c>
      <c r="E12" s="2898">
        <v>1.2E-2</v>
      </c>
      <c r="F12" s="2891" t="s">
        <v>2367</v>
      </c>
      <c r="G12" s="2892"/>
      <c r="H12" s="2848"/>
      <c r="I12" s="2849"/>
      <c r="J12" s="3824"/>
      <c r="K12" s="382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24"/>
      <c r="K13" s="382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34" t="s">
        <v>2372</v>
      </c>
      <c r="C14" s="3835"/>
      <c r="D14" s="2897">
        <f>ROUND(E14*B5/10000,0)</f>
        <v>0</v>
      </c>
      <c r="E14" s="2886"/>
      <c r="F14" s="2891" t="s">
        <v>2373</v>
      </c>
      <c r="G14" s="2892"/>
      <c r="H14" s="2848"/>
      <c r="I14" s="2849"/>
      <c r="J14" s="3824"/>
      <c r="K14" s="382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34" t="s">
        <v>2376</v>
      </c>
      <c r="C15" s="3835"/>
      <c r="D15" s="2897">
        <f>ROUND(D6*E15,0)</f>
        <v>0</v>
      </c>
      <c r="E15" s="2898">
        <v>5.5E-2</v>
      </c>
      <c r="F15" s="2891" t="s">
        <v>2377</v>
      </c>
      <c r="G15" s="2873"/>
      <c r="H15" s="2848"/>
      <c r="I15" s="2849"/>
      <c r="J15" s="3824">
        <v>2</v>
      </c>
      <c r="K15" s="382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34" t="s">
        <v>2385</v>
      </c>
      <c r="C16" s="3835"/>
      <c r="D16" s="2908">
        <f>D6*E16</f>
        <v>0</v>
      </c>
      <c r="E16" s="2909"/>
      <c r="F16" s="2894" t="s">
        <v>2386</v>
      </c>
      <c r="G16" s="2873"/>
      <c r="H16" s="2848"/>
      <c r="I16" s="2849"/>
      <c r="J16" s="3824"/>
      <c r="K16" s="382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36" t="s">
        <v>2388</v>
      </c>
      <c r="C17" s="3837"/>
      <c r="D17" s="2911">
        <f>ROUND(D6*E17,0)</f>
        <v>0</v>
      </c>
      <c r="E17" s="2912"/>
      <c r="F17" s="2913" t="s">
        <v>2389</v>
      </c>
      <c r="G17" s="2873"/>
      <c r="H17" s="2848"/>
      <c r="I17" s="2849"/>
      <c r="J17" s="3824"/>
      <c r="K17" s="382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24"/>
      <c r="K18" s="382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24"/>
      <c r="K19" s="382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24">
        <v>3</v>
      </c>
      <c r="K20" s="382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24"/>
      <c r="K21" s="382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24"/>
      <c r="K22" s="382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24"/>
      <c r="K23" s="382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24"/>
      <c r="K24" s="382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2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2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30" t="s">
        <v>2321</v>
      </c>
      <c r="K32" s="383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32" t="s">
        <v>2331</v>
      </c>
      <c r="K33" s="383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32" t="s">
        <v>2333</v>
      </c>
      <c r="K34" s="383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24">
        <v>1</v>
      </c>
      <c r="K36" s="382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24"/>
      <c r="K37" s="382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24"/>
      <c r="K38" s="382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24"/>
      <c r="K39" s="382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24"/>
      <c r="K40" s="382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2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2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43" t="s">
        <v>1654</v>
      </c>
      <c r="C5" s="384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01:BW134"/>
  <sheetViews>
    <sheetView topLeftCell="A55" workbookViewId="0">
      <selection activeCell="A129" sqref="A129"/>
    </sheetView>
  </sheetViews>
  <sheetFormatPr defaultRowHeight="13.5"/>
  <cols>
    <col min="1" max="1" width="22.5" customWidth="1"/>
    <col min="59" max="59" width="14.625" customWidth="1"/>
  </cols>
  <sheetData>
    <row r="101" spans="1:75" s="3474" customFormat="1" ht="14.25" customHeight="1">
      <c r="A101" s="3452"/>
      <c r="B101" s="3453"/>
      <c r="C101" s="3454"/>
      <c r="D101" s="3454"/>
      <c r="E101" s="3454"/>
      <c r="F101" s="3454"/>
      <c r="G101" s="3454"/>
      <c r="H101" s="3454"/>
      <c r="I101" s="3454"/>
      <c r="J101" s="3454"/>
      <c r="K101" s="3455"/>
      <c r="L101" s="3456"/>
      <c r="M101" s="3455"/>
      <c r="N101" s="3457"/>
      <c r="O101" s="3456"/>
      <c r="P101" s="3457"/>
      <c r="Q101" s="3456"/>
      <c r="R101" s="3456"/>
      <c r="S101" s="3456"/>
      <c r="T101" s="3458"/>
      <c r="U101" s="3456"/>
      <c r="V101" s="3456" t="s">
        <v>3405</v>
      </c>
      <c r="W101" s="3456"/>
      <c r="X101" s="3458"/>
      <c r="Y101" s="3456"/>
      <c r="Z101" s="3456" t="s">
        <v>3406</v>
      </c>
      <c r="AA101" s="3456"/>
      <c r="AB101" s="3456"/>
      <c r="AC101" s="3457"/>
      <c r="AD101" s="3459"/>
      <c r="AE101" s="3457"/>
      <c r="AF101" s="3453"/>
      <c r="AG101" s="3453"/>
      <c r="AH101" s="3460"/>
      <c r="AI101" s="3453"/>
      <c r="AJ101" s="3461"/>
      <c r="AK101" s="3453"/>
      <c r="AL101" s="3462"/>
      <c r="AM101" s="3463"/>
      <c r="AN101" s="3464" t="s">
        <v>3407</v>
      </c>
      <c r="AO101" s="3464" t="s">
        <v>3408</v>
      </c>
      <c r="AP101" s="3464"/>
      <c r="AQ101" s="3464"/>
      <c r="AR101" s="3465"/>
      <c r="AS101" s="3465" t="s">
        <v>3409</v>
      </c>
      <c r="AT101" s="3465"/>
      <c r="AU101" s="3465"/>
      <c r="AV101" s="3464"/>
      <c r="AW101" s="3466"/>
      <c r="AX101" s="3466"/>
      <c r="AY101" s="3467"/>
      <c r="AZ101" s="3466"/>
      <c r="BA101" s="3466"/>
      <c r="BB101" s="3467"/>
      <c r="BC101" s="3466"/>
      <c r="BD101" s="3468"/>
      <c r="BE101" s="3466"/>
      <c r="BF101" s="3469"/>
      <c r="BG101" s="3470"/>
      <c r="BH101" s="3466"/>
      <c r="BI101" s="3466"/>
      <c r="BJ101" s="3471" t="s">
        <v>3410</v>
      </c>
      <c r="BK101" s="3472" t="s">
        <v>3411</v>
      </c>
      <c r="BL101" s="3455"/>
      <c r="BM101" s="3473"/>
      <c r="BN101" s="3473"/>
      <c r="BO101" s="3473"/>
      <c r="BP101" s="3473"/>
      <c r="BQ101" s="3465"/>
      <c r="BR101" s="3465"/>
      <c r="BU101" s="3475"/>
      <c r="BV101" s="3475"/>
      <c r="BW101" s="3475"/>
    </row>
    <row r="102" spans="1:75" s="3487" customFormat="1" ht="15.75">
      <c r="A102" s="3476" t="s">
        <v>3412</v>
      </c>
      <c r="B102" s="3464" t="s">
        <v>3413</v>
      </c>
      <c r="C102" s="3476" t="s">
        <v>3414</v>
      </c>
      <c r="D102" s="3476" t="s">
        <v>3415</v>
      </c>
      <c r="E102" s="3476" t="s">
        <v>3416</v>
      </c>
      <c r="F102" s="3476" t="s">
        <v>3417</v>
      </c>
      <c r="G102" s="3476" t="s">
        <v>3418</v>
      </c>
      <c r="H102" s="3476" t="s">
        <v>3419</v>
      </c>
      <c r="I102" s="3476" t="s">
        <v>3420</v>
      </c>
      <c r="J102" s="3476" t="s">
        <v>3421</v>
      </c>
      <c r="K102" s="3464" t="s">
        <v>3422</v>
      </c>
      <c r="L102" s="3477" t="s">
        <v>3423</v>
      </c>
      <c r="M102" s="3478" t="s">
        <v>3424</v>
      </c>
      <c r="N102" s="3464" t="s">
        <v>3425</v>
      </c>
      <c r="O102" s="3464" t="s">
        <v>3426</v>
      </c>
      <c r="P102" s="3464" t="s">
        <v>3427</v>
      </c>
      <c r="Q102" s="3477" t="s">
        <v>3428</v>
      </c>
      <c r="R102" s="3477" t="s">
        <v>3429</v>
      </c>
      <c r="S102" s="3477" t="s">
        <v>3430</v>
      </c>
      <c r="T102" s="3479" t="s">
        <v>3431</v>
      </c>
      <c r="U102" s="3477" t="s">
        <v>3432</v>
      </c>
      <c r="V102" s="3477" t="s">
        <v>3433</v>
      </c>
      <c r="W102" s="3477" t="s">
        <v>3434</v>
      </c>
      <c r="X102" s="3479" t="s">
        <v>3435</v>
      </c>
      <c r="Y102" s="3477" t="s">
        <v>3436</v>
      </c>
      <c r="Z102" s="3477" t="s">
        <v>3437</v>
      </c>
      <c r="AA102" s="3477" t="s">
        <v>3438</v>
      </c>
      <c r="AB102" s="3477" t="s">
        <v>3439</v>
      </c>
      <c r="AC102" s="3464" t="s">
        <v>3440</v>
      </c>
      <c r="AD102" s="3462" t="s">
        <v>3441</v>
      </c>
      <c r="AE102" s="3464" t="s">
        <v>3442</v>
      </c>
      <c r="AF102" s="3464" t="s">
        <v>3389</v>
      </c>
      <c r="AG102" s="3464" t="s">
        <v>3443</v>
      </c>
      <c r="AH102" s="3464" t="s">
        <v>3444</v>
      </c>
      <c r="AI102" s="3464" t="s">
        <v>3445</v>
      </c>
      <c r="AJ102" s="3480" t="s">
        <v>3446</v>
      </c>
      <c r="AK102" s="3464" t="s">
        <v>3447</v>
      </c>
      <c r="AL102" s="3462" t="s">
        <v>3448</v>
      </c>
      <c r="AM102" s="3463" t="s">
        <v>3449</v>
      </c>
      <c r="AN102" s="3464" t="s">
        <v>3450</v>
      </c>
      <c r="AO102" s="3464" t="s">
        <v>3451</v>
      </c>
      <c r="AP102" s="3464" t="s">
        <v>3452</v>
      </c>
      <c r="AQ102" s="3464" t="s">
        <v>3453</v>
      </c>
      <c r="AR102" s="3465" t="s">
        <v>3454</v>
      </c>
      <c r="AS102" s="3465" t="s">
        <v>3455</v>
      </c>
      <c r="AT102" s="3465" t="s">
        <v>3456</v>
      </c>
      <c r="AU102" s="3465" t="s">
        <v>3457</v>
      </c>
      <c r="AV102" s="3462" t="s">
        <v>3458</v>
      </c>
      <c r="AW102" s="3481" t="s">
        <v>3459</v>
      </c>
      <c r="AX102" s="3482" t="s">
        <v>3460</v>
      </c>
      <c r="AY102" s="3483" t="s">
        <v>3461</v>
      </c>
      <c r="AZ102" s="3481" t="s">
        <v>3462</v>
      </c>
      <c r="BA102" s="3481" t="s">
        <v>3463</v>
      </c>
      <c r="BB102" s="3483" t="s">
        <v>3464</v>
      </c>
      <c r="BC102" s="3481" t="s">
        <v>3465</v>
      </c>
      <c r="BD102" s="3484" t="s">
        <v>3466</v>
      </c>
      <c r="BE102" s="3481" t="s">
        <v>3467</v>
      </c>
      <c r="BF102" s="3485" t="s">
        <v>3468</v>
      </c>
      <c r="BG102" s="3486" t="s">
        <v>3469</v>
      </c>
      <c r="BH102" s="3486" t="s">
        <v>3470</v>
      </c>
      <c r="BI102" s="3486" t="s">
        <v>3471</v>
      </c>
      <c r="BJ102" s="3471" t="s">
        <v>3472</v>
      </c>
      <c r="BK102" s="3472" t="s">
        <v>3473</v>
      </c>
      <c r="BL102" s="3465" t="s">
        <v>3474</v>
      </c>
      <c r="BM102" s="3473" t="s">
        <v>3475</v>
      </c>
      <c r="BN102" s="3473" t="s">
        <v>3476</v>
      </c>
      <c r="BO102" s="3473" t="s">
        <v>3477</v>
      </c>
      <c r="BP102" s="3473"/>
      <c r="BQ102" s="3465" t="s">
        <v>3478</v>
      </c>
      <c r="BR102" s="3465" t="s">
        <v>3479</v>
      </c>
      <c r="BU102" s="3488"/>
      <c r="BV102" s="3488"/>
      <c r="BW102" s="3488"/>
    </row>
    <row r="103" spans="1:75" s="3504" customFormat="1" ht="12" customHeight="1">
      <c r="A103" s="3489" t="s">
        <v>3480</v>
      </c>
      <c r="B103" s="3490" t="s">
        <v>3481</v>
      </c>
      <c r="C103" s="3491" t="s">
        <v>3482</v>
      </c>
      <c r="D103" s="3490">
        <v>13671194538</v>
      </c>
      <c r="E103" s="3490" t="s">
        <v>3483</v>
      </c>
      <c r="F103" s="3490" t="s">
        <v>3484</v>
      </c>
      <c r="G103" s="3490"/>
      <c r="H103" s="3490" t="s">
        <v>3485</v>
      </c>
      <c r="I103" s="3490" t="s">
        <v>3486</v>
      </c>
      <c r="J103" s="3489">
        <v>102</v>
      </c>
      <c r="K103" s="3490" t="s">
        <v>3481</v>
      </c>
      <c r="L103" s="3492">
        <v>78.099999999999994</v>
      </c>
      <c r="M103" s="3490">
        <v>1</v>
      </c>
      <c r="N103" s="3493" t="s">
        <v>3487</v>
      </c>
      <c r="O103" s="3490"/>
      <c r="P103" s="3493" t="s">
        <v>3488</v>
      </c>
      <c r="Q103" s="3494">
        <v>1700000</v>
      </c>
      <c r="R103" s="3492">
        <v>21767</v>
      </c>
      <c r="S103" s="3495">
        <v>384.91</v>
      </c>
      <c r="T103" s="3496">
        <v>3849100</v>
      </c>
      <c r="U103" s="3492">
        <v>49285</v>
      </c>
      <c r="V103" s="3497">
        <v>0.2</v>
      </c>
      <c r="W103" s="3498">
        <v>307.92</v>
      </c>
      <c r="X103" s="3496">
        <v>3079200</v>
      </c>
      <c r="Y103" s="3492">
        <v>2013</v>
      </c>
      <c r="Z103" s="3492">
        <v>1</v>
      </c>
      <c r="AA103" s="3492">
        <v>29</v>
      </c>
      <c r="AB103" s="3492">
        <v>1500</v>
      </c>
      <c r="AC103" s="3490" t="s">
        <v>3489</v>
      </c>
      <c r="AD103" s="3490"/>
      <c r="AE103" s="3490" t="s">
        <v>3490</v>
      </c>
      <c r="AF103" s="3490" t="s">
        <v>3491</v>
      </c>
      <c r="AG103" s="3490" t="s">
        <v>3492</v>
      </c>
      <c r="AH103" s="3490">
        <v>61459</v>
      </c>
      <c r="AI103" s="3490" t="s">
        <v>3493</v>
      </c>
      <c r="AJ103" s="3490"/>
      <c r="AK103" s="3490" t="s">
        <v>3494</v>
      </c>
      <c r="AL103" s="3490">
        <v>34</v>
      </c>
      <c r="AM103" s="3490"/>
      <c r="AN103" s="3490"/>
      <c r="AO103" s="3490"/>
      <c r="AP103" s="3490" t="s">
        <v>3495</v>
      </c>
      <c r="AQ103" s="3490" t="s">
        <v>3496</v>
      </c>
      <c r="AR103" s="3490"/>
      <c r="AS103" s="3490"/>
      <c r="AT103" s="3490"/>
      <c r="AU103" s="3490"/>
      <c r="AV103" s="3490"/>
      <c r="AW103" s="3490" t="s">
        <v>3497</v>
      </c>
      <c r="AX103" s="3490" t="s">
        <v>3498</v>
      </c>
      <c r="AY103" s="3491" t="s">
        <v>3499</v>
      </c>
      <c r="AZ103" s="3492" t="s">
        <v>3500</v>
      </c>
      <c r="BA103" s="3490"/>
      <c r="BB103" s="3491"/>
      <c r="BC103" s="3490"/>
      <c r="BD103" s="3499"/>
      <c r="BE103" s="3490"/>
      <c r="BF103" s="3500"/>
      <c r="BG103" s="3501">
        <v>41270</v>
      </c>
      <c r="BH103" s="3490"/>
      <c r="BI103" s="3490" t="s">
        <v>3501</v>
      </c>
      <c r="BJ103" s="3501">
        <v>41271</v>
      </c>
      <c r="BK103" s="3501"/>
      <c r="BL103" s="3490" t="s">
        <v>3491</v>
      </c>
      <c r="BM103" s="3490" t="s">
        <v>3502</v>
      </c>
      <c r="BN103" s="3490" t="s">
        <v>3503</v>
      </c>
      <c r="BO103" s="3490" t="s">
        <v>3504</v>
      </c>
      <c r="BP103" s="3490"/>
      <c r="BQ103" s="3474" t="e">
        <v>#DIV/0!</v>
      </c>
      <c r="BR103" s="3474" t="e">
        <v>#DIV/0!</v>
      </c>
      <c r="BS103" s="3502" t="s">
        <v>3505</v>
      </c>
      <c r="BT103" s="3502" t="s">
        <v>3506</v>
      </c>
      <c r="BU103" s="3503"/>
    </row>
    <row r="104" spans="1:75" s="3504" customFormat="1" ht="12" customHeight="1">
      <c r="A104" s="3490" t="s">
        <v>3507</v>
      </c>
      <c r="B104" s="3490" t="s">
        <v>3508</v>
      </c>
      <c r="C104" s="3491" t="s">
        <v>3509</v>
      </c>
      <c r="D104" s="3490">
        <v>13811894504</v>
      </c>
      <c r="E104" s="3490" t="s">
        <v>2690</v>
      </c>
      <c r="F104" s="3490" t="s">
        <v>3510</v>
      </c>
      <c r="G104" s="3490" t="s">
        <v>3511</v>
      </c>
      <c r="H104" s="3489" t="s">
        <v>3512</v>
      </c>
      <c r="I104" s="3489" t="s">
        <v>3513</v>
      </c>
      <c r="J104" s="3505" t="s">
        <v>3514</v>
      </c>
      <c r="K104" s="3490" t="s">
        <v>3515</v>
      </c>
      <c r="L104" s="3492">
        <v>36.1</v>
      </c>
      <c r="M104" s="3490">
        <v>-1</v>
      </c>
      <c r="N104" s="3490" t="s">
        <v>3516</v>
      </c>
      <c r="O104" s="3490"/>
      <c r="P104" s="3490" t="s">
        <v>3517</v>
      </c>
      <c r="Q104" s="3494">
        <v>1100000</v>
      </c>
      <c r="R104" s="3492">
        <v>30471</v>
      </c>
      <c r="S104" s="3495">
        <v>117.7</v>
      </c>
      <c r="T104" s="3496">
        <v>1177000</v>
      </c>
      <c r="U104" s="3492">
        <v>32606</v>
      </c>
      <c r="V104" s="3497">
        <v>0.2</v>
      </c>
      <c r="W104" s="3498">
        <v>94.16</v>
      </c>
      <c r="X104" s="3496">
        <v>941600</v>
      </c>
      <c r="Y104" s="3492">
        <v>2013</v>
      </c>
      <c r="Z104" s="3492">
        <v>2</v>
      </c>
      <c r="AA104" s="3492">
        <v>22</v>
      </c>
      <c r="AB104" s="3492">
        <v>1500</v>
      </c>
      <c r="AC104" s="3490" t="s">
        <v>3506</v>
      </c>
      <c r="AD104" s="3490"/>
      <c r="AE104" s="3490" t="s">
        <v>3518</v>
      </c>
      <c r="AF104" s="3490" t="s">
        <v>3519</v>
      </c>
      <c r="AG104" s="3490" t="s">
        <v>3520</v>
      </c>
      <c r="AH104" s="3490">
        <v>64542</v>
      </c>
      <c r="AI104" s="3490" t="s">
        <v>3521</v>
      </c>
      <c r="AJ104" s="3490"/>
      <c r="AK104" s="3506" t="s">
        <v>3522</v>
      </c>
      <c r="AL104" s="3490">
        <v>28</v>
      </c>
      <c r="AM104" s="3490"/>
      <c r="AN104" s="3490"/>
      <c r="AO104" s="3490"/>
      <c r="AP104" s="3490" t="s">
        <v>3523</v>
      </c>
      <c r="AQ104" s="3490" t="s">
        <v>3524</v>
      </c>
      <c r="AR104" s="3490"/>
      <c r="AS104" s="3490"/>
      <c r="AT104" s="3490"/>
      <c r="AU104" s="3490"/>
      <c r="AV104" s="3490"/>
      <c r="AW104" s="3490" t="s">
        <v>3525</v>
      </c>
      <c r="AX104" s="3474" t="s">
        <v>3526</v>
      </c>
      <c r="AY104" s="3491" t="s">
        <v>3527</v>
      </c>
      <c r="AZ104" s="3507" t="s">
        <v>3528</v>
      </c>
      <c r="BA104" s="3490"/>
      <c r="BB104" s="3491"/>
      <c r="BC104" s="3490"/>
      <c r="BD104" s="3499"/>
      <c r="BE104" s="3490"/>
      <c r="BF104" s="3500"/>
      <c r="BG104" s="3501">
        <v>41270</v>
      </c>
      <c r="BH104" s="3490"/>
      <c r="BI104" s="3489" t="s">
        <v>3529</v>
      </c>
      <c r="BJ104" s="3501">
        <v>41278</v>
      </c>
      <c r="BK104" s="3501"/>
      <c r="BL104" s="3490" t="s">
        <v>3519</v>
      </c>
      <c r="BM104" s="3490" t="s">
        <v>3391</v>
      </c>
      <c r="BN104" s="3490" t="s">
        <v>3530</v>
      </c>
      <c r="BO104" s="3490" t="s">
        <v>3531</v>
      </c>
      <c r="BP104" s="3490"/>
      <c r="BQ104" s="3474" t="e">
        <v>#DIV/0!</v>
      </c>
      <c r="BR104" s="3474" t="e">
        <v>#DIV/0!</v>
      </c>
      <c r="BS104" s="3502" t="s">
        <v>3529</v>
      </c>
      <c r="BT104" s="3502" t="s">
        <v>3506</v>
      </c>
      <c r="BU104" s="3508"/>
    </row>
    <row r="105" spans="1:75" s="3521" customFormat="1" ht="12" customHeight="1">
      <c r="A105" s="3509" t="s">
        <v>3532</v>
      </c>
      <c r="B105" s="3509" t="s">
        <v>3533</v>
      </c>
      <c r="C105" s="3510" t="s">
        <v>3534</v>
      </c>
      <c r="D105" s="3509">
        <v>13661385744</v>
      </c>
      <c r="E105" s="3509" t="s">
        <v>3535</v>
      </c>
      <c r="F105" s="3509" t="s">
        <v>3536</v>
      </c>
      <c r="G105" s="3509"/>
      <c r="H105" s="3509" t="s">
        <v>3537</v>
      </c>
      <c r="I105" s="3509" t="s">
        <v>3538</v>
      </c>
      <c r="J105" s="3509" t="s">
        <v>3539</v>
      </c>
      <c r="K105" s="3509" t="s">
        <v>3533</v>
      </c>
      <c r="L105" s="3511">
        <v>45.9</v>
      </c>
      <c r="M105" s="3509">
        <v>3</v>
      </c>
      <c r="N105" s="3509" t="s">
        <v>3540</v>
      </c>
      <c r="O105" s="3509"/>
      <c r="P105" s="3509" t="s">
        <v>3488</v>
      </c>
      <c r="Q105" s="3512">
        <v>1600000</v>
      </c>
      <c r="R105" s="3511">
        <v>34858</v>
      </c>
      <c r="S105" s="3513">
        <v>230.46</v>
      </c>
      <c r="T105" s="3514">
        <v>2304600</v>
      </c>
      <c r="U105" s="3511">
        <v>50211</v>
      </c>
      <c r="V105" s="3515">
        <v>0.2</v>
      </c>
      <c r="W105" s="3516">
        <v>184.36</v>
      </c>
      <c r="X105" s="3514">
        <v>1843600.0000000002</v>
      </c>
      <c r="Y105" s="3511">
        <v>2013</v>
      </c>
      <c r="Z105" s="3511">
        <v>3</v>
      </c>
      <c r="AA105" s="3511">
        <v>5</v>
      </c>
      <c r="AB105" s="3511">
        <v>1500</v>
      </c>
      <c r="AC105" s="3509" t="s">
        <v>3541</v>
      </c>
      <c r="AD105" s="3509"/>
      <c r="AE105" s="3509" t="s">
        <v>3490</v>
      </c>
      <c r="AF105" s="3509" t="s">
        <v>3519</v>
      </c>
      <c r="AG105" s="3509" t="s">
        <v>3520</v>
      </c>
      <c r="AH105" s="3509">
        <v>56644</v>
      </c>
      <c r="AI105" s="3509" t="s">
        <v>3542</v>
      </c>
      <c r="AJ105" s="3509"/>
      <c r="AK105" s="3517" t="s">
        <v>3543</v>
      </c>
      <c r="AL105" s="3509">
        <v>27</v>
      </c>
      <c r="AM105" s="3518">
        <v>41296</v>
      </c>
      <c r="AN105" s="3509"/>
      <c r="AO105" s="3509"/>
      <c r="AP105" s="3509" t="s">
        <v>3544</v>
      </c>
      <c r="AQ105" s="3509" t="s">
        <v>3496</v>
      </c>
      <c r="AR105" s="3509"/>
      <c r="AS105" s="3509"/>
      <c r="AT105" s="3509"/>
      <c r="AU105" s="3509"/>
      <c r="AV105" s="3509"/>
      <c r="AW105" s="3509" t="s">
        <v>3545</v>
      </c>
      <c r="AX105" s="3509" t="s">
        <v>409</v>
      </c>
      <c r="AY105" s="3509">
        <v>703989</v>
      </c>
      <c r="AZ105" s="3509" t="s">
        <v>3546</v>
      </c>
      <c r="BA105" s="3509"/>
      <c r="BB105" s="3509"/>
      <c r="BC105" s="3509"/>
      <c r="BD105" s="3509"/>
      <c r="BE105" s="3509"/>
      <c r="BF105" s="3509"/>
      <c r="BG105" s="3518">
        <v>41310</v>
      </c>
      <c r="BH105" s="3509"/>
      <c r="BI105" s="3509" t="s">
        <v>3547</v>
      </c>
      <c r="BJ105" s="3518">
        <v>41310</v>
      </c>
      <c r="BK105" s="3518"/>
      <c r="BL105" s="3509" t="s">
        <v>3519</v>
      </c>
      <c r="BM105" s="3509" t="s">
        <v>3548</v>
      </c>
      <c r="BN105" s="3509" t="s">
        <v>3549</v>
      </c>
      <c r="BO105" s="3509" t="s">
        <v>3550</v>
      </c>
      <c r="BP105" s="3509"/>
      <c r="BQ105" s="3519" t="e">
        <v>#DIV/0!</v>
      </c>
      <c r="BR105" s="3519" t="e">
        <v>#DIV/0!</v>
      </c>
      <c r="BS105" s="3502" t="s">
        <v>3551</v>
      </c>
      <c r="BT105" s="3502" t="s">
        <v>3506</v>
      </c>
      <c r="BU105" s="3520"/>
    </row>
    <row r="106" spans="1:75" s="3504" customFormat="1" ht="12" customHeight="1">
      <c r="A106" s="3490" t="s">
        <v>3552</v>
      </c>
      <c r="B106" s="3490" t="s">
        <v>3553</v>
      </c>
      <c r="C106" s="3491" t="s">
        <v>3554</v>
      </c>
      <c r="D106" s="3490">
        <v>13141301114</v>
      </c>
      <c r="E106" s="3490" t="s">
        <v>3535</v>
      </c>
      <c r="F106" s="3490" t="s">
        <v>3484</v>
      </c>
      <c r="G106" s="3490"/>
      <c r="H106" s="3490" t="s">
        <v>3485</v>
      </c>
      <c r="I106" s="3490" t="s">
        <v>3555</v>
      </c>
      <c r="J106" s="3522" t="s">
        <v>3556</v>
      </c>
      <c r="K106" s="3490" t="s">
        <v>3557</v>
      </c>
      <c r="L106" s="3492">
        <v>95.9</v>
      </c>
      <c r="M106" s="3490">
        <v>6</v>
      </c>
      <c r="N106" s="3493" t="s">
        <v>3558</v>
      </c>
      <c r="O106" s="3490"/>
      <c r="P106" s="3493" t="s">
        <v>3559</v>
      </c>
      <c r="Q106" s="3494">
        <v>3700000</v>
      </c>
      <c r="R106" s="3492">
        <v>38582</v>
      </c>
      <c r="S106" s="3495">
        <v>430.38</v>
      </c>
      <c r="T106" s="3496">
        <v>4303800</v>
      </c>
      <c r="U106" s="3492">
        <v>44879</v>
      </c>
      <c r="V106" s="3497">
        <v>0.2</v>
      </c>
      <c r="W106" s="3498">
        <v>344.3</v>
      </c>
      <c r="X106" s="3496">
        <v>3443000</v>
      </c>
      <c r="Y106" s="3492">
        <v>2013</v>
      </c>
      <c r="Z106" s="3492">
        <v>1</v>
      </c>
      <c r="AA106" s="3492">
        <v>10</v>
      </c>
      <c r="AB106" s="3492">
        <v>1500</v>
      </c>
      <c r="AC106" s="3490" t="s">
        <v>3560</v>
      </c>
      <c r="AD106" s="3490"/>
      <c r="AE106" s="3490" t="s">
        <v>3490</v>
      </c>
      <c r="AF106" s="3490" t="s">
        <v>3491</v>
      </c>
      <c r="AG106" s="3490" t="s">
        <v>3561</v>
      </c>
      <c r="AH106" s="3490">
        <v>50260</v>
      </c>
      <c r="AI106" s="3493" t="s">
        <v>3493</v>
      </c>
      <c r="AJ106" s="3490"/>
      <c r="AK106" s="3490" t="s">
        <v>3494</v>
      </c>
      <c r="AL106" s="3490">
        <v>34</v>
      </c>
      <c r="AM106" s="3490"/>
      <c r="AN106" s="3490"/>
      <c r="AO106" s="3490"/>
      <c r="AP106" s="3490" t="s">
        <v>3562</v>
      </c>
      <c r="AQ106" s="3490" t="s">
        <v>3563</v>
      </c>
      <c r="AR106" s="3490"/>
      <c r="AS106" s="3490"/>
      <c r="AT106" s="3490"/>
      <c r="AU106" s="3490"/>
      <c r="AV106" s="3490"/>
      <c r="AW106" s="3490" t="s">
        <v>3564</v>
      </c>
      <c r="AX106" s="3490" t="s">
        <v>3565</v>
      </c>
      <c r="AY106" s="3491" t="s">
        <v>3566</v>
      </c>
      <c r="AZ106" s="3489" t="s">
        <v>3567</v>
      </c>
      <c r="BA106" s="3490"/>
      <c r="BB106" s="3491"/>
      <c r="BC106" s="3490"/>
      <c r="BD106" s="3499"/>
      <c r="BE106" s="3490"/>
      <c r="BF106" s="3500"/>
      <c r="BG106" s="3523">
        <v>41279</v>
      </c>
      <c r="BH106" s="3490"/>
      <c r="BI106" s="3490" t="s">
        <v>3568</v>
      </c>
      <c r="BJ106" s="3501"/>
      <c r="BK106" s="3501"/>
      <c r="BL106" s="3490" t="s">
        <v>3569</v>
      </c>
      <c r="BM106" s="3490" t="s">
        <v>3570</v>
      </c>
      <c r="BN106" s="3490" t="s">
        <v>3571</v>
      </c>
      <c r="BO106" s="3490" t="s">
        <v>3572</v>
      </c>
      <c r="BP106" s="3490"/>
      <c r="BQ106" s="3474" t="e">
        <v>#DIV/0!</v>
      </c>
      <c r="BR106" s="3474" t="e">
        <v>#DIV/0!</v>
      </c>
      <c r="BS106" s="3502" t="s">
        <v>3573</v>
      </c>
      <c r="BT106" s="3502" t="s">
        <v>3574</v>
      </c>
      <c r="BU106" s="3503"/>
    </row>
    <row r="107" spans="1:75" s="3504" customFormat="1" ht="12" customHeight="1">
      <c r="A107" s="3490" t="s">
        <v>3575</v>
      </c>
      <c r="B107" s="3490" t="s">
        <v>3576</v>
      </c>
      <c r="C107" s="3491" t="s">
        <v>3577</v>
      </c>
      <c r="D107" s="3491" t="s">
        <v>3578</v>
      </c>
      <c r="E107" s="3524" t="s">
        <v>3579</v>
      </c>
      <c r="F107" s="3524" t="s">
        <v>3510</v>
      </c>
      <c r="G107" s="3490"/>
      <c r="H107" s="3490" t="s">
        <v>3580</v>
      </c>
      <c r="I107" s="3524"/>
      <c r="J107" s="3525" t="s">
        <v>3581</v>
      </c>
      <c r="K107" s="3490" t="s">
        <v>3582</v>
      </c>
      <c r="L107" s="3492">
        <v>68.599999999999994</v>
      </c>
      <c r="M107" s="3491" t="s">
        <v>3583</v>
      </c>
      <c r="N107" s="3490" t="s">
        <v>3584</v>
      </c>
      <c r="O107" s="3490"/>
      <c r="P107" s="3490" t="s">
        <v>3559</v>
      </c>
      <c r="Q107" s="3494">
        <v>1440000</v>
      </c>
      <c r="R107" s="3492">
        <v>20991</v>
      </c>
      <c r="S107" s="3495">
        <v>351.55</v>
      </c>
      <c r="T107" s="3496">
        <v>3515500</v>
      </c>
      <c r="U107" s="3492">
        <v>51247</v>
      </c>
      <c r="V107" s="3497">
        <v>0.2</v>
      </c>
      <c r="W107" s="3498">
        <v>281.24</v>
      </c>
      <c r="X107" s="3496">
        <v>2812400</v>
      </c>
      <c r="Y107" s="3492">
        <v>2013</v>
      </c>
      <c r="Z107" s="3526">
        <v>2</v>
      </c>
      <c r="AA107" s="3526">
        <v>7</v>
      </c>
      <c r="AB107" s="3492">
        <v>1500</v>
      </c>
      <c r="AC107" s="3490" t="s">
        <v>3585</v>
      </c>
      <c r="AD107" s="3527"/>
      <c r="AE107" s="3490" t="s">
        <v>3586</v>
      </c>
      <c r="AF107" s="3490" t="s">
        <v>3491</v>
      </c>
      <c r="AG107" s="3493" t="s">
        <v>3520</v>
      </c>
      <c r="AH107" s="3528">
        <v>51020</v>
      </c>
      <c r="AI107" s="3493" t="s">
        <v>3493</v>
      </c>
      <c r="AJ107" s="3529"/>
      <c r="AK107" s="3506" t="s">
        <v>3587</v>
      </c>
      <c r="AL107" s="3490">
        <v>34</v>
      </c>
      <c r="AM107" s="3490"/>
      <c r="AN107" s="3490"/>
      <c r="AO107" s="3490"/>
      <c r="AP107" s="3490" t="s">
        <v>3523</v>
      </c>
      <c r="AQ107" s="3490" t="s">
        <v>3588</v>
      </c>
      <c r="AR107" s="3490"/>
      <c r="AS107" s="3490"/>
      <c r="AT107" s="3490"/>
      <c r="AU107" s="3474"/>
      <c r="AV107" s="3474" t="s">
        <v>3589</v>
      </c>
      <c r="AW107" s="3474" t="s">
        <v>3497</v>
      </c>
      <c r="AX107" s="3474" t="s">
        <v>3526</v>
      </c>
      <c r="AY107" s="3530" t="s">
        <v>3590</v>
      </c>
      <c r="AZ107" s="3490" t="s">
        <v>3591</v>
      </c>
      <c r="BA107" s="3531"/>
      <c r="BB107" s="3532"/>
      <c r="BC107" s="3474"/>
      <c r="BD107" s="3533"/>
      <c r="BE107" s="3474"/>
      <c r="BF107" s="3534"/>
      <c r="BG107" s="3535">
        <v>41305</v>
      </c>
      <c r="BH107" s="3490"/>
      <c r="BI107" s="3489" t="s">
        <v>3592</v>
      </c>
      <c r="BJ107" s="3536"/>
      <c r="BK107" s="3537"/>
      <c r="BL107" s="3474" t="s">
        <v>3593</v>
      </c>
      <c r="BM107" s="3490"/>
      <c r="BN107" s="3490"/>
      <c r="BO107" s="3490"/>
      <c r="BP107" s="3474"/>
      <c r="BQ107" s="3474" t="e">
        <v>#DIV/0!</v>
      </c>
      <c r="BR107" s="3474" t="e">
        <v>#DIV/0!</v>
      </c>
      <c r="BS107" s="3502" t="s">
        <v>3529</v>
      </c>
      <c r="BT107" s="3502" t="s">
        <v>3574</v>
      </c>
      <c r="BU107" s="3508"/>
    </row>
    <row r="108" spans="1:75" s="3521" customFormat="1" ht="12" customHeight="1">
      <c r="A108" s="3509" t="s">
        <v>3594</v>
      </c>
      <c r="B108" s="3509" t="s">
        <v>3595</v>
      </c>
      <c r="C108" s="3510" t="s">
        <v>3596</v>
      </c>
      <c r="D108" s="3510">
        <v>13911269040</v>
      </c>
      <c r="E108" s="3538" t="s">
        <v>3483</v>
      </c>
      <c r="F108" s="3538" t="s">
        <v>3597</v>
      </c>
      <c r="G108" s="3509"/>
      <c r="H108" s="3539" t="s">
        <v>3598</v>
      </c>
      <c r="I108" s="3510"/>
      <c r="J108" s="3510" t="s">
        <v>3599</v>
      </c>
      <c r="K108" s="3509" t="s">
        <v>3600</v>
      </c>
      <c r="L108" s="3511">
        <v>69.3</v>
      </c>
      <c r="M108" s="3510">
        <v>4</v>
      </c>
      <c r="N108" s="3509" t="s">
        <v>3601</v>
      </c>
      <c r="O108" s="3509"/>
      <c r="P108" s="3509" t="s">
        <v>3517</v>
      </c>
      <c r="Q108" s="3512">
        <v>1500000</v>
      </c>
      <c r="R108" s="3511">
        <v>21645</v>
      </c>
      <c r="S108" s="3513">
        <v>383.09</v>
      </c>
      <c r="T108" s="3514">
        <v>3830899.9999999995</v>
      </c>
      <c r="U108" s="3511">
        <v>55281</v>
      </c>
      <c r="V108" s="3515">
        <v>0.2</v>
      </c>
      <c r="W108" s="3516">
        <v>306.47000000000003</v>
      </c>
      <c r="X108" s="3514">
        <v>3064700.0000000005</v>
      </c>
      <c r="Y108" s="3540">
        <v>2013</v>
      </c>
      <c r="Z108" s="3540">
        <v>3</v>
      </c>
      <c r="AA108" s="3540">
        <v>18</v>
      </c>
      <c r="AB108" s="3511">
        <v>1500</v>
      </c>
      <c r="AC108" s="3509" t="s">
        <v>3602</v>
      </c>
      <c r="AD108" s="3541"/>
      <c r="AE108" s="3542" t="s">
        <v>3603</v>
      </c>
      <c r="AF108" s="3509" t="s">
        <v>3569</v>
      </c>
      <c r="AG108" s="3543" t="s">
        <v>3520</v>
      </c>
      <c r="AH108" s="3539">
        <v>67243</v>
      </c>
      <c r="AI108" s="3542" t="s">
        <v>3542</v>
      </c>
      <c r="AJ108" s="3544"/>
      <c r="AK108" s="3545" t="s">
        <v>3543</v>
      </c>
      <c r="AL108" s="3509">
        <v>30</v>
      </c>
      <c r="AM108" s="3519"/>
      <c r="AN108" s="3519"/>
      <c r="AO108" s="3509"/>
      <c r="AP108" s="3509" t="s">
        <v>3604</v>
      </c>
      <c r="AQ108" s="3519" t="s">
        <v>3605</v>
      </c>
      <c r="AR108" s="3519"/>
      <c r="AS108" s="3519"/>
      <c r="AT108" s="3519"/>
      <c r="AU108" s="3519"/>
      <c r="AV108" s="3519"/>
      <c r="AW108" s="3519" t="s">
        <v>3606</v>
      </c>
      <c r="AX108" s="3519" t="s">
        <v>3565</v>
      </c>
      <c r="AY108" s="3546">
        <v>700801</v>
      </c>
      <c r="AZ108" s="3509" t="s">
        <v>3607</v>
      </c>
      <c r="BA108" s="3547"/>
      <c r="BB108" s="3548"/>
      <c r="BC108" s="3547"/>
      <c r="BD108" s="3549"/>
      <c r="BE108" s="3519"/>
      <c r="BF108" s="3550"/>
      <c r="BG108" s="3551">
        <v>41305</v>
      </c>
      <c r="BH108" s="3509"/>
      <c r="BI108" s="3552" t="s">
        <v>3604</v>
      </c>
      <c r="BJ108" s="3553">
        <v>41306</v>
      </c>
      <c r="BK108" s="3554"/>
      <c r="BL108" s="3509" t="s">
        <v>3491</v>
      </c>
      <c r="BM108" s="3519" t="s">
        <v>3608</v>
      </c>
      <c r="BN108" s="3519" t="s">
        <v>3549</v>
      </c>
      <c r="BO108" s="3519" t="s">
        <v>3550</v>
      </c>
      <c r="BP108" s="3519"/>
      <c r="BQ108" s="3519" t="e">
        <v>#DIV/0!</v>
      </c>
      <c r="BR108" s="3519" t="e">
        <v>#DIV/0!</v>
      </c>
      <c r="BS108" s="3502" t="s">
        <v>3609</v>
      </c>
      <c r="BT108" s="3502" t="s">
        <v>3610</v>
      </c>
      <c r="BU108" s="3520"/>
    </row>
    <row r="109" spans="1:75" s="3560" customFormat="1" ht="12" customHeight="1">
      <c r="A109" s="3555" t="s">
        <v>3611</v>
      </c>
      <c r="B109" s="3555" t="s">
        <v>3612</v>
      </c>
      <c r="C109" s="3556" t="s">
        <v>3613</v>
      </c>
      <c r="D109" s="3556" t="s">
        <v>3614</v>
      </c>
      <c r="E109" s="3555" t="s">
        <v>2690</v>
      </c>
      <c r="F109" s="3555" t="s">
        <v>3510</v>
      </c>
      <c r="G109" s="3555"/>
      <c r="H109" s="3555" t="s">
        <v>3615</v>
      </c>
      <c r="I109" s="3556" t="s">
        <v>3616</v>
      </c>
      <c r="J109" s="3556" t="s">
        <v>3617</v>
      </c>
      <c r="K109" s="3555" t="s">
        <v>3618</v>
      </c>
      <c r="L109" s="3557">
        <v>55.6</v>
      </c>
      <c r="M109" s="3510" t="s">
        <v>3619</v>
      </c>
      <c r="N109" s="3555" t="s">
        <v>3584</v>
      </c>
      <c r="O109" s="3555"/>
      <c r="P109" s="3555" t="s">
        <v>3517</v>
      </c>
      <c r="Q109" s="3512">
        <v>2060000</v>
      </c>
      <c r="R109" s="3511">
        <v>37050</v>
      </c>
      <c r="S109" s="3513">
        <v>223.11</v>
      </c>
      <c r="T109" s="3514">
        <v>2231100</v>
      </c>
      <c r="U109" s="3511">
        <v>40128</v>
      </c>
      <c r="V109" s="3515">
        <v>0.2</v>
      </c>
      <c r="W109" s="3516">
        <v>178.48</v>
      </c>
      <c r="X109" s="3514">
        <v>1784800</v>
      </c>
      <c r="Y109" s="3511">
        <v>2013</v>
      </c>
      <c r="Z109" s="3511">
        <v>4</v>
      </c>
      <c r="AA109" s="3511">
        <v>17</v>
      </c>
      <c r="AB109" s="3511">
        <v>1500</v>
      </c>
      <c r="AC109" s="3555" t="s">
        <v>3541</v>
      </c>
      <c r="AD109" s="3555"/>
      <c r="AE109" s="3555" t="s">
        <v>3620</v>
      </c>
      <c r="AF109" s="3555" t="s">
        <v>3491</v>
      </c>
      <c r="AG109" s="3555" t="s">
        <v>3520</v>
      </c>
      <c r="AH109" s="3555"/>
      <c r="AI109" s="3555" t="s">
        <v>3521</v>
      </c>
      <c r="AJ109" s="3555"/>
      <c r="AK109" s="3542" t="s">
        <v>3621</v>
      </c>
      <c r="AL109" s="3511">
        <v>27</v>
      </c>
      <c r="AM109" s="3555"/>
      <c r="AN109" s="3555"/>
      <c r="AO109" s="3555"/>
      <c r="AP109" s="3555" t="s">
        <v>3622</v>
      </c>
      <c r="AQ109" s="3555" t="s">
        <v>3524</v>
      </c>
      <c r="AR109" s="3555">
        <v>2013</v>
      </c>
      <c r="AS109" s="3555">
        <v>4</v>
      </c>
      <c r="AT109" s="3555">
        <v>17</v>
      </c>
      <c r="AU109" s="3555"/>
      <c r="AV109" s="3555"/>
      <c r="AW109" s="3555" t="s">
        <v>3606</v>
      </c>
      <c r="AX109" s="3555" t="s">
        <v>3623</v>
      </c>
      <c r="AY109" s="3555">
        <v>712814</v>
      </c>
      <c r="AZ109" s="3555" t="s">
        <v>3624</v>
      </c>
      <c r="BA109" s="3555"/>
      <c r="BB109" s="3555"/>
      <c r="BC109" s="3555"/>
      <c r="BD109" s="3555"/>
      <c r="BE109" s="3556"/>
      <c r="BF109" s="3555"/>
      <c r="BG109" s="3558">
        <v>41335</v>
      </c>
      <c r="BH109" s="3555"/>
      <c r="BI109" s="3555" t="s">
        <v>3625</v>
      </c>
      <c r="BJ109" s="3558">
        <v>41347</v>
      </c>
      <c r="BK109" s="3559"/>
      <c r="BL109" s="3555" t="s">
        <v>3569</v>
      </c>
      <c r="BM109" s="3555"/>
      <c r="BN109" s="3555"/>
      <c r="BO109" s="3555"/>
      <c r="BP109" s="3555"/>
      <c r="BQ109" s="3547" t="e">
        <v>#DIV/0!</v>
      </c>
      <c r="BR109" s="3547" t="e">
        <v>#DIV/0!</v>
      </c>
      <c r="BS109" s="3502" t="s">
        <v>3626</v>
      </c>
      <c r="BT109" s="3502" t="s">
        <v>3506</v>
      </c>
      <c r="BU109" s="3520"/>
    </row>
    <row r="110" spans="1:75" s="3521" customFormat="1" ht="12" customHeight="1">
      <c r="A110" s="3509" t="s">
        <v>3627</v>
      </c>
      <c r="B110" s="3509" t="s">
        <v>3628</v>
      </c>
      <c r="C110" s="3510" t="s">
        <v>3629</v>
      </c>
      <c r="D110" s="3510" t="s">
        <v>3630</v>
      </c>
      <c r="E110" s="3538" t="s">
        <v>3535</v>
      </c>
      <c r="F110" s="3538" t="s">
        <v>3484</v>
      </c>
      <c r="G110" s="3509"/>
      <c r="H110" s="3539" t="s">
        <v>3631</v>
      </c>
      <c r="I110" s="3510"/>
      <c r="J110" s="3510" t="s">
        <v>3632</v>
      </c>
      <c r="K110" s="3509" t="s">
        <v>3633</v>
      </c>
      <c r="L110" s="3557">
        <v>78.900000000000006</v>
      </c>
      <c r="M110" s="3510" t="s">
        <v>3634</v>
      </c>
      <c r="N110" s="3509" t="s">
        <v>3635</v>
      </c>
      <c r="O110" s="3509"/>
      <c r="P110" s="3509" t="s">
        <v>3517</v>
      </c>
      <c r="Q110" s="3511">
        <v>1750000</v>
      </c>
      <c r="R110" s="3511">
        <v>22180</v>
      </c>
      <c r="S110" s="3513">
        <v>469.66</v>
      </c>
      <c r="T110" s="3514">
        <v>4696600</v>
      </c>
      <c r="U110" s="3511">
        <v>59527</v>
      </c>
      <c r="V110" s="3515">
        <v>0.2</v>
      </c>
      <c r="W110" s="3516">
        <v>375.72</v>
      </c>
      <c r="X110" s="3514">
        <v>3757200.0000000005</v>
      </c>
      <c r="Y110" s="3511">
        <v>2013</v>
      </c>
      <c r="Z110" s="3540">
        <v>5</v>
      </c>
      <c r="AA110" s="3540">
        <v>8</v>
      </c>
      <c r="AB110" s="3511">
        <v>1500</v>
      </c>
      <c r="AC110" s="3509" t="s">
        <v>3636</v>
      </c>
      <c r="AD110" s="3541"/>
      <c r="AE110" s="3542" t="s">
        <v>3620</v>
      </c>
      <c r="AF110" s="3509" t="s">
        <v>3637</v>
      </c>
      <c r="AG110" s="3543" t="s">
        <v>3520</v>
      </c>
      <c r="AH110" s="3539">
        <v>69835</v>
      </c>
      <c r="AI110" s="3542" t="s">
        <v>3542</v>
      </c>
      <c r="AJ110" s="3544"/>
      <c r="AK110" s="3545" t="s">
        <v>3638</v>
      </c>
      <c r="AL110" s="3509">
        <v>34</v>
      </c>
      <c r="AM110" s="3519"/>
      <c r="AN110" s="3519"/>
      <c r="AO110" s="3509"/>
      <c r="AP110" s="3509" t="s">
        <v>3639</v>
      </c>
      <c r="AQ110" s="3519" t="s">
        <v>3524</v>
      </c>
      <c r="AR110" s="3519"/>
      <c r="AS110" s="3519"/>
      <c r="AT110" s="3519"/>
      <c r="AU110" s="3519"/>
      <c r="AV110" s="3519"/>
      <c r="AW110" s="3519" t="s">
        <v>3606</v>
      </c>
      <c r="AX110" s="3519" t="s">
        <v>3565</v>
      </c>
      <c r="AY110" s="3546" t="s">
        <v>3640</v>
      </c>
      <c r="AZ110" s="3509" t="s">
        <v>3641</v>
      </c>
      <c r="BA110" s="3547"/>
      <c r="BB110" s="3548" t="s">
        <v>3589</v>
      </c>
      <c r="BC110" s="3547" t="s">
        <v>3589</v>
      </c>
      <c r="BD110" s="3549"/>
      <c r="BE110" s="3519"/>
      <c r="BF110" s="3550"/>
      <c r="BG110" s="3551">
        <v>41355</v>
      </c>
      <c r="BH110" s="3509"/>
      <c r="BI110" s="3552" t="s">
        <v>3642</v>
      </c>
      <c r="BJ110" s="3553">
        <v>41374</v>
      </c>
      <c r="BK110" s="3554"/>
      <c r="BL110" s="3509" t="s">
        <v>3519</v>
      </c>
      <c r="BM110" s="3519"/>
      <c r="BN110" s="3519"/>
      <c r="BO110" s="3519"/>
      <c r="BP110" s="3519"/>
      <c r="BQ110" s="3540" t="e">
        <v>#DIV/0!</v>
      </c>
      <c r="BR110" s="3540" t="e">
        <v>#DIV/0!</v>
      </c>
      <c r="BS110" s="3502" t="s">
        <v>3609</v>
      </c>
      <c r="BT110" s="3502" t="s">
        <v>3506</v>
      </c>
    </row>
    <row r="111" spans="1:75" s="3521" customFormat="1" ht="12" customHeight="1">
      <c r="A111" s="3509" t="s">
        <v>3643</v>
      </c>
      <c r="B111" s="3509" t="s">
        <v>3644</v>
      </c>
      <c r="C111" s="3510" t="s">
        <v>3645</v>
      </c>
      <c r="D111" s="3509">
        <v>13681581699</v>
      </c>
      <c r="E111" s="3509" t="s">
        <v>2690</v>
      </c>
      <c r="F111" s="3509" t="s">
        <v>3646</v>
      </c>
      <c r="G111" s="3509" t="s">
        <v>3511</v>
      </c>
      <c r="H111" s="3555" t="s">
        <v>3647</v>
      </c>
      <c r="I111" s="3556" t="s">
        <v>3648</v>
      </c>
      <c r="J111" s="3511">
        <v>202</v>
      </c>
      <c r="K111" s="3509" t="s">
        <v>3649</v>
      </c>
      <c r="L111" s="3511">
        <v>49</v>
      </c>
      <c r="M111" s="3510" t="s">
        <v>3650</v>
      </c>
      <c r="N111" s="3509" t="s">
        <v>3635</v>
      </c>
      <c r="O111" s="3509"/>
      <c r="P111" s="3509" t="s">
        <v>3517</v>
      </c>
      <c r="Q111" s="3511">
        <v>1860000</v>
      </c>
      <c r="R111" s="3511">
        <v>37959</v>
      </c>
      <c r="S111" s="3513">
        <v>303.93</v>
      </c>
      <c r="T111" s="3514">
        <v>3039300</v>
      </c>
      <c r="U111" s="3511">
        <v>62027</v>
      </c>
      <c r="V111" s="3515">
        <v>0.2</v>
      </c>
      <c r="W111" s="3516">
        <v>243.14</v>
      </c>
      <c r="X111" s="3514">
        <v>2431400</v>
      </c>
      <c r="Y111" s="3511">
        <v>2013</v>
      </c>
      <c r="Z111" s="3511">
        <v>7</v>
      </c>
      <c r="AA111" s="3511">
        <v>16</v>
      </c>
      <c r="AB111" s="3511">
        <v>1500</v>
      </c>
      <c r="AC111" s="3509" t="s">
        <v>3574</v>
      </c>
      <c r="AD111" s="3509"/>
      <c r="AE111" s="3509" t="s">
        <v>3603</v>
      </c>
      <c r="AF111" s="3509" t="s">
        <v>3569</v>
      </c>
      <c r="AG111" s="3509" t="s">
        <v>3520</v>
      </c>
      <c r="AH111" s="3509"/>
      <c r="AI111" s="3509" t="s">
        <v>3651</v>
      </c>
      <c r="AJ111" s="3509"/>
      <c r="AK111" s="3561" t="s">
        <v>3652</v>
      </c>
      <c r="AL111" s="3509">
        <v>14</v>
      </c>
      <c r="AM111" s="3509"/>
      <c r="AN111" s="3509"/>
      <c r="AO111" s="3509"/>
      <c r="AP111" s="3509" t="s">
        <v>3653</v>
      </c>
      <c r="AQ111" s="3509" t="s">
        <v>3654</v>
      </c>
      <c r="AR111" s="3509"/>
      <c r="AS111" s="3509"/>
      <c r="AT111" s="3509"/>
      <c r="AU111" s="3509"/>
      <c r="AV111" s="3509"/>
      <c r="AW111" s="3509" t="s">
        <v>3545</v>
      </c>
      <c r="AX111" s="3510" t="s">
        <v>3526</v>
      </c>
      <c r="AY111" s="3562">
        <v>774964</v>
      </c>
      <c r="AZ111" s="3562" t="s">
        <v>3655</v>
      </c>
      <c r="BA111" s="3509"/>
      <c r="BB111" s="3510"/>
      <c r="BC111" s="3509"/>
      <c r="BD111" s="3563"/>
      <c r="BE111" s="3510"/>
      <c r="BF111" s="3564"/>
      <c r="BG111" s="3518">
        <v>41455</v>
      </c>
      <c r="BH111" s="3509"/>
      <c r="BI111" s="3509" t="s">
        <v>3656</v>
      </c>
      <c r="BJ111" s="3553"/>
      <c r="BK111" s="3518"/>
      <c r="BL111" s="3509" t="s">
        <v>3519</v>
      </c>
      <c r="BM111" s="3509" t="s">
        <v>3391</v>
      </c>
      <c r="BN111" s="3509" t="s">
        <v>3530</v>
      </c>
      <c r="BO111" s="3509" t="s">
        <v>3531</v>
      </c>
      <c r="BP111" s="3509"/>
      <c r="BQ111" s="3519" t="e">
        <v>#VALUE!</v>
      </c>
      <c r="BR111" s="3519" t="e">
        <v>#DIV/0!</v>
      </c>
      <c r="BS111" s="3502" t="s">
        <v>3657</v>
      </c>
      <c r="BT111" s="3502" t="s">
        <v>3574</v>
      </c>
      <c r="BU111" s="3520"/>
    </row>
    <row r="112" spans="1:75" s="3520" customFormat="1" ht="12" customHeight="1">
      <c r="A112" s="3509" t="s">
        <v>3658</v>
      </c>
      <c r="B112" s="3509" t="s">
        <v>3659</v>
      </c>
      <c r="C112" s="3510" t="s">
        <v>3660</v>
      </c>
      <c r="D112" s="3510" t="s">
        <v>3661</v>
      </c>
      <c r="E112" s="3509" t="s">
        <v>2690</v>
      </c>
      <c r="F112" s="3538" t="s">
        <v>3662</v>
      </c>
      <c r="G112" s="3509"/>
      <c r="H112" s="3509" t="s">
        <v>3663</v>
      </c>
      <c r="I112" s="3509"/>
      <c r="J112" s="3510" t="s">
        <v>3664</v>
      </c>
      <c r="K112" s="3509" t="s">
        <v>3665</v>
      </c>
      <c r="L112" s="3511">
        <v>69.8</v>
      </c>
      <c r="M112" s="3510" t="s">
        <v>394</v>
      </c>
      <c r="N112" s="3509" t="s">
        <v>3666</v>
      </c>
      <c r="O112" s="3509"/>
      <c r="P112" s="3509" t="s">
        <v>3559</v>
      </c>
      <c r="Q112" s="3512">
        <v>2800000</v>
      </c>
      <c r="R112" s="3511">
        <v>40115</v>
      </c>
      <c r="S112" s="3513">
        <v>406.73</v>
      </c>
      <c r="T112" s="3514">
        <v>4067300</v>
      </c>
      <c r="U112" s="3511">
        <v>58271</v>
      </c>
      <c r="V112" s="3515">
        <v>0.2</v>
      </c>
      <c r="W112" s="3516">
        <v>325.38</v>
      </c>
      <c r="X112" s="3514">
        <v>3253800</v>
      </c>
      <c r="Y112" s="3540">
        <v>2013</v>
      </c>
      <c r="Z112" s="3540">
        <v>3</v>
      </c>
      <c r="AA112" s="3540">
        <v>21</v>
      </c>
      <c r="AB112" s="3511">
        <v>1500</v>
      </c>
      <c r="AC112" s="3509" t="s">
        <v>3574</v>
      </c>
      <c r="AD112" s="3539"/>
      <c r="AE112" s="3519" t="s">
        <v>3586</v>
      </c>
      <c r="AF112" s="3509" t="s">
        <v>3637</v>
      </c>
      <c r="AG112" s="3509" t="s">
        <v>3561</v>
      </c>
      <c r="AH112" s="3539"/>
      <c r="AI112" s="3509" t="s">
        <v>3542</v>
      </c>
      <c r="AJ112" s="3544"/>
      <c r="AK112" s="3565" t="s">
        <v>3667</v>
      </c>
      <c r="AL112" s="3519">
        <v>20</v>
      </c>
      <c r="AM112" s="3509"/>
      <c r="AN112" s="3519"/>
      <c r="AO112" s="3519"/>
      <c r="AP112" s="3519" t="s">
        <v>3653</v>
      </c>
      <c r="AQ112" s="3509" t="s">
        <v>3668</v>
      </c>
      <c r="AR112" s="3519"/>
      <c r="AS112" s="3519"/>
      <c r="AT112" s="3519"/>
      <c r="AU112" s="3519"/>
      <c r="AV112" s="3519" t="s">
        <v>3589</v>
      </c>
      <c r="AW112" s="3519" t="s">
        <v>3669</v>
      </c>
      <c r="AX112" s="3519" t="s">
        <v>409</v>
      </c>
      <c r="AY112" s="3546" t="s">
        <v>3670</v>
      </c>
      <c r="AZ112" s="3509" t="s">
        <v>3671</v>
      </c>
      <c r="BA112" s="3519"/>
      <c r="BB112" s="3546"/>
      <c r="BC112" s="3519"/>
      <c r="BD112" s="3566"/>
      <c r="BE112" s="3519"/>
      <c r="BF112" s="3550"/>
      <c r="BG112" s="3554">
        <v>41344</v>
      </c>
      <c r="BH112" s="3552"/>
      <c r="BI112" s="3519" t="s">
        <v>3672</v>
      </c>
      <c r="BJ112" s="3554"/>
      <c r="BK112" s="3554"/>
      <c r="BL112" s="3509" t="s">
        <v>3637</v>
      </c>
      <c r="BM112" s="3519"/>
      <c r="BN112" s="3519"/>
      <c r="BO112" s="3519"/>
      <c r="BP112" s="3519"/>
      <c r="BQ112" s="3519" t="e">
        <v>#DIV/0!</v>
      </c>
      <c r="BR112" s="3519" t="e">
        <v>#DIV/0!</v>
      </c>
      <c r="BS112" s="3502" t="s">
        <v>3657</v>
      </c>
      <c r="BT112" s="3502" t="s">
        <v>3574</v>
      </c>
    </row>
    <row r="113" spans="1:73" s="3521" customFormat="1" ht="12" customHeight="1">
      <c r="A113" s="3509" t="s">
        <v>3673</v>
      </c>
      <c r="B113" s="3509" t="s">
        <v>3674</v>
      </c>
      <c r="C113" s="3567" t="s">
        <v>3675</v>
      </c>
      <c r="D113" s="3567" t="s">
        <v>3676</v>
      </c>
      <c r="E113" s="3509" t="s">
        <v>3535</v>
      </c>
      <c r="F113" s="3509" t="s">
        <v>3677</v>
      </c>
      <c r="G113" s="3509"/>
      <c r="H113" s="3509" t="s">
        <v>3678</v>
      </c>
      <c r="I113" s="3509"/>
      <c r="J113" s="3510" t="s">
        <v>3679</v>
      </c>
      <c r="K113" s="3509" t="s">
        <v>3680</v>
      </c>
      <c r="L113" s="3511">
        <v>44.5</v>
      </c>
      <c r="M113" s="3509">
        <v>3</v>
      </c>
      <c r="N113" s="3509" t="s">
        <v>3681</v>
      </c>
      <c r="O113" s="3509"/>
      <c r="P113" s="3509" t="s">
        <v>3559</v>
      </c>
      <c r="Q113" s="3512">
        <v>1200000</v>
      </c>
      <c r="R113" s="3511">
        <v>26966</v>
      </c>
      <c r="S113" s="3513">
        <v>268.45999999999998</v>
      </c>
      <c r="T113" s="3514">
        <v>2684600</v>
      </c>
      <c r="U113" s="3511">
        <v>60329</v>
      </c>
      <c r="V113" s="3515">
        <v>0.2</v>
      </c>
      <c r="W113" s="3516">
        <v>214.76</v>
      </c>
      <c r="X113" s="3514">
        <v>2147600</v>
      </c>
      <c r="Y113" s="3540">
        <v>2013</v>
      </c>
      <c r="Z113" s="3540">
        <v>3</v>
      </c>
      <c r="AA113" s="3511">
        <v>22</v>
      </c>
      <c r="AB113" s="3511">
        <v>1500</v>
      </c>
      <c r="AC113" s="3509" t="s">
        <v>3585</v>
      </c>
      <c r="AD113" s="3567"/>
      <c r="AE113" s="3509" t="s">
        <v>3682</v>
      </c>
      <c r="AF113" s="3509" t="s">
        <v>3637</v>
      </c>
      <c r="AG113" s="3509" t="s">
        <v>3520</v>
      </c>
      <c r="AH113" s="3509">
        <v>73033</v>
      </c>
      <c r="AI113" s="3509" t="s">
        <v>3542</v>
      </c>
      <c r="AJ113" s="3553"/>
      <c r="AK113" s="3517" t="s">
        <v>3683</v>
      </c>
      <c r="AL113" s="3509">
        <v>35</v>
      </c>
      <c r="AM113" s="3519"/>
      <c r="AN113" s="3542"/>
      <c r="AO113" s="3509"/>
      <c r="AP113" s="3509" t="s">
        <v>3684</v>
      </c>
      <c r="AQ113" s="3509" t="s">
        <v>3654</v>
      </c>
      <c r="AR113" s="3509">
        <v>2013</v>
      </c>
      <c r="AS113" s="3509">
        <v>3</v>
      </c>
      <c r="AT113" s="3509">
        <v>22</v>
      </c>
      <c r="AU113" s="3509"/>
      <c r="AV113" s="3509"/>
      <c r="AW113" s="3509" t="s">
        <v>3564</v>
      </c>
      <c r="AX113" s="3509" t="s">
        <v>3565</v>
      </c>
      <c r="AY113" s="3510" t="s">
        <v>3685</v>
      </c>
      <c r="AZ113" s="3509" t="s">
        <v>3686</v>
      </c>
      <c r="BA113" s="3509"/>
      <c r="BB113" s="3510" t="s">
        <v>3589</v>
      </c>
      <c r="BC113" s="3509" t="s">
        <v>3589</v>
      </c>
      <c r="BD113" s="3563"/>
      <c r="BE113" s="3509"/>
      <c r="BF113" s="3564"/>
      <c r="BG113" s="3553">
        <v>41349</v>
      </c>
      <c r="BH113" s="3509"/>
      <c r="BI113" s="3519" t="s">
        <v>3687</v>
      </c>
      <c r="BJ113" s="3554"/>
      <c r="BK113" s="3553"/>
      <c r="BL113" s="3519" t="s">
        <v>3491</v>
      </c>
      <c r="BM113" s="3519"/>
      <c r="BN113" s="3519"/>
      <c r="BO113" s="3509"/>
      <c r="BP113" s="3509"/>
      <c r="BQ113" s="3519" t="e">
        <v>#DIV/0!</v>
      </c>
      <c r="BR113" s="3519" t="e">
        <v>#DIV/0!</v>
      </c>
      <c r="BS113" s="3502" t="s">
        <v>3687</v>
      </c>
      <c r="BT113" s="3502" t="s">
        <v>3574</v>
      </c>
      <c r="BU113" s="3520"/>
    </row>
    <row r="114" spans="1:73" s="3504" customFormat="1" ht="12" customHeight="1">
      <c r="A114" s="3490" t="s">
        <v>3688</v>
      </c>
      <c r="B114" s="3490" t="s">
        <v>3689</v>
      </c>
      <c r="C114" s="3491" t="s">
        <v>3690</v>
      </c>
      <c r="D114" s="3491" t="s">
        <v>3691</v>
      </c>
      <c r="E114" s="3524" t="s">
        <v>2690</v>
      </c>
      <c r="F114" s="3524" t="s">
        <v>3677</v>
      </c>
      <c r="G114" s="3490"/>
      <c r="H114" s="3528" t="s">
        <v>3692</v>
      </c>
      <c r="I114" s="3491"/>
      <c r="J114" s="3491" t="s">
        <v>3693</v>
      </c>
      <c r="K114" s="3490" t="s">
        <v>3694</v>
      </c>
      <c r="L114" s="3492">
        <v>68</v>
      </c>
      <c r="M114" s="3491" t="s">
        <v>3583</v>
      </c>
      <c r="N114" s="3490" t="s">
        <v>3635</v>
      </c>
      <c r="O114" s="3490"/>
      <c r="P114" s="3490" t="s">
        <v>3695</v>
      </c>
      <c r="Q114" s="3512">
        <v>1500000</v>
      </c>
      <c r="R114" s="3492">
        <v>22059</v>
      </c>
      <c r="S114" s="3495">
        <v>341.68</v>
      </c>
      <c r="T114" s="3496">
        <v>3416800</v>
      </c>
      <c r="U114" s="3492">
        <v>50248</v>
      </c>
      <c r="V114" s="3497">
        <v>0.2</v>
      </c>
      <c r="W114" s="3498">
        <v>273.33999999999997</v>
      </c>
      <c r="X114" s="3496">
        <v>2733400</v>
      </c>
      <c r="Y114" s="3526">
        <v>2013</v>
      </c>
      <c r="Z114" s="3526">
        <v>1</v>
      </c>
      <c r="AA114" s="3526">
        <v>30</v>
      </c>
      <c r="AB114" s="3492">
        <v>1500</v>
      </c>
      <c r="AC114" s="3490" t="s">
        <v>3541</v>
      </c>
      <c r="AD114" s="3527"/>
      <c r="AE114" s="3493" t="s">
        <v>3620</v>
      </c>
      <c r="AF114" s="3490" t="s">
        <v>3519</v>
      </c>
      <c r="AG114" s="3568" t="s">
        <v>3520</v>
      </c>
      <c r="AH114" s="3528"/>
      <c r="AI114" s="3493" t="s">
        <v>3493</v>
      </c>
      <c r="AJ114" s="3529"/>
      <c r="AK114" s="3569" t="s">
        <v>3696</v>
      </c>
      <c r="AL114" s="3490">
        <v>33</v>
      </c>
      <c r="AM114" s="3474"/>
      <c r="AN114" s="3474"/>
      <c r="AO114" s="3490"/>
      <c r="AP114" s="3490" t="s">
        <v>3639</v>
      </c>
      <c r="AQ114" s="3474" t="s">
        <v>3524</v>
      </c>
      <c r="AR114" s="3474"/>
      <c r="AS114" s="3474"/>
      <c r="AT114" s="3474"/>
      <c r="AU114" s="3474"/>
      <c r="AV114" s="3474"/>
      <c r="AW114" s="3474" t="s">
        <v>3564</v>
      </c>
      <c r="AX114" s="3474" t="s">
        <v>3623</v>
      </c>
      <c r="AY114" s="3532" t="s">
        <v>3697</v>
      </c>
      <c r="AZ114" s="3490" t="s">
        <v>3698</v>
      </c>
      <c r="BA114" s="3531"/>
      <c r="BB114" s="3570"/>
      <c r="BC114" s="3531"/>
      <c r="BD114" s="3571"/>
      <c r="BE114" s="3474"/>
      <c r="BF114" s="3534"/>
      <c r="BG114" s="3536">
        <v>41285</v>
      </c>
      <c r="BH114" s="3490"/>
      <c r="BI114" s="3572" t="s">
        <v>3642</v>
      </c>
      <c r="BJ114" s="3523">
        <v>41289</v>
      </c>
      <c r="BK114" s="3537"/>
      <c r="BL114" s="3490" t="s">
        <v>3593</v>
      </c>
      <c r="BM114" s="3474" t="s">
        <v>3548</v>
      </c>
      <c r="BN114" s="3474" t="s">
        <v>3699</v>
      </c>
      <c r="BO114" s="3474" t="s">
        <v>3700</v>
      </c>
      <c r="BP114" s="3474"/>
      <c r="BQ114" s="3474" t="e">
        <v>#DIV/0!</v>
      </c>
      <c r="BR114" s="3474" t="e">
        <v>#DIV/0!</v>
      </c>
      <c r="BS114" s="3502" t="s">
        <v>3609</v>
      </c>
      <c r="BT114" s="3502" t="s">
        <v>3506</v>
      </c>
      <c r="BU114" s="3503"/>
    </row>
    <row r="115" spans="1:73" s="3504" customFormat="1" ht="12" customHeight="1">
      <c r="A115" s="3490" t="s">
        <v>3701</v>
      </c>
      <c r="B115" s="3490" t="s">
        <v>3702</v>
      </c>
      <c r="C115" s="3491" t="s">
        <v>3703</v>
      </c>
      <c r="D115" s="3491">
        <v>13426216019</v>
      </c>
      <c r="E115" s="3524" t="s">
        <v>3579</v>
      </c>
      <c r="F115" s="3524" t="s">
        <v>3704</v>
      </c>
      <c r="G115" s="3490"/>
      <c r="H115" s="3490"/>
      <c r="I115" s="3491" t="s">
        <v>3705</v>
      </c>
      <c r="J115" s="3491" t="s">
        <v>3706</v>
      </c>
      <c r="K115" s="3490" t="s">
        <v>3707</v>
      </c>
      <c r="L115" s="3573">
        <v>64.400000000000006</v>
      </c>
      <c r="M115" s="3491">
        <v>2</v>
      </c>
      <c r="N115" s="3490" t="s">
        <v>3584</v>
      </c>
      <c r="O115" s="3490"/>
      <c r="P115" s="3490" t="s">
        <v>3559</v>
      </c>
      <c r="Q115" s="3494">
        <v>1400000</v>
      </c>
      <c r="R115" s="3492">
        <v>21739</v>
      </c>
      <c r="S115" s="3495">
        <v>296.39</v>
      </c>
      <c r="T115" s="3496">
        <v>2963900</v>
      </c>
      <c r="U115" s="3492">
        <v>46024</v>
      </c>
      <c r="V115" s="3497">
        <v>0.2</v>
      </c>
      <c r="W115" s="3498">
        <v>237.11</v>
      </c>
      <c r="X115" s="3496">
        <v>2371100</v>
      </c>
      <c r="Y115" s="3492">
        <v>2013</v>
      </c>
      <c r="Z115" s="3526">
        <v>1</v>
      </c>
      <c r="AA115" s="3526">
        <v>21</v>
      </c>
      <c r="AB115" s="3492">
        <v>1500</v>
      </c>
      <c r="AC115" s="3490" t="s">
        <v>3506</v>
      </c>
      <c r="AD115" s="3527"/>
      <c r="AE115" s="3490" t="s">
        <v>3586</v>
      </c>
      <c r="AF115" s="3490" t="s">
        <v>3569</v>
      </c>
      <c r="AG115" s="3493" t="s">
        <v>3520</v>
      </c>
      <c r="AH115" s="3528"/>
      <c r="AI115" s="3493" t="s">
        <v>3708</v>
      </c>
      <c r="AJ115" s="3529"/>
      <c r="AK115" s="3569" t="s">
        <v>3709</v>
      </c>
      <c r="AL115" s="3490">
        <v>32</v>
      </c>
      <c r="AM115" s="3490"/>
      <c r="AN115" s="3474"/>
      <c r="AO115" s="3490"/>
      <c r="AP115" s="3490" t="s">
        <v>3653</v>
      </c>
      <c r="AQ115" s="3490" t="s">
        <v>3524</v>
      </c>
      <c r="AR115" s="3490"/>
      <c r="AS115" s="3490"/>
      <c r="AT115" s="3490"/>
      <c r="AU115" s="3474"/>
      <c r="AV115" s="3474"/>
      <c r="AW115" s="3474" t="s">
        <v>3564</v>
      </c>
      <c r="AX115" s="3474" t="s">
        <v>409</v>
      </c>
      <c r="AY115" s="3532" t="s">
        <v>3710</v>
      </c>
      <c r="AZ115" s="3569" t="s">
        <v>3711</v>
      </c>
      <c r="BA115" s="3531"/>
      <c r="BB115" s="3532"/>
      <c r="BC115" s="3474"/>
      <c r="BD115" s="3533"/>
      <c r="BE115" s="3474"/>
      <c r="BF115" s="3534"/>
      <c r="BG115" s="3535">
        <v>41256</v>
      </c>
      <c r="BH115" s="3490"/>
      <c r="BI115" s="3474" t="s">
        <v>3712</v>
      </c>
      <c r="BJ115" s="3536">
        <v>41279</v>
      </c>
      <c r="BK115" s="3537"/>
      <c r="BL115" s="3474" t="s">
        <v>3569</v>
      </c>
      <c r="BM115" s="3490" t="s">
        <v>3713</v>
      </c>
      <c r="BN115" s="3490"/>
      <c r="BO115" s="3490"/>
      <c r="BP115" s="3474"/>
      <c r="BQ115" s="3474" t="e">
        <v>#DIV/0!</v>
      </c>
      <c r="BR115" s="3474" t="e">
        <v>#DIV/0!</v>
      </c>
      <c r="BS115" s="3502" t="s">
        <v>3657</v>
      </c>
      <c r="BT115" s="3502" t="s">
        <v>3506</v>
      </c>
      <c r="BU115" s="3503"/>
    </row>
    <row r="116" spans="1:73" s="3577" customFormat="1" ht="12" customHeight="1">
      <c r="A116" s="3489" t="s">
        <v>3714</v>
      </c>
      <c r="B116" s="3489" t="s">
        <v>3715</v>
      </c>
      <c r="C116" s="3522" t="s">
        <v>3716</v>
      </c>
      <c r="D116" s="3522" t="s">
        <v>3717</v>
      </c>
      <c r="E116" s="3489" t="s">
        <v>3718</v>
      </c>
      <c r="F116" s="3489" t="s">
        <v>3719</v>
      </c>
      <c r="G116" s="3489"/>
      <c r="H116" s="3489" t="s">
        <v>3720</v>
      </c>
      <c r="I116" s="3522" t="s">
        <v>3721</v>
      </c>
      <c r="J116" s="3522" t="s">
        <v>3722</v>
      </c>
      <c r="K116" s="3489" t="s">
        <v>3723</v>
      </c>
      <c r="L116" s="3492">
        <v>58.4</v>
      </c>
      <c r="M116" s="3491" t="s">
        <v>3724</v>
      </c>
      <c r="N116" s="3489" t="s">
        <v>3601</v>
      </c>
      <c r="O116" s="3489"/>
      <c r="P116" s="3489" t="s">
        <v>3695</v>
      </c>
      <c r="Q116" s="3494">
        <v>1330000</v>
      </c>
      <c r="R116" s="3492">
        <v>22774</v>
      </c>
      <c r="S116" s="3495">
        <v>205.66</v>
      </c>
      <c r="T116" s="3496">
        <v>2056600</v>
      </c>
      <c r="U116" s="3492">
        <v>35217</v>
      </c>
      <c r="V116" s="3497">
        <v>0.2</v>
      </c>
      <c r="W116" s="3498">
        <v>164.52</v>
      </c>
      <c r="X116" s="3496">
        <v>1645200</v>
      </c>
      <c r="Y116" s="3492">
        <v>2013</v>
      </c>
      <c r="Z116" s="3492">
        <v>2</v>
      </c>
      <c r="AA116" s="3492">
        <v>17</v>
      </c>
      <c r="AB116" s="3492">
        <v>1500</v>
      </c>
      <c r="AC116" s="3489" t="s">
        <v>3725</v>
      </c>
      <c r="AD116" s="3489"/>
      <c r="AE116" s="3489" t="s">
        <v>3620</v>
      </c>
      <c r="AF116" s="3489" t="s">
        <v>3491</v>
      </c>
      <c r="AG116" s="3489" t="s">
        <v>3520</v>
      </c>
      <c r="AH116" s="3489"/>
      <c r="AI116" s="3489" t="s">
        <v>3493</v>
      </c>
      <c r="AJ116" s="3574"/>
      <c r="AK116" s="3489" t="s">
        <v>3726</v>
      </c>
      <c r="AL116" s="3489">
        <v>23</v>
      </c>
      <c r="AM116" s="3489"/>
      <c r="AN116" s="3489"/>
      <c r="AO116" s="3489"/>
      <c r="AP116" s="3489" t="s">
        <v>3727</v>
      </c>
      <c r="AQ116" s="3489" t="s">
        <v>3605</v>
      </c>
      <c r="AR116" s="3489"/>
      <c r="AS116" s="3489"/>
      <c r="AT116" s="3489"/>
      <c r="AU116" s="3489"/>
      <c r="AV116" s="3489"/>
      <c r="AW116" s="3489" t="s">
        <v>3497</v>
      </c>
      <c r="AX116" s="3489" t="s">
        <v>3728</v>
      </c>
      <c r="AY116" s="3522" t="s">
        <v>3729</v>
      </c>
      <c r="AZ116" s="3489" t="s">
        <v>3730</v>
      </c>
      <c r="BA116" s="3489"/>
      <c r="BB116" s="3522"/>
      <c r="BC116" s="3489"/>
      <c r="BD116" s="3575"/>
      <c r="BE116" s="3489"/>
      <c r="BF116" s="3576"/>
      <c r="BG116" s="3574">
        <v>41284</v>
      </c>
      <c r="BH116" s="3489"/>
      <c r="BI116" s="3489" t="s">
        <v>3731</v>
      </c>
      <c r="BJ116" s="3574">
        <v>41289</v>
      </c>
      <c r="BK116" s="3574"/>
      <c r="BL116" s="3489" t="s">
        <v>3569</v>
      </c>
      <c r="BM116" s="3489" t="s">
        <v>3570</v>
      </c>
      <c r="BN116" s="3489" t="s">
        <v>3699</v>
      </c>
      <c r="BO116" s="3489" t="s">
        <v>3531</v>
      </c>
      <c r="BP116" s="3489"/>
      <c r="BQ116" s="3531" t="e">
        <v>#DIV/0!</v>
      </c>
      <c r="BR116" s="3531" t="e">
        <v>#DIV/0!</v>
      </c>
      <c r="BS116" s="3502" t="s">
        <v>3732</v>
      </c>
      <c r="BT116" s="3502" t="s">
        <v>3506</v>
      </c>
      <c r="BU116" s="3508"/>
    </row>
    <row r="117" spans="1:73" s="3578" customFormat="1" ht="12" customHeight="1">
      <c r="A117" s="3490" t="s">
        <v>3733</v>
      </c>
      <c r="B117" s="3490" t="s">
        <v>3734</v>
      </c>
      <c r="C117" s="3491" t="s">
        <v>3735</v>
      </c>
      <c r="D117" s="3491" t="s">
        <v>3736</v>
      </c>
      <c r="E117" s="3490" t="s">
        <v>3483</v>
      </c>
      <c r="F117" s="3490" t="s">
        <v>3737</v>
      </c>
      <c r="G117" s="3490"/>
      <c r="H117" s="3490" t="s">
        <v>3738</v>
      </c>
      <c r="I117" s="3490"/>
      <c r="J117" s="3491" t="s">
        <v>3739</v>
      </c>
      <c r="K117" s="3490" t="s">
        <v>3740</v>
      </c>
      <c r="L117" s="3492">
        <v>62.2</v>
      </c>
      <c r="M117" s="3490">
        <v>5</v>
      </c>
      <c r="N117" s="3490" t="s">
        <v>3741</v>
      </c>
      <c r="O117" s="3490"/>
      <c r="P117" s="3490" t="s">
        <v>3559</v>
      </c>
      <c r="Q117" s="3494">
        <v>2000000</v>
      </c>
      <c r="R117" s="3492">
        <v>32154</v>
      </c>
      <c r="S117" s="3495">
        <v>301.83</v>
      </c>
      <c r="T117" s="3496">
        <v>3018300</v>
      </c>
      <c r="U117" s="3492">
        <v>48527</v>
      </c>
      <c r="V117" s="3497">
        <v>0.2</v>
      </c>
      <c r="W117" s="3498">
        <v>241.46</v>
      </c>
      <c r="X117" s="3496">
        <v>2414600</v>
      </c>
      <c r="Y117" s="3526">
        <v>2013</v>
      </c>
      <c r="Z117" s="3526">
        <v>1</v>
      </c>
      <c r="AA117" s="3526">
        <v>10</v>
      </c>
      <c r="AB117" s="3492">
        <v>1500</v>
      </c>
      <c r="AC117" s="3490" t="s">
        <v>3574</v>
      </c>
      <c r="AD117" s="3528"/>
      <c r="AE117" s="3474" t="s">
        <v>3603</v>
      </c>
      <c r="AF117" s="3490" t="s">
        <v>3519</v>
      </c>
      <c r="AG117" s="3490" t="s">
        <v>3520</v>
      </c>
      <c r="AH117" s="3528">
        <v>49839</v>
      </c>
      <c r="AI117" s="3490" t="s">
        <v>3493</v>
      </c>
      <c r="AJ117" s="3529"/>
      <c r="AK117" s="3506" t="s">
        <v>3696</v>
      </c>
      <c r="AL117" s="3474">
        <v>23</v>
      </c>
      <c r="AM117" s="3490"/>
      <c r="AN117" s="3474"/>
      <c r="AO117" s="3474"/>
      <c r="AP117" s="3474" t="s">
        <v>3622</v>
      </c>
      <c r="AQ117" s="3490" t="s">
        <v>3742</v>
      </c>
      <c r="AR117" s="3474"/>
      <c r="AS117" s="3474"/>
      <c r="AT117" s="3474"/>
      <c r="AU117" s="3474"/>
      <c r="AV117" s="3474"/>
      <c r="AW117" s="3474" t="s">
        <v>3525</v>
      </c>
      <c r="AX117" s="3474" t="s">
        <v>3728</v>
      </c>
      <c r="AY117" s="3532" t="s">
        <v>3743</v>
      </c>
      <c r="AZ117" s="3474" t="s">
        <v>3744</v>
      </c>
      <c r="BA117" s="3474"/>
      <c r="BB117" s="3532"/>
      <c r="BC117" s="3474"/>
      <c r="BD117" s="3533"/>
      <c r="BE117" s="3474"/>
      <c r="BF117" s="3534"/>
      <c r="BG117" s="3537">
        <v>41270</v>
      </c>
      <c r="BH117" s="3474"/>
      <c r="BI117" s="3474" t="s">
        <v>3622</v>
      </c>
      <c r="BJ117" s="3537"/>
      <c r="BK117" s="3537"/>
      <c r="BL117" s="3490" t="s">
        <v>3569</v>
      </c>
      <c r="BM117" s="3474" t="s">
        <v>3548</v>
      </c>
      <c r="BN117" s="3474" t="s">
        <v>3745</v>
      </c>
      <c r="BO117" s="3474" t="s">
        <v>3746</v>
      </c>
      <c r="BP117" s="3474"/>
      <c r="BQ117" s="3474" t="e">
        <v>#DIV/0!</v>
      </c>
      <c r="BR117" s="3474" t="e">
        <v>#DIV/0!</v>
      </c>
      <c r="BS117" s="3502" t="s">
        <v>3626</v>
      </c>
      <c r="BT117" s="3502" t="s">
        <v>3574</v>
      </c>
      <c r="BU117" s="3503"/>
    </row>
    <row r="118" spans="1:73" s="3504" customFormat="1" ht="12" customHeight="1">
      <c r="A118" s="3490" t="s">
        <v>3747</v>
      </c>
      <c r="B118" s="3490" t="s">
        <v>3748</v>
      </c>
      <c r="C118" s="3491" t="s">
        <v>3749</v>
      </c>
      <c r="D118" s="3489">
        <v>13693546346</v>
      </c>
      <c r="E118" s="3490" t="s">
        <v>3535</v>
      </c>
      <c r="F118" s="3490" t="s">
        <v>3750</v>
      </c>
      <c r="G118" s="3490"/>
      <c r="H118" s="3490" t="s">
        <v>3751</v>
      </c>
      <c r="I118" s="3490" t="s">
        <v>3752</v>
      </c>
      <c r="J118" s="3490">
        <v>501</v>
      </c>
      <c r="K118" s="3490" t="s">
        <v>3753</v>
      </c>
      <c r="L118" s="3492">
        <v>57.9</v>
      </c>
      <c r="M118" s="3490">
        <v>5</v>
      </c>
      <c r="N118" s="3490" t="s">
        <v>3601</v>
      </c>
      <c r="O118" s="3490"/>
      <c r="P118" s="3490" t="s">
        <v>3488</v>
      </c>
      <c r="Q118" s="3494">
        <v>1300000</v>
      </c>
      <c r="R118" s="3579">
        <v>22453</v>
      </c>
      <c r="S118" s="3495">
        <v>284.89999999999998</v>
      </c>
      <c r="T118" s="3496">
        <v>2849000</v>
      </c>
      <c r="U118" s="3492">
        <v>49207</v>
      </c>
      <c r="V118" s="3497">
        <v>0.2</v>
      </c>
      <c r="W118" s="3498">
        <v>227.92</v>
      </c>
      <c r="X118" s="3496">
        <v>2279200</v>
      </c>
      <c r="Y118" s="3492">
        <v>2013</v>
      </c>
      <c r="Z118" s="3492">
        <v>1</v>
      </c>
      <c r="AA118" s="3492">
        <v>12</v>
      </c>
      <c r="AB118" s="3492">
        <v>1500</v>
      </c>
      <c r="AC118" s="3490" t="s">
        <v>3574</v>
      </c>
      <c r="AD118" s="3490"/>
      <c r="AE118" s="3490" t="s">
        <v>3603</v>
      </c>
      <c r="AF118" s="3490" t="s">
        <v>3637</v>
      </c>
      <c r="AG118" s="3490" t="s">
        <v>3520</v>
      </c>
      <c r="AH118" s="3490"/>
      <c r="AI118" s="3493" t="s">
        <v>3493</v>
      </c>
      <c r="AJ118" s="3529"/>
      <c r="AK118" s="3490" t="s">
        <v>3494</v>
      </c>
      <c r="AL118" s="3490">
        <v>21</v>
      </c>
      <c r="AM118" s="3490"/>
      <c r="AN118" s="3493"/>
      <c r="AO118" s="3490"/>
      <c r="AP118" s="3490" t="s">
        <v>3754</v>
      </c>
      <c r="AQ118" s="3489" t="s">
        <v>3588</v>
      </c>
      <c r="AR118" s="3490"/>
      <c r="AS118" s="3490"/>
      <c r="AT118" s="3490"/>
      <c r="AU118" s="3490"/>
      <c r="AV118" s="3490"/>
      <c r="AW118" s="3489" t="s">
        <v>3545</v>
      </c>
      <c r="AX118" s="3474" t="s">
        <v>3526</v>
      </c>
      <c r="AY118" s="3489">
        <v>683624</v>
      </c>
      <c r="AZ118" s="3490" t="s">
        <v>3753</v>
      </c>
      <c r="BA118" s="3490"/>
      <c r="BB118" s="3490"/>
      <c r="BC118" s="3490"/>
      <c r="BD118" s="3490"/>
      <c r="BE118" s="3490"/>
      <c r="BF118" s="3490"/>
      <c r="BG118" s="3501">
        <v>41281</v>
      </c>
      <c r="BH118" s="3490"/>
      <c r="BI118" s="3490" t="s">
        <v>3755</v>
      </c>
      <c r="BJ118" s="3501"/>
      <c r="BK118" s="3501"/>
      <c r="BL118" s="3490"/>
      <c r="BM118" s="3490"/>
      <c r="BN118" s="3490"/>
      <c r="BO118" s="3490"/>
      <c r="BP118" s="3490"/>
      <c r="BQ118" s="3474" t="e">
        <v>#DIV/0!</v>
      </c>
      <c r="BR118" s="3474" t="e">
        <v>#DIV/0!</v>
      </c>
      <c r="BS118" s="3502" t="s">
        <v>3756</v>
      </c>
      <c r="BT118" s="3502" t="s">
        <v>3574</v>
      </c>
      <c r="BU118" s="3503"/>
    </row>
    <row r="119" spans="1:73" s="3577" customFormat="1" ht="12" customHeight="1">
      <c r="A119" s="3489" t="s">
        <v>3757</v>
      </c>
      <c r="B119" s="3489" t="s">
        <v>3758</v>
      </c>
      <c r="C119" s="3522" t="s">
        <v>3759</v>
      </c>
      <c r="D119" s="3522" t="s">
        <v>3760</v>
      </c>
      <c r="E119" s="3489" t="s">
        <v>2690</v>
      </c>
      <c r="F119" s="3489" t="s">
        <v>3761</v>
      </c>
      <c r="G119" s="3489"/>
      <c r="H119" s="3489"/>
      <c r="I119" s="3522"/>
      <c r="J119" s="3522" t="s">
        <v>3762</v>
      </c>
      <c r="K119" s="3489" t="s">
        <v>3758</v>
      </c>
      <c r="L119" s="3492">
        <v>64.400000000000006</v>
      </c>
      <c r="M119" s="3491" t="s">
        <v>3763</v>
      </c>
      <c r="N119" s="3489" t="s">
        <v>3635</v>
      </c>
      <c r="O119" s="3489"/>
      <c r="P119" s="3489" t="s">
        <v>3488</v>
      </c>
      <c r="Q119" s="3512">
        <v>2500000</v>
      </c>
      <c r="R119" s="3492">
        <v>38820</v>
      </c>
      <c r="S119" s="3495">
        <v>296.92</v>
      </c>
      <c r="T119" s="3496">
        <v>2969200</v>
      </c>
      <c r="U119" s="3492">
        <v>46106</v>
      </c>
      <c r="V119" s="3497">
        <v>0.2</v>
      </c>
      <c r="W119" s="3498">
        <v>237.53</v>
      </c>
      <c r="X119" s="3496">
        <v>2375300</v>
      </c>
      <c r="Y119" s="3492">
        <v>2013</v>
      </c>
      <c r="Z119" s="3492">
        <v>2</v>
      </c>
      <c r="AA119" s="3492">
        <v>22</v>
      </c>
      <c r="AB119" s="3492">
        <v>1500</v>
      </c>
      <c r="AC119" s="3489" t="s">
        <v>3541</v>
      </c>
      <c r="AD119" s="3489"/>
      <c r="AE119" s="3489" t="s">
        <v>3620</v>
      </c>
      <c r="AF119" s="3489" t="s">
        <v>3491</v>
      </c>
      <c r="AG119" s="3489" t="s">
        <v>3520</v>
      </c>
      <c r="AH119" s="3489">
        <v>52484</v>
      </c>
      <c r="AI119" s="3489" t="s">
        <v>3764</v>
      </c>
      <c r="AJ119" s="3574"/>
      <c r="AK119" s="3489" t="s">
        <v>3522</v>
      </c>
      <c r="AL119" s="3489">
        <v>33</v>
      </c>
      <c r="AM119" s="3489"/>
      <c r="AN119" s="3489"/>
      <c r="AO119" s="3489"/>
      <c r="AP119" s="3489" t="s">
        <v>3765</v>
      </c>
      <c r="AQ119" s="3489" t="s">
        <v>3524</v>
      </c>
      <c r="AR119" s="3489"/>
      <c r="AS119" s="3489"/>
      <c r="AT119" s="3489"/>
      <c r="AU119" s="3489"/>
      <c r="AV119" s="3489" t="s">
        <v>3589</v>
      </c>
      <c r="AW119" s="3489" t="s">
        <v>3497</v>
      </c>
      <c r="AX119" s="3489" t="s">
        <v>3728</v>
      </c>
      <c r="AY119" s="3522" t="s">
        <v>3766</v>
      </c>
      <c r="AZ119" s="3489" t="s">
        <v>3767</v>
      </c>
      <c r="BA119" s="3489"/>
      <c r="BB119" s="3522"/>
      <c r="BC119" s="3489"/>
      <c r="BD119" s="3575"/>
      <c r="BE119" s="3489"/>
      <c r="BF119" s="3576"/>
      <c r="BG119" s="3574">
        <v>41282</v>
      </c>
      <c r="BH119" s="3489"/>
      <c r="BI119" s="3489" t="s">
        <v>3768</v>
      </c>
      <c r="BJ119" s="3574">
        <v>41283</v>
      </c>
      <c r="BK119" s="3574"/>
      <c r="BL119" s="3489" t="s">
        <v>3491</v>
      </c>
      <c r="BM119" s="3489"/>
      <c r="BN119" s="3489"/>
      <c r="BO119" s="3489"/>
      <c r="BP119" s="3489"/>
      <c r="BQ119" s="3531" t="e">
        <v>#DIV/0!</v>
      </c>
      <c r="BR119" s="3531" t="e">
        <v>#DIV/0!</v>
      </c>
      <c r="BS119" s="3502" t="s">
        <v>3732</v>
      </c>
      <c r="BT119" s="3502" t="s">
        <v>3506</v>
      </c>
      <c r="BU119" s="3508"/>
    </row>
    <row r="120" spans="1:73" s="3521" customFormat="1" ht="12" customHeight="1">
      <c r="A120" s="3509" t="s">
        <v>3769</v>
      </c>
      <c r="B120" s="3509" t="s">
        <v>3770</v>
      </c>
      <c r="C120" s="3510" t="s">
        <v>3771</v>
      </c>
      <c r="D120" s="3510" t="s">
        <v>3772</v>
      </c>
      <c r="E120" s="3538" t="s">
        <v>3773</v>
      </c>
      <c r="F120" s="3538" t="s">
        <v>3774</v>
      </c>
      <c r="G120" s="3509"/>
      <c r="H120" s="3509" t="s">
        <v>3775</v>
      </c>
      <c r="I120" s="3538" t="s">
        <v>3776</v>
      </c>
      <c r="J120" s="3567" t="s">
        <v>3777</v>
      </c>
      <c r="K120" s="3509" t="s">
        <v>3778</v>
      </c>
      <c r="L120" s="3511">
        <v>45.3</v>
      </c>
      <c r="M120" s="3510" t="s">
        <v>3779</v>
      </c>
      <c r="N120" s="3509" t="s">
        <v>3780</v>
      </c>
      <c r="O120" s="3509"/>
      <c r="P120" s="3509" t="s">
        <v>3695</v>
      </c>
      <c r="Q120" s="3580">
        <v>1300000</v>
      </c>
      <c r="R120" s="3511">
        <v>28698</v>
      </c>
      <c r="S120" s="3513">
        <v>190.88</v>
      </c>
      <c r="T120" s="3514">
        <v>1908800</v>
      </c>
      <c r="U120" s="3511">
        <v>42139</v>
      </c>
      <c r="V120" s="3515">
        <v>0.2</v>
      </c>
      <c r="W120" s="3516">
        <v>152.69999999999999</v>
      </c>
      <c r="X120" s="3514">
        <v>1527000</v>
      </c>
      <c r="Y120" s="3511">
        <v>2013</v>
      </c>
      <c r="Z120" s="3540">
        <v>5</v>
      </c>
      <c r="AA120" s="3540">
        <v>22</v>
      </c>
      <c r="AB120" s="3511">
        <v>1500</v>
      </c>
      <c r="AC120" s="3509" t="s">
        <v>3781</v>
      </c>
      <c r="AD120" s="3541"/>
      <c r="AE120" s="3509" t="s">
        <v>3782</v>
      </c>
      <c r="AF120" s="3509" t="s">
        <v>3569</v>
      </c>
      <c r="AG120" s="3542" t="s">
        <v>3520</v>
      </c>
      <c r="AH120" s="3539">
        <v>45033</v>
      </c>
      <c r="AI120" s="3542" t="s">
        <v>3521</v>
      </c>
      <c r="AJ120" s="3544"/>
      <c r="AK120" s="3509" t="s">
        <v>3783</v>
      </c>
      <c r="AL120" s="3509">
        <v>22</v>
      </c>
      <c r="AM120" s="3518">
        <v>41416</v>
      </c>
      <c r="AN120" s="3509"/>
      <c r="AO120" s="3509"/>
      <c r="AP120" s="3509" t="s">
        <v>3547</v>
      </c>
      <c r="AQ120" s="3509" t="s">
        <v>3784</v>
      </c>
      <c r="AR120" s="3509"/>
      <c r="AS120" s="3509"/>
      <c r="AT120" s="3509"/>
      <c r="AU120" s="3519"/>
      <c r="AV120" s="3519" t="s">
        <v>3589</v>
      </c>
      <c r="AW120" s="3519" t="s">
        <v>3497</v>
      </c>
      <c r="AX120" s="3519" t="s">
        <v>3623</v>
      </c>
      <c r="AY120" s="3581" t="s">
        <v>3785</v>
      </c>
      <c r="AZ120" s="3509" t="s">
        <v>3786</v>
      </c>
      <c r="BA120" s="3547"/>
      <c r="BB120" s="3546"/>
      <c r="BC120" s="3519"/>
      <c r="BD120" s="3566"/>
      <c r="BE120" s="3519"/>
      <c r="BF120" s="3550"/>
      <c r="BG120" s="3582">
        <v>41415</v>
      </c>
      <c r="BH120" s="3509"/>
      <c r="BI120" s="3555" t="s">
        <v>3547</v>
      </c>
      <c r="BJ120" s="3551"/>
      <c r="BK120" s="3554"/>
      <c r="BL120" s="3519" t="s">
        <v>3519</v>
      </c>
      <c r="BM120" s="3509"/>
      <c r="BN120" s="3509"/>
      <c r="BO120" s="3509"/>
      <c r="BP120" s="3519"/>
      <c r="BQ120" s="3519" t="e">
        <v>#DIV/0!</v>
      </c>
      <c r="BR120" s="3519" t="e">
        <v>#DIV/0!</v>
      </c>
      <c r="BS120" s="3502" t="s">
        <v>3551</v>
      </c>
      <c r="BT120" s="3502" t="s">
        <v>3574</v>
      </c>
    </row>
    <row r="121" spans="1:73" s="3521" customFormat="1" ht="12" customHeight="1">
      <c r="A121" s="3509" t="s">
        <v>3787</v>
      </c>
      <c r="B121" s="3509" t="s">
        <v>3788</v>
      </c>
      <c r="C121" s="3510" t="s">
        <v>3789</v>
      </c>
      <c r="D121" s="3509">
        <v>15901067858</v>
      </c>
      <c r="E121" s="3509" t="s">
        <v>3718</v>
      </c>
      <c r="F121" s="3509" t="s">
        <v>3790</v>
      </c>
      <c r="G121" s="3509"/>
      <c r="H121" s="3509" t="s">
        <v>3791</v>
      </c>
      <c r="I121" s="3509" t="s">
        <v>3792</v>
      </c>
      <c r="J121" s="3509">
        <v>723</v>
      </c>
      <c r="K121" s="3509" t="s">
        <v>3788</v>
      </c>
      <c r="L121" s="3511">
        <v>50.2</v>
      </c>
      <c r="M121" s="3509">
        <v>2</v>
      </c>
      <c r="N121" s="3509" t="s">
        <v>3780</v>
      </c>
      <c r="O121" s="3509"/>
      <c r="P121" s="3509" t="s">
        <v>3793</v>
      </c>
      <c r="Q121" s="3511">
        <v>1300000</v>
      </c>
      <c r="R121" s="3511">
        <v>25896</v>
      </c>
      <c r="S121" s="3513">
        <v>205.96</v>
      </c>
      <c r="T121" s="3514">
        <v>2059600</v>
      </c>
      <c r="U121" s="3511">
        <v>41028</v>
      </c>
      <c r="V121" s="3515">
        <v>0.2</v>
      </c>
      <c r="W121" s="3516">
        <v>164.76</v>
      </c>
      <c r="X121" s="3514">
        <v>1647600</v>
      </c>
      <c r="Y121" s="3511">
        <v>2013</v>
      </c>
      <c r="Z121" s="3511">
        <v>7</v>
      </c>
      <c r="AA121" s="3511">
        <v>11</v>
      </c>
      <c r="AB121" s="3511">
        <v>1500</v>
      </c>
      <c r="AC121" s="3509" t="s">
        <v>3489</v>
      </c>
      <c r="AD121" s="3509"/>
      <c r="AE121" s="3509" t="s">
        <v>3586</v>
      </c>
      <c r="AF121" s="3509" t="s">
        <v>3637</v>
      </c>
      <c r="AG121" s="3509" t="s">
        <v>3520</v>
      </c>
      <c r="AH121" s="3509">
        <v>47808</v>
      </c>
      <c r="AI121" s="3509" t="s">
        <v>3542</v>
      </c>
      <c r="AJ121" s="3509"/>
      <c r="AK121" s="3542" t="s">
        <v>3794</v>
      </c>
      <c r="AL121" s="3509">
        <v>23</v>
      </c>
      <c r="AM121" s="3509"/>
      <c r="AN121" s="3518"/>
      <c r="AO121" s="3509"/>
      <c r="AP121" s="3519" t="s">
        <v>3795</v>
      </c>
      <c r="AQ121" s="3509" t="s">
        <v>3524</v>
      </c>
      <c r="AR121" s="3509"/>
      <c r="AS121" s="3509"/>
      <c r="AT121" s="3509"/>
      <c r="AU121" s="3509"/>
      <c r="AV121" s="3509"/>
      <c r="AW121" s="3509" t="s">
        <v>3497</v>
      </c>
      <c r="AX121" s="3509" t="s">
        <v>3728</v>
      </c>
      <c r="AY121" s="3509">
        <v>740559</v>
      </c>
      <c r="AZ121" s="3509" t="s">
        <v>3796</v>
      </c>
      <c r="BA121" s="3509"/>
      <c r="BB121" s="3509"/>
      <c r="BC121" s="3509"/>
      <c r="BD121" s="3509"/>
      <c r="BE121" s="3509"/>
      <c r="BF121" s="3509"/>
      <c r="BG121" s="3518">
        <v>41361</v>
      </c>
      <c r="BH121" s="3509"/>
      <c r="BI121" s="3519" t="s">
        <v>3797</v>
      </c>
      <c r="BJ121" s="3518">
        <v>41367</v>
      </c>
      <c r="BK121" s="3518"/>
      <c r="BL121" s="3509" t="s">
        <v>3569</v>
      </c>
      <c r="BM121" s="3509" t="s">
        <v>3502</v>
      </c>
      <c r="BN121" s="3509" t="s">
        <v>3571</v>
      </c>
      <c r="BO121" s="3509" t="s">
        <v>3550</v>
      </c>
      <c r="BP121" s="3509"/>
      <c r="BQ121" s="3519" t="e">
        <v>#DIV/0!</v>
      </c>
      <c r="BR121" s="3519" t="e">
        <v>#DIV/0!</v>
      </c>
      <c r="BS121" s="3502" t="s">
        <v>3798</v>
      </c>
      <c r="BT121" s="3502" t="s">
        <v>3506</v>
      </c>
      <c r="BU121" s="3520"/>
    </row>
    <row r="122" spans="1:73" s="3600" customFormat="1" ht="12" customHeight="1">
      <c r="A122" s="3583" t="s">
        <v>3799</v>
      </c>
      <c r="B122" s="3584" t="s">
        <v>3800</v>
      </c>
      <c r="C122" s="3585" t="s">
        <v>3801</v>
      </c>
      <c r="D122" s="3584">
        <v>13520164919</v>
      </c>
      <c r="E122" s="3584" t="s">
        <v>3802</v>
      </c>
      <c r="F122" s="3584" t="s">
        <v>3803</v>
      </c>
      <c r="G122" s="3584" t="s">
        <v>3511</v>
      </c>
      <c r="H122" s="3583"/>
      <c r="I122" s="3583" t="s">
        <v>3804</v>
      </c>
      <c r="J122" s="3586" t="s">
        <v>3805</v>
      </c>
      <c r="K122" s="3584" t="s">
        <v>3800</v>
      </c>
      <c r="L122" s="3586">
        <v>61.2</v>
      </c>
      <c r="M122" s="3586">
        <v>3</v>
      </c>
      <c r="N122" s="3584" t="s">
        <v>3806</v>
      </c>
      <c r="O122" s="3584" t="s">
        <v>3511</v>
      </c>
      <c r="P122" s="3584" t="s">
        <v>3517</v>
      </c>
      <c r="Q122" s="3587">
        <v>2100000</v>
      </c>
      <c r="R122" s="3584">
        <v>34314</v>
      </c>
      <c r="S122" s="3588">
        <v>365.56</v>
      </c>
      <c r="T122" s="3589">
        <v>3655600</v>
      </c>
      <c r="U122" s="3584">
        <v>59733</v>
      </c>
      <c r="V122" s="3590">
        <v>0.2</v>
      </c>
      <c r="W122" s="3591">
        <v>292.44</v>
      </c>
      <c r="X122" s="3592">
        <v>2924400</v>
      </c>
      <c r="Y122" s="3584">
        <v>2013</v>
      </c>
      <c r="Z122" s="3584">
        <v>8</v>
      </c>
      <c r="AA122" s="3584">
        <v>8</v>
      </c>
      <c r="AB122" s="3584">
        <v>1500</v>
      </c>
      <c r="AC122" s="3584" t="s">
        <v>3506</v>
      </c>
      <c r="AD122" s="3584"/>
      <c r="AE122" s="3584" t="s">
        <v>3807</v>
      </c>
      <c r="AF122" s="3584" t="s">
        <v>3569</v>
      </c>
      <c r="AG122" s="3584" t="s">
        <v>3520</v>
      </c>
      <c r="AH122" s="3584">
        <v>63725</v>
      </c>
      <c r="AI122" s="3584" t="s">
        <v>3708</v>
      </c>
      <c r="AJ122" s="3584"/>
      <c r="AK122" s="3584" t="s">
        <v>3808</v>
      </c>
      <c r="AL122" s="3584">
        <v>31</v>
      </c>
      <c r="AM122" s="3584"/>
      <c r="AN122" s="3584"/>
      <c r="AO122" s="3584"/>
      <c r="AP122" s="3584" t="s">
        <v>3809</v>
      </c>
      <c r="AQ122" s="3584" t="s">
        <v>3810</v>
      </c>
      <c r="AR122" s="3584"/>
      <c r="AS122" s="3584"/>
      <c r="AT122" s="3584"/>
      <c r="AU122" s="3584"/>
      <c r="AV122" s="3584"/>
      <c r="AW122" s="3584" t="s">
        <v>3497</v>
      </c>
      <c r="AX122" s="3585" t="s">
        <v>409</v>
      </c>
      <c r="AY122" s="3587" t="s">
        <v>3811</v>
      </c>
      <c r="AZ122" s="3587" t="s">
        <v>3812</v>
      </c>
      <c r="BA122" s="3584"/>
      <c r="BB122" s="3585"/>
      <c r="BC122" s="3584"/>
      <c r="BD122" s="3593"/>
      <c r="BE122" s="3585"/>
      <c r="BF122" s="3594"/>
      <c r="BG122" s="3595">
        <v>41449</v>
      </c>
      <c r="BH122" s="3584"/>
      <c r="BI122" s="3584" t="s">
        <v>3813</v>
      </c>
      <c r="BJ122" s="3596">
        <v>41459</v>
      </c>
      <c r="BK122" s="3595"/>
      <c r="BL122" s="3584" t="s">
        <v>3491</v>
      </c>
      <c r="BM122" s="3584" t="s">
        <v>3511</v>
      </c>
      <c r="BN122" s="3584" t="s">
        <v>3530</v>
      </c>
      <c r="BO122" s="3584" t="s">
        <v>3531</v>
      </c>
      <c r="BP122" s="3584"/>
      <c r="BQ122" s="3597" t="e">
        <v>#VALUE!</v>
      </c>
      <c r="BR122" s="3597" t="e">
        <v>#VALUE!</v>
      </c>
      <c r="BS122" s="3598" t="s">
        <v>3814</v>
      </c>
      <c r="BT122" s="3598" t="s">
        <v>3506</v>
      </c>
      <c r="BU122" s="3599"/>
    </row>
    <row r="123" spans="1:73" s="3504" customFormat="1" ht="12" customHeight="1">
      <c r="A123" s="3490" t="s">
        <v>3815</v>
      </c>
      <c r="B123" s="3491" t="s">
        <v>3816</v>
      </c>
      <c r="C123" s="3491" t="s">
        <v>3817</v>
      </c>
      <c r="D123" s="3491">
        <v>13801032656</v>
      </c>
      <c r="E123" s="3524" t="s">
        <v>3818</v>
      </c>
      <c r="F123" s="3524" t="s">
        <v>3819</v>
      </c>
      <c r="G123" s="3490" t="s">
        <v>3511</v>
      </c>
      <c r="H123" s="3490" t="s">
        <v>3663</v>
      </c>
      <c r="I123" s="3525" t="s">
        <v>3820</v>
      </c>
      <c r="J123" s="3525" t="s">
        <v>3821</v>
      </c>
      <c r="K123" s="3491" t="s">
        <v>3816</v>
      </c>
      <c r="L123" s="3505">
        <v>85.5</v>
      </c>
      <c r="M123" s="3491">
        <v>8</v>
      </c>
      <c r="N123" s="3490" t="s">
        <v>3601</v>
      </c>
      <c r="O123" s="3491"/>
      <c r="P123" s="3490" t="s">
        <v>3695</v>
      </c>
      <c r="Q123" s="3601">
        <v>2670000</v>
      </c>
      <c r="R123" s="3492">
        <v>31228</v>
      </c>
      <c r="S123" s="3495">
        <v>378.67</v>
      </c>
      <c r="T123" s="3496">
        <v>3786700</v>
      </c>
      <c r="U123" s="3492">
        <v>44289</v>
      </c>
      <c r="V123" s="3497">
        <v>0.2</v>
      </c>
      <c r="W123" s="3498">
        <v>302.93</v>
      </c>
      <c r="X123" s="3496">
        <v>3029300</v>
      </c>
      <c r="Y123" s="3492">
        <v>2013</v>
      </c>
      <c r="Z123" s="3526">
        <v>10</v>
      </c>
      <c r="AA123" s="3526">
        <v>22</v>
      </c>
      <c r="AB123" s="3492">
        <v>1500</v>
      </c>
      <c r="AC123" s="3489" t="s">
        <v>3822</v>
      </c>
      <c r="AD123" s="3527"/>
      <c r="AE123" s="3490" t="s">
        <v>3586</v>
      </c>
      <c r="AF123" s="3490" t="s">
        <v>3569</v>
      </c>
      <c r="AG123" s="3493" t="s">
        <v>3561</v>
      </c>
      <c r="AH123" s="3528">
        <v>48888</v>
      </c>
      <c r="AI123" s="3493" t="s">
        <v>3493</v>
      </c>
      <c r="AJ123" s="3529"/>
      <c r="AK123" s="3506" t="s">
        <v>3823</v>
      </c>
      <c r="AL123" s="3490">
        <v>42</v>
      </c>
      <c r="AM123" s="3490"/>
      <c r="AN123" s="3493"/>
      <c r="AO123" s="3490"/>
      <c r="AP123" s="3490" t="s">
        <v>3809</v>
      </c>
      <c r="AQ123" s="3490" t="s">
        <v>3524</v>
      </c>
      <c r="AR123" s="3490"/>
      <c r="AS123" s="3490"/>
      <c r="AT123" s="3490"/>
      <c r="AU123" s="3474"/>
      <c r="AV123" s="3474"/>
      <c r="AW123" s="3474" t="s">
        <v>3564</v>
      </c>
      <c r="AX123" s="3474" t="s">
        <v>3526</v>
      </c>
      <c r="AY123" s="3532" t="s">
        <v>3824</v>
      </c>
      <c r="AZ123" s="3490" t="s">
        <v>3825</v>
      </c>
      <c r="BA123" s="3531"/>
      <c r="BB123" s="3532"/>
      <c r="BC123" s="3474"/>
      <c r="BD123" s="3533"/>
      <c r="BE123" s="3474"/>
      <c r="BF123" s="3534"/>
      <c r="BG123" s="3535">
        <v>41523</v>
      </c>
      <c r="BH123" s="3602"/>
      <c r="BI123" s="3489" t="s">
        <v>3809</v>
      </c>
      <c r="BJ123" s="3536">
        <v>41541</v>
      </c>
      <c r="BK123" s="3536"/>
      <c r="BL123" s="3474" t="s">
        <v>3491</v>
      </c>
      <c r="BM123" s="3490" t="s">
        <v>3391</v>
      </c>
      <c r="BN123" s="3490" t="s">
        <v>3530</v>
      </c>
      <c r="BO123" s="3490" t="s">
        <v>3531</v>
      </c>
      <c r="BP123" s="3532"/>
      <c r="BQ123" s="3474" t="e">
        <v>#DIV/0!</v>
      </c>
      <c r="BR123" s="3474" t="e">
        <v>#DIV/0!</v>
      </c>
      <c r="BS123" s="3502" t="s">
        <v>3814</v>
      </c>
      <c r="BT123" s="3502" t="s">
        <v>3506</v>
      </c>
      <c r="BU123" s="3578"/>
    </row>
    <row r="124" spans="1:73" s="3520" customFormat="1" ht="12" customHeight="1">
      <c r="A124" s="3509" t="s">
        <v>3826</v>
      </c>
      <c r="B124" s="3509" t="s">
        <v>3827</v>
      </c>
      <c r="C124" s="3510" t="s">
        <v>3828</v>
      </c>
      <c r="D124" s="3510" t="s">
        <v>3829</v>
      </c>
      <c r="E124" s="3509" t="s">
        <v>3483</v>
      </c>
      <c r="F124" s="3509" t="s">
        <v>3830</v>
      </c>
      <c r="G124" s="3509" t="s">
        <v>3511</v>
      </c>
      <c r="H124" s="3509" t="s">
        <v>3831</v>
      </c>
      <c r="I124" s="3509" t="s">
        <v>3832</v>
      </c>
      <c r="J124" s="3556" t="s">
        <v>3833</v>
      </c>
      <c r="K124" s="3509" t="s">
        <v>3834</v>
      </c>
      <c r="L124" s="3511">
        <v>55.8</v>
      </c>
      <c r="M124" s="3511" t="s">
        <v>3583</v>
      </c>
      <c r="N124" s="3509" t="s">
        <v>3635</v>
      </c>
      <c r="O124" s="3509"/>
      <c r="P124" s="3509" t="s">
        <v>3559</v>
      </c>
      <c r="Q124" s="3512">
        <v>3000000</v>
      </c>
      <c r="R124" s="3509">
        <v>53763</v>
      </c>
      <c r="S124" s="3513">
        <v>269.02999999999997</v>
      </c>
      <c r="T124" s="3603">
        <v>2690299.9999999995</v>
      </c>
      <c r="U124" s="3509">
        <v>48215</v>
      </c>
      <c r="V124" s="3604">
        <v>0.2</v>
      </c>
      <c r="W124" s="3516">
        <v>215.22</v>
      </c>
      <c r="X124" s="3514">
        <v>2152200</v>
      </c>
      <c r="Y124" s="3519">
        <v>2013</v>
      </c>
      <c r="Z124" s="3509">
        <v>12</v>
      </c>
      <c r="AA124" s="3509">
        <v>5</v>
      </c>
      <c r="AB124" s="3509">
        <v>1500</v>
      </c>
      <c r="AC124" s="3509" t="s">
        <v>3822</v>
      </c>
      <c r="AD124" s="3541"/>
      <c r="AE124" s="3519" t="s">
        <v>3490</v>
      </c>
      <c r="AF124" s="3509" t="s">
        <v>3569</v>
      </c>
      <c r="AG124" s="3509" t="s">
        <v>3492</v>
      </c>
      <c r="AH124" s="3539">
        <v>53763</v>
      </c>
      <c r="AI124" s="3509" t="s">
        <v>3708</v>
      </c>
      <c r="AJ124" s="3544"/>
      <c r="AK124" s="3517" t="s">
        <v>3835</v>
      </c>
      <c r="AL124" s="3519">
        <v>46</v>
      </c>
      <c r="AM124" s="3509"/>
      <c r="AN124" s="3605"/>
      <c r="AO124" s="3519"/>
      <c r="AP124" s="3509" t="s">
        <v>3836</v>
      </c>
      <c r="AQ124" s="3509" t="s">
        <v>3837</v>
      </c>
      <c r="AR124" s="3519"/>
      <c r="AS124" s="3519"/>
      <c r="AT124" s="3519"/>
      <c r="AU124" s="3519"/>
      <c r="AV124" s="3519"/>
      <c r="AW124" s="3519" t="s">
        <v>3497</v>
      </c>
      <c r="AX124" s="3519" t="s">
        <v>3728</v>
      </c>
      <c r="AY124" s="3546" t="s">
        <v>3838</v>
      </c>
      <c r="AZ124" s="3509" t="s">
        <v>3839</v>
      </c>
      <c r="BA124" s="3519"/>
      <c r="BB124" s="3546"/>
      <c r="BC124" s="3519"/>
      <c r="BD124" s="3566"/>
      <c r="BE124" s="3519"/>
      <c r="BF124" s="3550"/>
      <c r="BG124" s="3554">
        <v>41591</v>
      </c>
      <c r="BH124" s="3552"/>
      <c r="BI124" s="3519" t="s">
        <v>3840</v>
      </c>
      <c r="BJ124" s="3554">
        <v>41596</v>
      </c>
      <c r="BK124" s="3554"/>
      <c r="BL124" s="3509" t="s">
        <v>3491</v>
      </c>
      <c r="BM124" s="3519"/>
      <c r="BN124" s="3519"/>
      <c r="BO124" s="3519"/>
      <c r="BP124" s="3519"/>
      <c r="BQ124" s="3519" t="e">
        <v>#DIV/0!</v>
      </c>
      <c r="BR124" s="3519" t="e">
        <v>#DIV/0!</v>
      </c>
      <c r="BS124" s="3502" t="s">
        <v>3841</v>
      </c>
      <c r="BT124" s="3502" t="s">
        <v>3506</v>
      </c>
    </row>
    <row r="127" spans="1:73" s="3610" customFormat="1" ht="12">
      <c r="A127" s="3606" t="s">
        <v>3842</v>
      </c>
      <c r="B127" s="3607"/>
      <c r="C127" s="3465"/>
      <c r="D127" s="3465"/>
      <c r="E127" s="3465"/>
      <c r="F127" s="3465"/>
      <c r="G127" s="3465"/>
      <c r="H127" s="3465"/>
      <c r="I127" s="3465" t="s">
        <v>3843</v>
      </c>
      <c r="J127" s="3465" t="s">
        <v>3844</v>
      </c>
      <c r="K127" s="3465" t="s">
        <v>3845</v>
      </c>
      <c r="L127" s="3465" t="s">
        <v>3843</v>
      </c>
      <c r="M127" s="3465" t="s">
        <v>3844</v>
      </c>
      <c r="N127" s="3465" t="s">
        <v>3845</v>
      </c>
      <c r="O127" s="3465" t="s">
        <v>3843</v>
      </c>
      <c r="P127" s="3465" t="s">
        <v>3844</v>
      </c>
      <c r="Q127" s="3465" t="s">
        <v>3845</v>
      </c>
      <c r="R127" s="3465"/>
      <c r="S127" s="3465" t="s">
        <v>3843</v>
      </c>
      <c r="T127" s="3465" t="s">
        <v>3844</v>
      </c>
      <c r="U127" s="3465" t="s">
        <v>3845</v>
      </c>
      <c r="V127" s="3465"/>
      <c r="W127" s="3465" t="s">
        <v>3846</v>
      </c>
      <c r="X127" s="3465"/>
      <c r="Y127" s="3465"/>
      <c r="Z127" s="3465"/>
      <c r="AA127" s="3465"/>
      <c r="AB127" s="3465"/>
      <c r="AC127" s="3465"/>
      <c r="AD127" s="3465"/>
      <c r="AE127" s="3465"/>
      <c r="AF127" s="3465"/>
      <c r="AG127" s="3465"/>
      <c r="AH127" s="3465"/>
      <c r="AI127" s="3465"/>
      <c r="AJ127" s="3465"/>
      <c r="AK127" s="3465"/>
      <c r="AL127" s="3465"/>
      <c r="AM127" s="3465"/>
      <c r="AN127" s="3465"/>
      <c r="AO127" s="3465"/>
      <c r="AP127" s="3465"/>
      <c r="AQ127" s="3465"/>
      <c r="AR127" s="3465"/>
      <c r="AS127" s="3608"/>
      <c r="AT127" s="3465"/>
      <c r="AU127" s="3465"/>
      <c r="AV127" s="3465"/>
      <c r="AW127" s="3465"/>
      <c r="AX127" s="3465"/>
      <c r="AY127" s="3465"/>
      <c r="AZ127" s="3465"/>
      <c r="BA127" s="3465"/>
      <c r="BB127" s="3465"/>
      <c r="BC127" s="3609" t="s">
        <v>3847</v>
      </c>
      <c r="BD127" s="3609"/>
      <c r="BE127" s="3609"/>
      <c r="BF127" s="3609"/>
      <c r="BG127" s="3609"/>
      <c r="BH127" s="3609"/>
      <c r="BI127" s="3609"/>
      <c r="BJ127" s="3609"/>
      <c r="BK127" s="3609"/>
    </row>
    <row r="128" spans="1:73" s="3610" customFormat="1" ht="12">
      <c r="A128" s="3611" t="s">
        <v>3848</v>
      </c>
      <c r="B128" s="3612" t="s">
        <v>3849</v>
      </c>
      <c r="C128" s="3613" t="s">
        <v>3416</v>
      </c>
      <c r="D128" s="3613" t="s">
        <v>3850</v>
      </c>
      <c r="E128" s="3613" t="s">
        <v>3851</v>
      </c>
      <c r="F128" s="3613" t="s">
        <v>3852</v>
      </c>
      <c r="G128" s="3613" t="s">
        <v>3853</v>
      </c>
      <c r="H128" s="3613" t="s">
        <v>3854</v>
      </c>
      <c r="I128" s="3613" t="s">
        <v>3855</v>
      </c>
      <c r="J128" s="3613" t="s">
        <v>3855</v>
      </c>
      <c r="K128" s="3613" t="s">
        <v>3855</v>
      </c>
      <c r="L128" s="3613" t="s">
        <v>3856</v>
      </c>
      <c r="M128" s="3613" t="s">
        <v>3856</v>
      </c>
      <c r="N128" s="3613" t="s">
        <v>3856</v>
      </c>
      <c r="O128" s="3613" t="s">
        <v>3857</v>
      </c>
      <c r="P128" s="3613" t="s">
        <v>3857</v>
      </c>
      <c r="Q128" s="3613" t="s">
        <v>3857</v>
      </c>
      <c r="R128" s="3613" t="s">
        <v>3858</v>
      </c>
      <c r="S128" s="3613" t="s">
        <v>3859</v>
      </c>
      <c r="T128" s="3613" t="s">
        <v>3859</v>
      </c>
      <c r="U128" s="3613" t="s">
        <v>3859</v>
      </c>
      <c r="V128" s="3613" t="s">
        <v>3860</v>
      </c>
      <c r="W128" s="3613" t="s">
        <v>3861</v>
      </c>
      <c r="X128" s="3613" t="s">
        <v>3862</v>
      </c>
      <c r="Y128" s="3613" t="s">
        <v>3863</v>
      </c>
      <c r="Z128" s="3613" t="s">
        <v>3864</v>
      </c>
      <c r="AA128" s="3613" t="s">
        <v>3865</v>
      </c>
      <c r="AB128" s="3613" t="s">
        <v>3866</v>
      </c>
      <c r="AC128" s="3613" t="s">
        <v>3867</v>
      </c>
      <c r="AD128" s="3613" t="s">
        <v>3868</v>
      </c>
      <c r="AE128" s="3613" t="s">
        <v>3869</v>
      </c>
      <c r="AF128" s="3613" t="s">
        <v>3870</v>
      </c>
      <c r="AG128" s="3613" t="s">
        <v>3871</v>
      </c>
      <c r="AH128" s="3613" t="s">
        <v>3872</v>
      </c>
      <c r="AI128" s="3613" t="s">
        <v>3873</v>
      </c>
      <c r="AJ128" s="3613" t="s">
        <v>3874</v>
      </c>
      <c r="AK128" s="3613" t="s">
        <v>3875</v>
      </c>
      <c r="AL128" s="3613" t="s">
        <v>3876</v>
      </c>
      <c r="AM128" s="3613" t="s">
        <v>3877</v>
      </c>
      <c r="AN128" s="3613" t="s">
        <v>3878</v>
      </c>
      <c r="AO128" s="3613" t="s">
        <v>3879</v>
      </c>
      <c r="AP128" s="3613" t="s">
        <v>3880</v>
      </c>
      <c r="AQ128" s="3613" t="s">
        <v>3881</v>
      </c>
      <c r="AR128" s="3613" t="s">
        <v>3882</v>
      </c>
      <c r="AS128" s="3614" t="s">
        <v>3883</v>
      </c>
      <c r="AT128" s="3613" t="s">
        <v>3884</v>
      </c>
      <c r="AU128" s="3613" t="s">
        <v>3885</v>
      </c>
      <c r="AV128" s="3613" t="s">
        <v>3886</v>
      </c>
      <c r="AW128" s="3613" t="s">
        <v>3887</v>
      </c>
      <c r="AX128" s="3613" t="s">
        <v>3888</v>
      </c>
      <c r="AY128" s="3613" t="s">
        <v>3889</v>
      </c>
      <c r="AZ128" s="3613" t="s">
        <v>3890</v>
      </c>
      <c r="BA128" s="3613" t="s">
        <v>3891</v>
      </c>
      <c r="BB128" s="3613" t="s">
        <v>3892</v>
      </c>
      <c r="BC128" s="3615" t="s">
        <v>3893</v>
      </c>
      <c r="BD128" s="3615" t="s">
        <v>3894</v>
      </c>
      <c r="BE128" s="3615" t="s">
        <v>3895</v>
      </c>
      <c r="BF128" s="3615" t="s">
        <v>3896</v>
      </c>
      <c r="BG128" s="3615" t="s">
        <v>3897</v>
      </c>
      <c r="BH128" s="3615" t="s">
        <v>3898</v>
      </c>
      <c r="BI128" s="3615" t="s">
        <v>3899</v>
      </c>
      <c r="BJ128" s="3615" t="s">
        <v>3900</v>
      </c>
      <c r="BK128" s="3615" t="s">
        <v>3901</v>
      </c>
    </row>
    <row r="129" spans="1:63" s="3620" customFormat="1" ht="12" customHeight="1">
      <c r="A129" s="3616" t="s">
        <v>3980</v>
      </c>
      <c r="B129" s="3617" t="s">
        <v>3978</v>
      </c>
      <c r="C129" s="3617" t="s">
        <v>3802</v>
      </c>
      <c r="D129" s="3617" t="s">
        <v>3902</v>
      </c>
      <c r="E129" s="3617"/>
      <c r="F129" s="3617"/>
      <c r="G129" s="3617" t="s">
        <v>3903</v>
      </c>
      <c r="H129" s="3617" t="s">
        <v>3904</v>
      </c>
      <c r="I129" s="3617" t="s">
        <v>3903</v>
      </c>
      <c r="J129" s="3617" t="s">
        <v>3905</v>
      </c>
      <c r="K129" s="3617" t="s">
        <v>3905</v>
      </c>
      <c r="L129" s="3617" t="s">
        <v>3903</v>
      </c>
      <c r="M129" s="3617" t="s">
        <v>3906</v>
      </c>
      <c r="N129" s="3617" t="s">
        <v>3906</v>
      </c>
      <c r="O129" s="3617" t="s">
        <v>3907</v>
      </c>
      <c r="P129" s="3617" t="s">
        <v>3908</v>
      </c>
      <c r="Q129" s="3617" t="s">
        <v>3908</v>
      </c>
      <c r="R129" s="3617" t="s">
        <v>3909</v>
      </c>
      <c r="S129" s="3617" t="s">
        <v>3511</v>
      </c>
      <c r="T129" s="3617" t="s">
        <v>3910</v>
      </c>
      <c r="U129" s="3617" t="s">
        <v>3911</v>
      </c>
      <c r="V129" s="3617" t="s">
        <v>3511</v>
      </c>
      <c r="W129" s="3617"/>
      <c r="X129" s="3617" t="s">
        <v>3912</v>
      </c>
      <c r="Y129" s="3617"/>
      <c r="Z129" s="3617" t="s">
        <v>3913</v>
      </c>
      <c r="AA129" s="3617" t="s">
        <v>3914</v>
      </c>
      <c r="AB129" s="3617" t="s">
        <v>3915</v>
      </c>
      <c r="AC129" s="3617" t="s">
        <v>3916</v>
      </c>
      <c r="AD129" s="3617" t="s">
        <v>3917</v>
      </c>
      <c r="AE129" s="3617" t="s">
        <v>3918</v>
      </c>
      <c r="AF129" s="3617"/>
      <c r="AG129" s="3617" t="s">
        <v>3919</v>
      </c>
      <c r="AH129" s="3617" t="s">
        <v>3920</v>
      </c>
      <c r="AI129" s="3617" t="s">
        <v>3921</v>
      </c>
      <c r="AJ129" s="3617" t="s">
        <v>3922</v>
      </c>
      <c r="AK129" s="3617" t="s">
        <v>3923</v>
      </c>
      <c r="AL129" s="3617" t="s">
        <v>3924</v>
      </c>
      <c r="AM129" s="3617" t="s">
        <v>3925</v>
      </c>
      <c r="AN129" s="3617" t="s">
        <v>3926</v>
      </c>
      <c r="AO129" s="3617" t="s">
        <v>3927</v>
      </c>
      <c r="AP129" s="3617" t="s">
        <v>3928</v>
      </c>
      <c r="AQ129" s="3617" t="s">
        <v>3929</v>
      </c>
      <c r="AR129" s="3617" t="s">
        <v>3930</v>
      </c>
      <c r="AS129" s="3617"/>
      <c r="AT129" s="3617"/>
      <c r="AU129" s="3618" t="s">
        <v>3931</v>
      </c>
      <c r="AV129" s="3618" t="s">
        <v>3932</v>
      </c>
      <c r="AW129" s="3618"/>
      <c r="AX129" s="3618" t="s">
        <v>3933</v>
      </c>
      <c r="AY129" s="3618" t="s">
        <v>3934</v>
      </c>
      <c r="AZ129" s="3618" t="s">
        <v>3922</v>
      </c>
      <c r="BA129" s="3617" t="s">
        <v>3505</v>
      </c>
      <c r="BB129" s="3617"/>
      <c r="BC129" s="3619">
        <v>2013</v>
      </c>
      <c r="BD129" s="3619">
        <v>7</v>
      </c>
      <c r="BE129" s="3619">
        <v>1</v>
      </c>
      <c r="BF129" s="3619"/>
      <c r="BG129" s="3619" t="s">
        <v>3563</v>
      </c>
      <c r="BH129" s="3619">
        <v>1994</v>
      </c>
      <c r="BI129" s="3619" t="s">
        <v>3401</v>
      </c>
      <c r="BJ129" s="3619">
        <v>80</v>
      </c>
      <c r="BK129" s="3619">
        <v>20</v>
      </c>
    </row>
    <row r="132" spans="1:63" s="3622" customFormat="1" ht="12">
      <c r="A132" s="3621"/>
      <c r="B132" s="3465"/>
      <c r="C132" s="3607"/>
      <c r="D132" s="3465"/>
      <c r="E132" s="3465"/>
      <c r="F132" s="3465" t="s">
        <v>3935</v>
      </c>
      <c r="G132" s="3465"/>
      <c r="H132" s="3465"/>
      <c r="I132" s="3465"/>
      <c r="J132" s="3465"/>
      <c r="K132" s="3465"/>
      <c r="L132" s="3465"/>
      <c r="M132" s="3465"/>
      <c r="N132" s="3465"/>
      <c r="O132" s="3845" t="s">
        <v>3936</v>
      </c>
      <c r="P132" s="3846"/>
      <c r="Q132" s="3846"/>
      <c r="R132" s="3847"/>
      <c r="S132" s="3465"/>
      <c r="T132" s="3465"/>
      <c r="U132" s="3465"/>
      <c r="V132" s="3465"/>
      <c r="W132" s="3465" t="s">
        <v>3937</v>
      </c>
      <c r="X132" s="3465"/>
      <c r="Y132" s="3465"/>
      <c r="Z132" s="3465"/>
      <c r="AA132" s="3465"/>
      <c r="AB132" s="3465"/>
      <c r="AC132" s="3465"/>
      <c r="AD132" s="3465"/>
      <c r="AE132" s="3465"/>
      <c r="AF132" s="3609" t="s">
        <v>3847</v>
      </c>
      <c r="AG132" s="3609"/>
      <c r="AH132" s="3609"/>
      <c r="AI132" s="3609"/>
      <c r="AJ132" s="3609"/>
      <c r="AK132" s="3609"/>
    </row>
    <row r="133" spans="1:63" s="3622" customFormat="1" ht="12">
      <c r="A133" s="3613" t="s">
        <v>3938</v>
      </c>
      <c r="B133" s="3613" t="s">
        <v>3939</v>
      </c>
      <c r="C133" s="3612" t="s">
        <v>3940</v>
      </c>
      <c r="D133" s="3613" t="s">
        <v>3941</v>
      </c>
      <c r="E133" s="3613" t="s">
        <v>3942</v>
      </c>
      <c r="F133" s="3613" t="s">
        <v>3943</v>
      </c>
      <c r="G133" s="3613" t="s">
        <v>3944</v>
      </c>
      <c r="H133" s="3613" t="s">
        <v>3945</v>
      </c>
      <c r="I133" s="3613" t="s">
        <v>3946</v>
      </c>
      <c r="J133" s="3613" t="s">
        <v>3947</v>
      </c>
      <c r="K133" s="3613" t="s">
        <v>3948</v>
      </c>
      <c r="L133" s="3613" t="s">
        <v>3949</v>
      </c>
      <c r="M133" s="3613" t="s">
        <v>3950</v>
      </c>
      <c r="N133" s="3613" t="s">
        <v>3951</v>
      </c>
      <c r="O133" s="3478" t="s">
        <v>3952</v>
      </c>
      <c r="P133" s="3478" t="s">
        <v>3953</v>
      </c>
      <c r="Q133" s="3623" t="s">
        <v>3954</v>
      </c>
      <c r="R133" s="3464" t="s">
        <v>3955</v>
      </c>
      <c r="S133" s="3613" t="s">
        <v>3895</v>
      </c>
      <c r="T133" s="3613" t="s">
        <v>3956</v>
      </c>
      <c r="U133" s="3613" t="s">
        <v>3894</v>
      </c>
      <c r="V133" s="3613" t="s">
        <v>3895</v>
      </c>
      <c r="W133" s="3613" t="s">
        <v>3957</v>
      </c>
      <c r="X133" s="3613" t="s">
        <v>3958</v>
      </c>
      <c r="Y133" s="3613" t="s">
        <v>3959</v>
      </c>
      <c r="Z133" s="3613" t="s">
        <v>3960</v>
      </c>
      <c r="AA133" s="3613" t="s">
        <v>3961</v>
      </c>
      <c r="AB133" s="3613" t="s">
        <v>3962</v>
      </c>
      <c r="AC133" s="3613" t="s">
        <v>3963</v>
      </c>
      <c r="AD133" s="3613" t="s">
        <v>3964</v>
      </c>
      <c r="AE133" s="3613" t="s">
        <v>3965</v>
      </c>
      <c r="AF133" s="3615" t="s">
        <v>3893</v>
      </c>
      <c r="AG133" s="3615" t="s">
        <v>3894</v>
      </c>
      <c r="AH133" s="3615" t="s">
        <v>3895</v>
      </c>
      <c r="AI133" s="3615" t="s">
        <v>3896</v>
      </c>
      <c r="AJ133" s="3615" t="s">
        <v>3966</v>
      </c>
      <c r="AK133" s="3615" t="s">
        <v>3967</v>
      </c>
    </row>
    <row r="134" spans="1:63" s="3620" customFormat="1" ht="12" customHeight="1">
      <c r="A134" s="3617" t="s">
        <v>3968</v>
      </c>
      <c r="B134" s="3617" t="s">
        <v>3969</v>
      </c>
      <c r="C134" s="3617" t="s">
        <v>3970</v>
      </c>
      <c r="D134" s="3617"/>
      <c r="E134" s="3617"/>
      <c r="F134" s="3617"/>
      <c r="G134" s="3617"/>
      <c r="H134" s="3617" t="s">
        <v>3971</v>
      </c>
      <c r="I134" s="3617" t="s">
        <v>3972</v>
      </c>
      <c r="J134" s="3617" t="s">
        <v>3973</v>
      </c>
      <c r="K134" s="3617">
        <v>1994</v>
      </c>
      <c r="L134" s="3617"/>
      <c r="M134" s="3617"/>
      <c r="N134" s="3617"/>
      <c r="O134" s="3617"/>
      <c r="P134" s="3617" t="s">
        <v>3974</v>
      </c>
      <c r="Q134" s="3624" t="s">
        <v>3975</v>
      </c>
      <c r="R134" s="3617" t="s">
        <v>3976</v>
      </c>
      <c r="S134" s="3617"/>
      <c r="T134" s="3617"/>
      <c r="U134" s="3617"/>
      <c r="V134" s="3617"/>
      <c r="W134" s="3617"/>
      <c r="X134" s="3617"/>
      <c r="Y134" s="3617"/>
      <c r="Z134" s="3617"/>
      <c r="AA134" s="3617"/>
      <c r="AB134" s="3617"/>
      <c r="AC134" s="3617"/>
      <c r="AD134" s="3617"/>
      <c r="AE134" s="3617" t="s">
        <v>3977</v>
      </c>
      <c r="AF134" s="3619">
        <v>2013</v>
      </c>
      <c r="AG134" s="3619">
        <v>8</v>
      </c>
      <c r="AH134" s="3619">
        <v>8</v>
      </c>
      <c r="AI134" s="3619"/>
      <c r="AJ134" s="3619">
        <v>50</v>
      </c>
      <c r="AK134" s="3619">
        <v>31</v>
      </c>
    </row>
  </sheetData>
  <mergeCells count="1">
    <mergeCell ref="O132:R132"/>
  </mergeCells>
  <phoneticPr fontId="134" type="noConversion"/>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77" zoomScale="85" zoomScaleNormal="60" zoomScaleSheetLayoutView="85" workbookViewId="0">
      <selection activeCell="E92" sqref="E9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6" t="s">
        <v>4000</v>
      </c>
      <c r="F1" s="1879" t="s">
        <v>3390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437.81810000000002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69939</v>
      </c>
      <c r="C3" s="354" t="s">
        <v>1665</v>
      </c>
      <c r="D3" s="353">
        <f>IF(D1="",'数据-汇总表'!E3,SUMIF('数据-汇总表'!$C19:$C33,D1,'数据-汇总表'!$E19:$E33))</f>
        <v>62.6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66" t="s">
        <v>1667</v>
      </c>
      <c r="D4" s="3867"/>
      <c r="E4" s="3868" t="s">
        <v>1668</v>
      </c>
      <c r="F4" s="3869"/>
      <c r="G4" s="3866" t="s">
        <v>1669</v>
      </c>
      <c r="H4" s="3867"/>
      <c r="I4" s="3866" t="s">
        <v>1670</v>
      </c>
      <c r="J4" s="3867"/>
      <c r="K4" s="1889" t="s">
        <v>1671</v>
      </c>
      <c r="L4" s="2715"/>
      <c r="M4" s="2716"/>
      <c r="N4" s="2716"/>
      <c r="O4" s="2716"/>
      <c r="P4" s="3870" t="s">
        <v>1672</v>
      </c>
      <c r="Q4" s="3871"/>
      <c r="R4" s="3876" t="s">
        <v>1668</v>
      </c>
      <c r="S4" s="3877"/>
      <c r="T4" s="3876" t="s">
        <v>1669</v>
      </c>
      <c r="U4" s="3877"/>
      <c r="V4" s="3882" t="s">
        <v>1670</v>
      </c>
      <c r="W4" s="3882"/>
      <c r="X4" s="1355"/>
      <c r="Y4" s="3876" t="s">
        <v>1672</v>
      </c>
      <c r="Z4" s="3877"/>
      <c r="AA4" s="3863" t="s">
        <v>1668</v>
      </c>
      <c r="AB4" s="3863" t="s">
        <v>1669</v>
      </c>
      <c r="AC4" s="3863" t="s">
        <v>1670</v>
      </c>
    </row>
    <row r="5" spans="1:29" ht="15">
      <c r="A5" s="358"/>
      <c r="B5" s="359"/>
      <c r="C5" s="3885" t="s">
        <v>3393</v>
      </c>
      <c r="D5" s="3886"/>
      <c r="E5" s="3893" t="s">
        <v>3396</v>
      </c>
      <c r="F5" s="3894"/>
      <c r="G5" s="3885" t="s">
        <v>3979</v>
      </c>
      <c r="H5" s="3886"/>
      <c r="I5" s="3885" t="s">
        <v>3981</v>
      </c>
      <c r="J5" s="3886"/>
      <c r="K5" s="1890"/>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1" t="s">
        <v>3394</v>
      </c>
      <c r="F6" s="3892"/>
      <c r="G6" s="3883" t="s">
        <v>3799</v>
      </c>
      <c r="H6" s="3884"/>
      <c r="I6" s="3883" t="s">
        <v>3395</v>
      </c>
      <c r="J6" s="3884"/>
      <c r="K6" s="1890"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v>41417</v>
      </c>
      <c r="F7" s="367">
        <f>SUMIF(58:58,YEAR(E7)&amp;"-"&amp;MONTH(E7),59:59)</f>
        <v>99</v>
      </c>
      <c r="G7" s="366">
        <v>41449</v>
      </c>
      <c r="H7" s="365">
        <f>SUMIF(58:58,YEAR(G7)&amp;"-"&amp;MONTH(G7),59:59)</f>
        <v>99</v>
      </c>
      <c r="I7" s="366">
        <v>41361</v>
      </c>
      <c r="J7" s="365">
        <f>SUMIF(58:58,YEAR(I7)&amp;"-"&amp;MONTH(I7),59:59)</f>
        <v>98.5</v>
      </c>
      <c r="K7" s="1891"/>
      <c r="L7" s="2717"/>
      <c r="M7" s="2718"/>
      <c r="N7" s="2718"/>
      <c r="O7" s="2718"/>
      <c r="P7" s="3887" t="s">
        <v>1680</v>
      </c>
      <c r="Q7" s="3889"/>
      <c r="R7" s="701" t="s">
        <v>20</v>
      </c>
      <c r="S7" s="702">
        <f t="shared" ref="S7:S15" si="0">F7</f>
        <v>99</v>
      </c>
      <c r="T7" s="701" t="s">
        <v>20</v>
      </c>
      <c r="U7" s="702">
        <f t="shared" ref="U7:U15" si="1">H7</f>
        <v>99</v>
      </c>
      <c r="V7" s="701" t="s">
        <v>20</v>
      </c>
      <c r="W7" s="702">
        <f t="shared" ref="W7:W15" si="2">J7</f>
        <v>98.5</v>
      </c>
      <c r="X7" s="703"/>
      <c r="Y7" s="3887" t="s">
        <v>1680</v>
      </c>
      <c r="Z7" s="3888"/>
      <c r="AA7" s="704">
        <f>D7/F7</f>
        <v>1.0101010101010102</v>
      </c>
      <c r="AB7" s="704">
        <f>D7/H7</f>
        <v>1.0101010101010102</v>
      </c>
      <c r="AC7" s="704">
        <f>D7/J7</f>
        <v>1.015228426395939</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7"/>
      <c r="M8" s="2718"/>
      <c r="N8" s="2718"/>
      <c r="O8" s="2718"/>
      <c r="P8" s="3887" t="s">
        <v>1683</v>
      </c>
      <c r="Q8" s="3888"/>
      <c r="R8" s="701" t="s">
        <v>20</v>
      </c>
      <c r="S8" s="702">
        <f t="shared" si="0"/>
        <v>100</v>
      </c>
      <c r="T8" s="701" t="s">
        <v>20</v>
      </c>
      <c r="U8" s="702">
        <f t="shared" si="1"/>
        <v>100</v>
      </c>
      <c r="V8" s="701" t="s">
        <v>20</v>
      </c>
      <c r="W8" s="702">
        <f t="shared" si="2"/>
        <v>100</v>
      </c>
      <c r="X8" s="703"/>
      <c r="Y8" s="3887" t="s">
        <v>1683</v>
      </c>
      <c r="Z8" s="3888"/>
      <c r="AA8" s="704">
        <f t="shared" ref="AA8:AA19" si="3">D8/F8</f>
        <v>1</v>
      </c>
      <c r="AB8" s="704">
        <f t="shared" ref="AB8:AB19" si="4">D8/H8</f>
        <v>1</v>
      </c>
      <c r="AC8" s="704">
        <f t="shared" ref="AC8:AC19" si="5">D8/J8</f>
        <v>1</v>
      </c>
    </row>
    <row r="9" spans="1:29" s="108" customFormat="1">
      <c r="A9" s="369" t="s">
        <v>1684</v>
      </c>
      <c r="B9" s="63" t="s">
        <v>1685</v>
      </c>
      <c r="C9" s="3449" t="s">
        <v>3392</v>
      </c>
      <c r="D9" s="126">
        <v>100</v>
      </c>
      <c r="E9" s="371" t="s">
        <v>3385</v>
      </c>
      <c r="F9" s="372">
        <f>SUMIF(63:63,E9,64:64)-SUMIF(63:63,C9,64:64)+100</f>
        <v>100</v>
      </c>
      <c r="G9" s="373" t="s">
        <v>3385</v>
      </c>
      <c r="H9" s="126">
        <f>SUMIF(63:63,G9,64:64)-SUMIF(63:63,C9,64:64)+100</f>
        <v>100</v>
      </c>
      <c r="I9" s="373" t="s">
        <v>3385</v>
      </c>
      <c r="J9" s="126">
        <f>SUMIF(63:63,I9,64:64)-SUMIF(63:63,C9,64:64)+100</f>
        <v>100</v>
      </c>
      <c r="K9" s="1891"/>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62"/>
      <c r="Q11" s="1343" t="str">
        <f t="shared" si="6"/>
        <v>容积率</v>
      </c>
      <c r="R11" s="701" t="s">
        <v>18</v>
      </c>
      <c r="S11" s="702">
        <f t="shared" si="0"/>
        <v>100</v>
      </c>
      <c r="T11" s="701" t="s">
        <v>18</v>
      </c>
      <c r="U11" s="702">
        <f t="shared" si="1"/>
        <v>100</v>
      </c>
      <c r="V11" s="701" t="s">
        <v>18</v>
      </c>
      <c r="W11" s="702">
        <f t="shared" si="2"/>
        <v>100</v>
      </c>
      <c r="X11" s="703"/>
      <c r="Y11" s="372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62"/>
      <c r="Q12" s="1343">
        <f t="shared" si="6"/>
        <v>111</v>
      </c>
      <c r="R12" s="701" t="s">
        <v>18</v>
      </c>
      <c r="S12" s="702">
        <f t="shared" si="0"/>
        <v>100</v>
      </c>
      <c r="T12" s="701" t="s">
        <v>18</v>
      </c>
      <c r="U12" s="702">
        <f t="shared" si="1"/>
        <v>100</v>
      </c>
      <c r="V12" s="701" t="s">
        <v>18</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62"/>
      <c r="Q13" s="1343">
        <f t="shared" si="6"/>
        <v>111</v>
      </c>
      <c r="R13" s="701" t="s">
        <v>18</v>
      </c>
      <c r="S13" s="702">
        <f t="shared" si="0"/>
        <v>100</v>
      </c>
      <c r="T13" s="701" t="s">
        <v>18</v>
      </c>
      <c r="U13" s="702">
        <f t="shared" si="1"/>
        <v>100</v>
      </c>
      <c r="V13" s="701" t="s">
        <v>18</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62"/>
      <c r="Q14" s="1343">
        <f t="shared" si="6"/>
        <v>111</v>
      </c>
      <c r="R14" s="701" t="s">
        <v>18</v>
      </c>
      <c r="S14" s="702">
        <f t="shared" si="0"/>
        <v>100</v>
      </c>
      <c r="T14" s="701" t="s">
        <v>18</v>
      </c>
      <c r="U14" s="702">
        <f t="shared" si="1"/>
        <v>100</v>
      </c>
      <c r="V14" s="701" t="s">
        <v>18</v>
      </c>
      <c r="W14" s="702">
        <f t="shared" si="2"/>
        <v>100</v>
      </c>
      <c r="X14" s="703"/>
      <c r="Y14" s="37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0" t="s">
        <v>1691</v>
      </c>
      <c r="Q15" s="1352" t="str">
        <f t="shared" si="6"/>
        <v>居住社区成熟度</v>
      </c>
      <c r="R15" s="705" t="s">
        <v>18</v>
      </c>
      <c r="S15" s="706">
        <f t="shared" si="0"/>
        <v>100</v>
      </c>
      <c r="T15" s="705" t="s">
        <v>18</v>
      </c>
      <c r="U15" s="706">
        <f t="shared" si="1"/>
        <v>100</v>
      </c>
      <c r="V15" s="705" t="s">
        <v>18</v>
      </c>
      <c r="W15" s="706">
        <f t="shared" si="2"/>
        <v>100</v>
      </c>
      <c r="X15" s="1355"/>
      <c r="Y15" s="38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61"/>
      <c r="Q16" s="1352"/>
      <c r="R16" s="705"/>
      <c r="S16" s="706"/>
      <c r="T16" s="705"/>
      <c r="U16" s="706"/>
      <c r="V16" s="705"/>
      <c r="W16" s="706"/>
      <c r="X16" s="1355"/>
      <c r="Y16" s="38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61"/>
      <c r="Q17" s="1352" t="str">
        <f>B17</f>
        <v>交通便捷度</v>
      </c>
      <c r="R17" s="705" t="s">
        <v>18</v>
      </c>
      <c r="S17" s="706">
        <f>F17</f>
        <v>100</v>
      </c>
      <c r="T17" s="705" t="s">
        <v>18</v>
      </c>
      <c r="U17" s="706">
        <f>H17</f>
        <v>100</v>
      </c>
      <c r="V17" s="705" t="s">
        <v>18</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61"/>
      <c r="Q18" s="1352"/>
      <c r="R18" s="705"/>
      <c r="S18" s="706"/>
      <c r="T18" s="705"/>
      <c r="U18" s="706"/>
      <c r="V18" s="705"/>
      <c r="W18" s="706"/>
      <c r="X18" s="1355"/>
      <c r="Y18" s="38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61"/>
      <c r="Q19" s="1352" t="str">
        <f>B19</f>
        <v>公共配套设施</v>
      </c>
      <c r="R19" s="705" t="s">
        <v>18</v>
      </c>
      <c r="S19" s="706">
        <f>F19</f>
        <v>100</v>
      </c>
      <c r="T19" s="705" t="s">
        <v>18</v>
      </c>
      <c r="U19" s="706">
        <f>H19</f>
        <v>100</v>
      </c>
      <c r="V19" s="705" t="s">
        <v>18</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61"/>
      <c r="Q20" s="1352"/>
      <c r="R20" s="705"/>
      <c r="S20" s="706"/>
      <c r="T20" s="705"/>
      <c r="U20" s="706"/>
      <c r="V20" s="705"/>
      <c r="W20" s="706"/>
      <c r="X20" s="1355"/>
      <c r="Y20" s="38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61"/>
      <c r="Q22" s="1352"/>
      <c r="R22" s="705"/>
      <c r="S22" s="706"/>
      <c r="T22" s="705"/>
      <c r="U22" s="706"/>
      <c r="V22" s="705"/>
      <c r="W22" s="706"/>
      <c r="X22" s="1355"/>
      <c r="Y22" s="38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61"/>
      <c r="Q23" s="1352" t="str">
        <f>B23</f>
        <v>自然及人文环境</v>
      </c>
      <c r="R23" s="705" t="s">
        <v>18</v>
      </c>
      <c r="S23" s="706">
        <f>F23</f>
        <v>100</v>
      </c>
      <c r="T23" s="705" t="s">
        <v>18</v>
      </c>
      <c r="U23" s="706">
        <f>H23</f>
        <v>100</v>
      </c>
      <c r="V23" s="705" t="s">
        <v>18</v>
      </c>
      <c r="W23" s="706">
        <f>J23</f>
        <v>100</v>
      </c>
      <c r="X23" s="1355"/>
      <c r="Y23" s="38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61"/>
      <c r="Q24" s="1352"/>
      <c r="R24" s="705"/>
      <c r="S24" s="706"/>
      <c r="T24" s="705"/>
      <c r="U24" s="706"/>
      <c r="V24" s="705"/>
      <c r="W24" s="706"/>
      <c r="X24" s="1355"/>
      <c r="Y24" s="385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4"/>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3399</v>
      </c>
      <c r="F26" s="386">
        <f>SUMIF(88:88,E26,89:89)-SUMIF(88:88,C26,89:89)+100</f>
        <v>98</v>
      </c>
      <c r="G26" s="1907" t="s">
        <v>3401</v>
      </c>
      <c r="H26" s="386">
        <f>SUMIF(88:88,G26,89:89)-SUMIF(88:88,C26,89:89)+100</f>
        <v>96</v>
      </c>
      <c r="I26" s="1907" t="s">
        <v>3401</v>
      </c>
      <c r="J26" s="386">
        <f>SUMIF(88:88,I26,89:89)-SUMIF(88:88,C26,89:89)+100</f>
        <v>96</v>
      </c>
      <c r="K26" s="377">
        <v>2</v>
      </c>
      <c r="L26" s="2722"/>
      <c r="M26" s="2716"/>
      <c r="N26" s="2716"/>
      <c r="O26" s="2716"/>
      <c r="P26" s="3861"/>
      <c r="Q26" s="1352" t="str">
        <f t="shared" si="11"/>
        <v>朝向</v>
      </c>
      <c r="R26" s="705" t="s">
        <v>18</v>
      </c>
      <c r="S26" s="706">
        <f t="shared" si="12"/>
        <v>98</v>
      </c>
      <c r="T26" s="705" t="s">
        <v>18</v>
      </c>
      <c r="U26" s="706">
        <f t="shared" si="13"/>
        <v>96</v>
      </c>
      <c r="V26" s="705" t="s">
        <v>18</v>
      </c>
      <c r="W26" s="706">
        <f t="shared" si="14"/>
        <v>96</v>
      </c>
      <c r="X26" s="1355"/>
      <c r="Y26" s="3854"/>
      <c r="Z26" s="1356" t="str">
        <f>Q26</f>
        <v>朝向</v>
      </c>
      <c r="AA26" s="1353">
        <f t="shared" si="15"/>
        <v>1.0204081632653061</v>
      </c>
      <c r="AB26" s="1353">
        <f t="shared" si="16"/>
        <v>1.0416666666666667</v>
      </c>
      <c r="AC26" s="1353">
        <f t="shared" si="17"/>
        <v>1.0416666666666667</v>
      </c>
    </row>
    <row r="27" spans="1:29" s="108" customFormat="1" ht="15">
      <c r="A27" s="382"/>
      <c r="B27" s="3451" t="s">
        <v>3403</v>
      </c>
      <c r="C27" s="416" t="s">
        <v>3404</v>
      </c>
      <c r="D27" s="413">
        <v>100</v>
      </c>
      <c r="E27" s="416" t="s">
        <v>3982</v>
      </c>
      <c r="F27" s="413">
        <f>SUMIF(90:90,E27,91:91)-SUMIF(90:90,C27,91:91)+100</f>
        <v>100</v>
      </c>
      <c r="G27" s="414" t="s">
        <v>3404</v>
      </c>
      <c r="H27" s="413">
        <f>SUMIF(90:90,G27,91:91)-SUMIF(90:90,C27,91:91)+100</f>
        <v>100</v>
      </c>
      <c r="I27" s="3626" t="s">
        <v>3983</v>
      </c>
      <c r="J27" s="3627">
        <f>SUMIF(90:90,I27,91:91)-SUMIF(90:90,C27,91:91)+100</f>
        <v>99</v>
      </c>
      <c r="K27" s="1894"/>
      <c r="L27" s="2717"/>
      <c r="M27" s="2718"/>
      <c r="N27" s="2718"/>
      <c r="O27" s="2718"/>
      <c r="P27" s="3861"/>
      <c r="Q27" s="1343" t="str">
        <f t="shared" si="11"/>
        <v>楼层</v>
      </c>
      <c r="R27" s="701" t="s">
        <v>18</v>
      </c>
      <c r="S27" s="702">
        <f t="shared" si="12"/>
        <v>100</v>
      </c>
      <c r="T27" s="701" t="s">
        <v>18</v>
      </c>
      <c r="U27" s="702">
        <f t="shared" si="13"/>
        <v>100</v>
      </c>
      <c r="V27" s="701" t="s">
        <v>18</v>
      </c>
      <c r="W27" s="702">
        <f t="shared" si="14"/>
        <v>99</v>
      </c>
      <c r="X27" s="703"/>
      <c r="Y27" s="3854"/>
      <c r="Z27" s="52" t="str">
        <f>Q27</f>
        <v>楼层</v>
      </c>
      <c r="AA27" s="1353">
        <f t="shared" si="15"/>
        <v>1</v>
      </c>
      <c r="AB27" s="1353">
        <f t="shared" si="16"/>
        <v>1</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61"/>
      <c r="Q28" s="1352">
        <f t="shared" si="11"/>
        <v>111</v>
      </c>
      <c r="R28" s="705" t="s">
        <v>18</v>
      </c>
      <c r="S28" s="706">
        <f t="shared" si="12"/>
        <v>100</v>
      </c>
      <c r="T28" s="705" t="s">
        <v>18</v>
      </c>
      <c r="U28" s="706">
        <f t="shared" si="13"/>
        <v>100</v>
      </c>
      <c r="V28" s="705" t="s">
        <v>18</v>
      </c>
      <c r="W28" s="706">
        <f t="shared" si="14"/>
        <v>100</v>
      </c>
      <c r="X28" s="1355"/>
      <c r="Y28" s="38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61"/>
      <c r="Q29" s="1352">
        <f t="shared" si="11"/>
        <v>111</v>
      </c>
      <c r="R29" s="705" t="s">
        <v>18</v>
      </c>
      <c r="S29" s="706">
        <f t="shared" si="12"/>
        <v>100</v>
      </c>
      <c r="T29" s="705" t="s">
        <v>18</v>
      </c>
      <c r="U29" s="706">
        <f t="shared" si="13"/>
        <v>100</v>
      </c>
      <c r="V29" s="705" t="s">
        <v>18</v>
      </c>
      <c r="W29" s="706">
        <f t="shared" si="14"/>
        <v>100</v>
      </c>
      <c r="X29" s="1355"/>
      <c r="Y29" s="38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61"/>
      <c r="Q30" s="1352">
        <f t="shared" si="11"/>
        <v>111</v>
      </c>
      <c r="R30" s="705" t="s">
        <v>18</v>
      </c>
      <c r="S30" s="706">
        <f t="shared" si="12"/>
        <v>100</v>
      </c>
      <c r="T30" s="705" t="s">
        <v>18</v>
      </c>
      <c r="U30" s="706">
        <f t="shared" si="13"/>
        <v>100</v>
      </c>
      <c r="V30" s="705" t="s">
        <v>18</v>
      </c>
      <c r="W30" s="706">
        <f t="shared" si="14"/>
        <v>100</v>
      </c>
      <c r="X30" s="1355"/>
      <c r="Y30" s="38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61"/>
      <c r="Q31" s="1352">
        <f t="shared" si="11"/>
        <v>111</v>
      </c>
      <c r="R31" s="705" t="s">
        <v>18</v>
      </c>
      <c r="S31" s="706">
        <f t="shared" si="12"/>
        <v>100</v>
      </c>
      <c r="T31" s="705" t="s">
        <v>18</v>
      </c>
      <c r="U31" s="706">
        <f t="shared" si="13"/>
        <v>100</v>
      </c>
      <c r="V31" s="705" t="s">
        <v>18</v>
      </c>
      <c r="W31" s="706">
        <f t="shared" si="14"/>
        <v>100</v>
      </c>
      <c r="X31" s="1355"/>
      <c r="Y31" s="3854"/>
      <c r="Z31" s="1356">
        <f t="shared" si="18"/>
        <v>111</v>
      </c>
      <c r="AA31" s="1353">
        <f t="shared" si="15"/>
        <v>1</v>
      </c>
      <c r="AB31" s="1353">
        <f t="shared" si="16"/>
        <v>1</v>
      </c>
      <c r="AC31" s="1353">
        <f t="shared" si="17"/>
        <v>1</v>
      </c>
    </row>
    <row r="32" spans="1:29" ht="15">
      <c r="A32" s="391" t="s">
        <v>1694</v>
      </c>
      <c r="B32" s="63" t="s">
        <v>1695</v>
      </c>
      <c r="C32" s="1910" t="s">
        <v>3984</v>
      </c>
      <c r="D32" s="418">
        <v>100</v>
      </c>
      <c r="E32" s="3628" t="s">
        <v>3986</v>
      </c>
      <c r="F32" s="3629">
        <f>SUMIF(100:100,E32,101:101)-SUMIF(100:100,C32,101:101)+100</f>
        <v>98</v>
      </c>
      <c r="G32" s="1910" t="s">
        <v>3984</v>
      </c>
      <c r="H32" s="418">
        <f>SUMIF(100:100,G32,101:101)-SUMIF(100:100,C32,101:101)+100</f>
        <v>100</v>
      </c>
      <c r="I32" s="1911" t="s">
        <v>3984</v>
      </c>
      <c r="J32" s="386">
        <f>SUMIF(100:100,I32,101:101)-SUMIF(100:100,C32,101:101)+100</f>
        <v>100</v>
      </c>
      <c r="K32" s="377">
        <v>2</v>
      </c>
      <c r="L32" s="2722"/>
      <c r="M32" s="2716"/>
      <c r="N32" s="2716"/>
      <c r="O32" s="2716"/>
      <c r="P32" s="3855" t="s">
        <v>1696</v>
      </c>
      <c r="Q32" s="1352" t="str">
        <f t="shared" si="11"/>
        <v>建筑类型</v>
      </c>
      <c r="R32" s="705" t="s">
        <v>18</v>
      </c>
      <c r="S32" s="706">
        <f t="shared" si="12"/>
        <v>98</v>
      </c>
      <c r="T32" s="705" t="s">
        <v>18</v>
      </c>
      <c r="U32" s="706">
        <f t="shared" si="13"/>
        <v>100</v>
      </c>
      <c r="V32" s="705" t="s">
        <v>18</v>
      </c>
      <c r="W32" s="706">
        <f t="shared" si="14"/>
        <v>100</v>
      </c>
      <c r="X32" s="1355"/>
      <c r="Y32" s="3858" t="s">
        <v>1696</v>
      </c>
      <c r="Z32" s="1356" t="str">
        <f t="shared" si="18"/>
        <v>建筑类型</v>
      </c>
      <c r="AA32" s="1353">
        <f t="shared" si="15"/>
        <v>1.0204081632653061</v>
      </c>
      <c r="AB32" s="1353">
        <f t="shared" si="16"/>
        <v>1</v>
      </c>
      <c r="AC32" s="1353">
        <f t="shared" si="17"/>
        <v>1</v>
      </c>
    </row>
    <row r="33" spans="1:29" s="422" customFormat="1" ht="15">
      <c r="A33" s="419"/>
      <c r="B33" s="375" t="s">
        <v>1697</v>
      </c>
      <c r="C33" s="420">
        <f>'数据-基础表'!I13</f>
        <v>62.6</v>
      </c>
      <c r="D33" s="127">
        <v>100</v>
      </c>
      <c r="E33" s="381">
        <v>45.1</v>
      </c>
      <c r="F33" s="376">
        <f>LOOKUP(E33,103:103,104:104)-LOOKUP(C33,103:103,104:104)+100</f>
        <v>102</v>
      </c>
      <c r="G33" s="380">
        <v>61.2</v>
      </c>
      <c r="H33" s="127">
        <f>LOOKUP(G33,103:103,104:104)-LOOKUP(C33,103:103,104:104)+100</f>
        <v>100</v>
      </c>
      <c r="I33" s="381">
        <v>68.05</v>
      </c>
      <c r="J33" s="127">
        <f>LOOKUP(I33,103:103,104:104)-LOOKUP(C33,103:103,104:104)+100</f>
        <v>100</v>
      </c>
      <c r="K33" s="1894"/>
      <c r="L33" s="2721"/>
      <c r="M33" s="2723"/>
      <c r="N33" s="2723"/>
      <c r="O33" s="2723"/>
      <c r="P33" s="3856"/>
      <c r="Q33" s="707" t="str">
        <f t="shared" si="11"/>
        <v>项目建筑规模</v>
      </c>
      <c r="R33" s="708" t="s">
        <v>18</v>
      </c>
      <c r="S33" s="709">
        <f t="shared" si="12"/>
        <v>102</v>
      </c>
      <c r="T33" s="708" t="s">
        <v>18</v>
      </c>
      <c r="U33" s="709">
        <f t="shared" si="13"/>
        <v>100</v>
      </c>
      <c r="V33" s="708" t="s">
        <v>18</v>
      </c>
      <c r="W33" s="709">
        <f t="shared" si="14"/>
        <v>100</v>
      </c>
      <c r="X33" s="710"/>
      <c r="Y33" s="3858"/>
      <c r="Z33" s="711" t="str">
        <f t="shared" si="18"/>
        <v>项目建筑规模</v>
      </c>
      <c r="AA33" s="1353">
        <f t="shared" si="15"/>
        <v>0.98039215686274506</v>
      </c>
      <c r="AB33" s="1353">
        <f t="shared" si="16"/>
        <v>1</v>
      </c>
      <c r="AC33" s="1353">
        <f t="shared" si="17"/>
        <v>1</v>
      </c>
    </row>
    <row r="34" spans="1:29" ht="15">
      <c r="A34" s="423"/>
      <c r="B34" s="375" t="s">
        <v>1698</v>
      </c>
      <c r="C34" s="1912" t="s">
        <v>3990</v>
      </c>
      <c r="D34" s="386">
        <v>100</v>
      </c>
      <c r="E34" s="3630" t="s">
        <v>3988</v>
      </c>
      <c r="F34" s="3629">
        <f>SUMIF(105:105,E34,106:106)-SUMIF(105:105,C34,106:106)+100</f>
        <v>102</v>
      </c>
      <c r="G34" s="1912" t="s">
        <v>3990</v>
      </c>
      <c r="H34" s="386">
        <f>SUMIF(105:105,G34,106:106)-SUMIF(105:105,C34,106:106)+100</f>
        <v>100</v>
      </c>
      <c r="I34" s="1913" t="s">
        <v>3990</v>
      </c>
      <c r="J34" s="386">
        <f>SUMIF(105:105,I34,106:106)-SUMIF(105:105,C34,106:106)+100</f>
        <v>100</v>
      </c>
      <c r="K34" s="377">
        <v>2</v>
      </c>
      <c r="L34" s="2722"/>
      <c r="M34" s="2716"/>
      <c r="N34" s="2716"/>
      <c r="O34" s="2716"/>
      <c r="P34" s="3856"/>
      <c r="Q34" s="1352" t="str">
        <f t="shared" si="11"/>
        <v>建筑结构</v>
      </c>
      <c r="R34" s="705" t="s">
        <v>18</v>
      </c>
      <c r="S34" s="706">
        <f t="shared" si="12"/>
        <v>102</v>
      </c>
      <c r="T34" s="705" t="s">
        <v>18</v>
      </c>
      <c r="U34" s="706">
        <f t="shared" si="13"/>
        <v>100</v>
      </c>
      <c r="V34" s="705" t="s">
        <v>18</v>
      </c>
      <c r="W34" s="706">
        <f t="shared" si="14"/>
        <v>100</v>
      </c>
      <c r="X34" s="1355"/>
      <c r="Y34" s="3858"/>
      <c r="Z34" s="1356" t="str">
        <f t="shared" si="18"/>
        <v>建筑结构</v>
      </c>
      <c r="AA34" s="1353">
        <f t="shared" si="15"/>
        <v>0.98039215686274506</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56"/>
      <c r="Q35" s="1352" t="str">
        <f t="shared" si="11"/>
        <v>建筑品质</v>
      </c>
      <c r="R35" s="705" t="s">
        <v>18</v>
      </c>
      <c r="S35" s="706">
        <f t="shared" si="12"/>
        <v>100</v>
      </c>
      <c r="T35" s="705" t="s">
        <v>18</v>
      </c>
      <c r="U35" s="706">
        <f t="shared" si="13"/>
        <v>100</v>
      </c>
      <c r="V35" s="705" t="s">
        <v>18</v>
      </c>
      <c r="W35" s="706">
        <f t="shared" si="14"/>
        <v>100</v>
      </c>
      <c r="X35" s="1355"/>
      <c r="Y35" s="38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56"/>
      <c r="Q36" s="1352" t="str">
        <f t="shared" si="11"/>
        <v>公共部分装修</v>
      </c>
      <c r="R36" s="705" t="s">
        <v>18</v>
      </c>
      <c r="S36" s="706">
        <f t="shared" si="12"/>
        <v>100</v>
      </c>
      <c r="T36" s="705" t="s">
        <v>18</v>
      </c>
      <c r="U36" s="706">
        <f t="shared" si="13"/>
        <v>100</v>
      </c>
      <c r="V36" s="705" t="s">
        <v>18</v>
      </c>
      <c r="W36" s="706">
        <f t="shared" si="14"/>
        <v>100</v>
      </c>
      <c r="X36" s="1355"/>
      <c r="Y36" s="3858"/>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v>0.75</v>
      </c>
      <c r="F37" s="376">
        <f>LOOKUP(E37,112:112,113:113)-LOOKUP(C37,112:112,113:113)+100</f>
        <v>100</v>
      </c>
      <c r="G37" s="427">
        <v>0.75</v>
      </c>
      <c r="H37" s="127">
        <f>LOOKUP(G37,112:112,113:113)-LOOKUP(C37,112:112,113:113)+100</f>
        <v>100</v>
      </c>
      <c r="I37" s="426">
        <v>0.8</v>
      </c>
      <c r="J37" s="127">
        <f>LOOKUP(I37,112:112,113:113)-LOOKUP(C37,112:112,113:113)+100</f>
        <v>101</v>
      </c>
      <c r="K37" s="377">
        <v>1</v>
      </c>
      <c r="L37" s="2717"/>
      <c r="M37" s="2718"/>
      <c r="N37" s="2718"/>
      <c r="O37" s="2718"/>
      <c r="P37" s="3856"/>
      <c r="Q37" s="1343" t="str">
        <f t="shared" si="11"/>
        <v>成新度</v>
      </c>
      <c r="R37" s="701" t="s">
        <v>18</v>
      </c>
      <c r="S37" s="702">
        <f t="shared" si="12"/>
        <v>100</v>
      </c>
      <c r="T37" s="701" t="s">
        <v>18</v>
      </c>
      <c r="U37" s="702">
        <f t="shared" si="13"/>
        <v>100</v>
      </c>
      <c r="V37" s="701" t="s">
        <v>18</v>
      </c>
      <c r="W37" s="702">
        <f t="shared" si="14"/>
        <v>101</v>
      </c>
      <c r="X37" s="703"/>
      <c r="Y37" s="3858"/>
      <c r="Z37" s="52" t="str">
        <f t="shared" si="18"/>
        <v>成新度</v>
      </c>
      <c r="AA37" s="704">
        <f t="shared" si="15"/>
        <v>1</v>
      </c>
      <c r="AB37" s="704">
        <f t="shared" si="16"/>
        <v>1</v>
      </c>
      <c r="AC37" s="704">
        <f t="shared" si="17"/>
        <v>0.99009900990099009</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56" t="s">
        <v>1696</v>
      </c>
      <c r="Q38" s="1352" t="str">
        <f t="shared" si="11"/>
        <v>物业管理</v>
      </c>
      <c r="R38" s="705" t="s">
        <v>18</v>
      </c>
      <c r="S38" s="706">
        <f t="shared" si="12"/>
        <v>100</v>
      </c>
      <c r="T38" s="705" t="s">
        <v>18</v>
      </c>
      <c r="U38" s="706">
        <f t="shared" si="13"/>
        <v>100</v>
      </c>
      <c r="V38" s="705" t="s">
        <v>18</v>
      </c>
      <c r="W38" s="706">
        <f t="shared" si="14"/>
        <v>100</v>
      </c>
      <c r="X38" s="1355"/>
      <c r="Y38" s="38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56"/>
      <c r="Q39" s="1352" t="str">
        <f t="shared" si="11"/>
        <v>市政基础设施</v>
      </c>
      <c r="R39" s="705" t="s">
        <v>18</v>
      </c>
      <c r="S39" s="706">
        <f t="shared" si="12"/>
        <v>100</v>
      </c>
      <c r="T39" s="705" t="s">
        <v>18</v>
      </c>
      <c r="U39" s="706">
        <f t="shared" si="13"/>
        <v>100</v>
      </c>
      <c r="V39" s="705" t="s">
        <v>18</v>
      </c>
      <c r="W39" s="706">
        <f t="shared" si="14"/>
        <v>100</v>
      </c>
      <c r="X39" s="1355"/>
      <c r="Y39" s="38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56"/>
      <c r="Q40" s="1352" t="str">
        <f t="shared" si="11"/>
        <v>房型</v>
      </c>
      <c r="R40" s="705" t="s">
        <v>18</v>
      </c>
      <c r="S40" s="706">
        <f t="shared" si="12"/>
        <v>100</v>
      </c>
      <c r="T40" s="705" t="s">
        <v>18</v>
      </c>
      <c r="U40" s="706">
        <f t="shared" si="13"/>
        <v>100</v>
      </c>
      <c r="V40" s="705" t="s">
        <v>18</v>
      </c>
      <c r="W40" s="706">
        <f t="shared" si="14"/>
        <v>100</v>
      </c>
      <c r="X40" s="1355"/>
      <c r="Y40" s="38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56"/>
      <c r="Q41" s="707" t="str">
        <f t="shared" si="11"/>
        <v>单套/主力户型建筑面积</v>
      </c>
      <c r="R41" s="708" t="s">
        <v>18</v>
      </c>
      <c r="S41" s="709">
        <f t="shared" si="12"/>
        <v>100</v>
      </c>
      <c r="T41" s="708" t="s">
        <v>18</v>
      </c>
      <c r="U41" s="709">
        <f t="shared" si="13"/>
        <v>100</v>
      </c>
      <c r="V41" s="708" t="s">
        <v>18</v>
      </c>
      <c r="W41" s="709">
        <f t="shared" si="14"/>
        <v>100</v>
      </c>
      <c r="X41" s="710"/>
      <c r="Y41" s="3858"/>
      <c r="Z41" s="711" t="str">
        <f t="shared" si="18"/>
        <v>单套/主力户型建筑面积</v>
      </c>
      <c r="AA41" s="1353">
        <f t="shared" si="15"/>
        <v>1</v>
      </c>
      <c r="AB41" s="1353">
        <f t="shared" si="16"/>
        <v>1</v>
      </c>
      <c r="AC41" s="1353">
        <f t="shared" si="17"/>
        <v>1</v>
      </c>
    </row>
    <row r="42" spans="1:29" ht="15">
      <c r="A42" s="423"/>
      <c r="B42" s="375" t="s">
        <v>1706</v>
      </c>
      <c r="C42" s="1906" t="s">
        <v>3995</v>
      </c>
      <c r="D42" s="386">
        <v>100</v>
      </c>
      <c r="E42" s="1907" t="s">
        <v>3992</v>
      </c>
      <c r="F42" s="412">
        <f>SUMIF(122:122,E42,123:123)-SUMIF(122:122,C42,123:123)+100</f>
        <v>101</v>
      </c>
      <c r="G42" s="1906" t="s">
        <v>3992</v>
      </c>
      <c r="H42" s="386">
        <f>SUMIF(122:122,G42,123:123)-SUMIF(122:122,C42,123:123)+100</f>
        <v>101</v>
      </c>
      <c r="I42" s="1907" t="s">
        <v>3992</v>
      </c>
      <c r="J42" s="386">
        <f>SUMIF(122:122,I42,123:123)-SUMIF(122:122,C42,123:123)+100</f>
        <v>101</v>
      </c>
      <c r="K42" s="377">
        <v>1</v>
      </c>
      <c r="L42" s="2722"/>
      <c r="M42" s="2716"/>
      <c r="N42" s="2716"/>
      <c r="O42" s="2716"/>
      <c r="P42" s="3856"/>
      <c r="Q42" s="1352" t="str">
        <f t="shared" si="11"/>
        <v>内部装修</v>
      </c>
      <c r="R42" s="705" t="s">
        <v>18</v>
      </c>
      <c r="S42" s="706">
        <f t="shared" si="12"/>
        <v>101</v>
      </c>
      <c r="T42" s="705" t="s">
        <v>18</v>
      </c>
      <c r="U42" s="706">
        <f t="shared" si="13"/>
        <v>101</v>
      </c>
      <c r="V42" s="705" t="s">
        <v>18</v>
      </c>
      <c r="W42" s="706">
        <f t="shared" si="14"/>
        <v>101</v>
      </c>
      <c r="X42" s="1355"/>
      <c r="Y42" s="3858"/>
      <c r="Z42" s="1356" t="str">
        <f t="shared" si="18"/>
        <v>内部装修</v>
      </c>
      <c r="AA42" s="1353">
        <f t="shared" si="15"/>
        <v>0.99009900990099009</v>
      </c>
      <c r="AB42" s="1353">
        <f t="shared" si="16"/>
        <v>0.99009900990099009</v>
      </c>
      <c r="AC42" s="1353">
        <f t="shared" si="17"/>
        <v>0.99009900990099009</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56"/>
      <c r="Q43" s="1352" t="str">
        <f t="shared" si="11"/>
        <v>内部装修维护情况</v>
      </c>
      <c r="R43" s="705" t="s">
        <v>18</v>
      </c>
      <c r="S43" s="706">
        <f t="shared" si="12"/>
        <v>100</v>
      </c>
      <c r="T43" s="705" t="s">
        <v>18</v>
      </c>
      <c r="U43" s="706">
        <f t="shared" si="13"/>
        <v>100</v>
      </c>
      <c r="V43" s="705" t="s">
        <v>18</v>
      </c>
      <c r="W43" s="706">
        <f t="shared" si="14"/>
        <v>100</v>
      </c>
      <c r="X43" s="1355"/>
      <c r="Y43" s="3858"/>
      <c r="Z43" s="1356" t="str">
        <f t="shared" si="18"/>
        <v>内部装修维护情况</v>
      </c>
      <c r="AA43" s="1353">
        <f t="shared" si="15"/>
        <v>1</v>
      </c>
      <c r="AB43" s="1353">
        <f t="shared" si="16"/>
        <v>1</v>
      </c>
      <c r="AC43" s="1353">
        <f t="shared" si="17"/>
        <v>1</v>
      </c>
    </row>
    <row r="44" spans="1:29" s="108" customFormat="1" ht="15">
      <c r="A44" s="424"/>
      <c r="B44" s="3451" t="s">
        <v>3997</v>
      </c>
      <c r="C44" s="420">
        <v>1990</v>
      </c>
      <c r="D44" s="127">
        <v>100</v>
      </c>
      <c r="E44" s="420">
        <v>1991</v>
      </c>
      <c r="F44" s="376">
        <f>SUMIF(126:126,E44,127:127)-SUMIF(126:126,C44,127:127)+100</f>
        <v>100</v>
      </c>
      <c r="G44" s="420">
        <v>1994</v>
      </c>
      <c r="H44" s="127">
        <f>SUMIF(126:126,G44,127:127)-SUMIF(126:126,C44,127:127)+100</f>
        <v>100</v>
      </c>
      <c r="I44" s="420">
        <v>2002</v>
      </c>
      <c r="J44" s="127">
        <f>SUMIF(126:126,I44,127:127)-SUMIF(126:126,C44,127:127)+100</f>
        <v>100</v>
      </c>
      <c r="K44" s="1894"/>
      <c r="L44" s="2717"/>
      <c r="M44" s="2718"/>
      <c r="N44" s="2718"/>
      <c r="O44" s="2718"/>
      <c r="P44" s="3856"/>
      <c r="Q44" s="1343" t="str">
        <f t="shared" si="11"/>
        <v>建成年代</v>
      </c>
      <c r="R44" s="701" t="s">
        <v>18</v>
      </c>
      <c r="S44" s="702">
        <f t="shared" si="12"/>
        <v>100</v>
      </c>
      <c r="T44" s="701" t="s">
        <v>18</v>
      </c>
      <c r="U44" s="702">
        <f t="shared" si="13"/>
        <v>100</v>
      </c>
      <c r="V44" s="701" t="s">
        <v>18</v>
      </c>
      <c r="W44" s="702">
        <f t="shared" si="14"/>
        <v>100</v>
      </c>
      <c r="X44" s="703"/>
      <c r="Y44" s="3858"/>
      <c r="Z44" s="52" t="str">
        <f t="shared" si="18"/>
        <v>建成年代</v>
      </c>
      <c r="AA44" s="704">
        <f t="shared" si="15"/>
        <v>1</v>
      </c>
      <c r="AB44" s="704">
        <f t="shared" si="16"/>
        <v>1</v>
      </c>
      <c r="AC44" s="704">
        <f t="shared" si="17"/>
        <v>1</v>
      </c>
    </row>
    <row r="45" spans="1:29" ht="15">
      <c r="A45" s="423"/>
      <c r="B45" s="3451" t="s">
        <v>4001</v>
      </c>
      <c r="C45" s="3631" t="s">
        <v>4002</v>
      </c>
      <c r="D45" s="386">
        <v>100</v>
      </c>
      <c r="E45" s="3631" t="s">
        <v>4003</v>
      </c>
      <c r="F45" s="412">
        <f>SUMIF(128:128,E45,129:129)-SUMIF(128:128,C45,129:129)+100</f>
        <v>101</v>
      </c>
      <c r="G45" s="3631" t="s">
        <v>4002</v>
      </c>
      <c r="H45" s="386">
        <f>SUMIF(128:128,G45,129:129)-SUMIF(128:128,C45,129:129)+100</f>
        <v>100</v>
      </c>
      <c r="I45" s="3631" t="s">
        <v>4002</v>
      </c>
      <c r="J45" s="386">
        <f>SUMIF(128:128,I45,129:129)-SUMIF(128:128,C45,129:129)+100</f>
        <v>100</v>
      </c>
      <c r="K45" s="1894"/>
      <c r="L45" s="2722"/>
      <c r="M45" s="2716"/>
      <c r="N45" s="2716"/>
      <c r="O45" s="2716"/>
      <c r="P45" s="3856"/>
      <c r="Q45" s="1352" t="str">
        <f t="shared" si="11"/>
        <v>电梯</v>
      </c>
      <c r="R45" s="705" t="s">
        <v>18</v>
      </c>
      <c r="S45" s="706">
        <f t="shared" si="12"/>
        <v>101</v>
      </c>
      <c r="T45" s="705" t="s">
        <v>18</v>
      </c>
      <c r="U45" s="706">
        <f t="shared" si="13"/>
        <v>100</v>
      </c>
      <c r="V45" s="705" t="s">
        <v>18</v>
      </c>
      <c r="W45" s="706">
        <f t="shared" si="14"/>
        <v>100</v>
      </c>
      <c r="X45" s="1355"/>
      <c r="Y45" s="3858"/>
      <c r="Z45" s="1356" t="str">
        <f t="shared" si="18"/>
        <v>电梯</v>
      </c>
      <c r="AA45" s="1353">
        <f t="shared" si="15"/>
        <v>0.99009900990099009</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57"/>
      <c r="Q46" s="1352">
        <f t="shared" si="11"/>
        <v>111</v>
      </c>
      <c r="R46" s="705" t="s">
        <v>17</v>
      </c>
      <c r="S46" s="706">
        <f t="shared" si="12"/>
        <v>100</v>
      </c>
      <c r="T46" s="705" t="s">
        <v>17</v>
      </c>
      <c r="U46" s="706">
        <f t="shared" si="13"/>
        <v>100</v>
      </c>
      <c r="V46" s="705" t="s">
        <v>17</v>
      </c>
      <c r="W46" s="706">
        <f t="shared" si="14"/>
        <v>100</v>
      </c>
      <c r="X46" s="1355"/>
      <c r="Y46" s="3859"/>
      <c r="Z46" s="1356">
        <f t="shared" si="18"/>
        <v>111</v>
      </c>
      <c r="AA46" s="1353">
        <f t="shared" si="15"/>
        <v>1</v>
      </c>
      <c r="AB46" s="1353">
        <f t="shared" si="16"/>
        <v>1</v>
      </c>
      <c r="AC46" s="1353">
        <f t="shared" si="17"/>
        <v>1</v>
      </c>
    </row>
    <row r="47" spans="1:29" ht="15">
      <c r="A47" s="430" t="s">
        <v>1708</v>
      </c>
      <c r="B47" s="431"/>
      <c r="C47" s="1154" t="s">
        <v>16</v>
      </c>
      <c r="D47" s="1155"/>
      <c r="E47" s="1156">
        <v>72284</v>
      </c>
      <c r="F47" s="1157"/>
      <c r="G47" s="1158">
        <v>63725</v>
      </c>
      <c r="H47" s="1159"/>
      <c r="I47" s="1156">
        <v>68563</v>
      </c>
      <c r="J47" s="1159"/>
      <c r="K47" s="1914"/>
      <c r="L47" s="2724"/>
      <c r="M47" s="2725"/>
      <c r="N47" s="2716"/>
      <c r="O47" s="2725"/>
      <c r="P47" s="3851" t="str">
        <f>A47</f>
        <v>成交单价（元/平方米）</v>
      </c>
      <c r="Q47" s="3851"/>
      <c r="R47" s="3852">
        <f>E47</f>
        <v>72284</v>
      </c>
      <c r="S47" s="3852"/>
      <c r="T47" s="3852">
        <f>G47</f>
        <v>63725</v>
      </c>
      <c r="U47" s="3852"/>
      <c r="V47" s="3852">
        <f>I47</f>
        <v>68563</v>
      </c>
      <c r="W47" s="3852"/>
      <c r="X47" s="690"/>
      <c r="Y47" s="712"/>
      <c r="Z47" s="690"/>
      <c r="AA47" s="690"/>
      <c r="AB47" s="690"/>
      <c r="AC47" s="690"/>
    </row>
    <row r="48" spans="1:29" ht="15.75" thickBot="1">
      <c r="A48" s="437" t="s">
        <v>1709</v>
      </c>
      <c r="B48" s="438"/>
      <c r="C48" s="1160">
        <f>R49</f>
        <v>69939</v>
      </c>
      <c r="D48" s="2317" t="s">
        <v>2138</v>
      </c>
      <c r="E48" s="1161">
        <f>R48</f>
        <v>71633</v>
      </c>
      <c r="F48" s="2318"/>
      <c r="G48" s="1160">
        <f>T48</f>
        <v>66387</v>
      </c>
      <c r="H48" s="2318"/>
      <c r="I48" s="1161">
        <f>V48</f>
        <v>71797</v>
      </c>
      <c r="J48" s="2318"/>
      <c r="K48" s="2319">
        <f>F48+H48+J48</f>
        <v>0</v>
      </c>
      <c r="L48" s="2724"/>
      <c r="M48" s="2725"/>
      <c r="N48" s="2725"/>
      <c r="O48" s="2725"/>
      <c r="P48" s="3851" t="str">
        <f>A48</f>
        <v>比较价值（元/平方米）</v>
      </c>
      <c r="Q48" s="3851"/>
      <c r="R48" s="3852">
        <f>IF(F1="售价",ROUND(PRODUCT(R47,AA7:AA46),0),ROUND(PRODUCT(R47,AA7:AA46),1))</f>
        <v>71633</v>
      </c>
      <c r="S48" s="3852"/>
      <c r="T48" s="3852">
        <f>IF(F1="售价",ROUND(PRODUCT(T47,AB7:AB46),0),ROUND(PRODUCT(T47,AB7:AB46),1))</f>
        <v>66387</v>
      </c>
      <c r="U48" s="3852"/>
      <c r="V48" s="3852">
        <f>IF(F1="售价",ROUND(PRODUCT(V47,AC7:AC46),0),ROUND(PRODUCT(V47,AC7:AC46),1))</f>
        <v>71797</v>
      </c>
      <c r="W48" s="3852"/>
      <c r="X48" s="690"/>
      <c r="Y48" s="690"/>
      <c r="Z48" s="690"/>
      <c r="AA48" s="690"/>
      <c r="AB48" s="690"/>
      <c r="AC48" s="690"/>
    </row>
    <row r="49" spans="1:29" ht="15.75" thickBot="1">
      <c r="A49" s="441" t="s">
        <v>1710</v>
      </c>
      <c r="B49" s="442"/>
      <c r="C49" s="1162">
        <f>R49</f>
        <v>69939</v>
      </c>
      <c r="D49" s="1163"/>
      <c r="E49" s="1163"/>
      <c r="F49" s="1163"/>
      <c r="G49" s="1163"/>
      <c r="H49" s="1163"/>
      <c r="I49" s="1163"/>
      <c r="J49" s="1163"/>
      <c r="K49" s="1915"/>
      <c r="L49" s="2724"/>
      <c r="M49" s="2725"/>
      <c r="N49" s="2725"/>
      <c r="O49" s="2725"/>
      <c r="P49" s="3848" t="str">
        <f>A49</f>
        <v>估价对象XX用房的比较价值（楼面单价，元/平方米）</v>
      </c>
      <c r="Q49" s="3849"/>
      <c r="R49" s="3850">
        <f>IF(F1="售价",ROUND(IF(D48="简单平均",AVERAGE(R48:V48),R48*F48+T48*H48+V48*J48),0),ROUND(IF(D48="简单平均",AVERAGE(R48:V48),R48*F48+T48*H48+V48*J48),1))</f>
        <v>69939</v>
      </c>
      <c r="S49" s="3850"/>
      <c r="T49" s="3850"/>
      <c r="U49" s="3850"/>
      <c r="V49" s="3850"/>
      <c r="W49" s="38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9.0879901721274692E-3</v>
      </c>
      <c r="F52" s="449" t="str">
        <f>IF(OR(E52&gt;=0.3,E52&lt;=-0.3),"超过30%","")</f>
        <v/>
      </c>
      <c r="G52" s="448">
        <f>IF(G47&lt;G48,G48/G47-1,G47/G48-1)</f>
        <v>4.1773244409572419E-2</v>
      </c>
      <c r="H52" s="449" t="str">
        <f>IF(OR(G52&gt;=0.3,G52&lt;=-0.3),"超过30%","")</f>
        <v/>
      </c>
      <c r="I52" s="448">
        <f>IF(I47&lt;I48,I48/I47-1,I47/I48-1)</f>
        <v>4.7168297769934142E-2</v>
      </c>
      <c r="J52" s="449" t="str">
        <f>IF(OR(I52&gt;=0.3,I52&lt;=-0.3),"超过30%","")</f>
        <v/>
      </c>
      <c r="K52" s="2730"/>
      <c r="L52" s="2726"/>
      <c r="M52" s="2725"/>
      <c r="N52" s="2725"/>
      <c r="O52" s="2725"/>
    </row>
    <row r="53" spans="1:29" ht="13.5" customHeight="1">
      <c r="A53" s="2725"/>
      <c r="B53" s="2725"/>
      <c r="C53" s="446" t="s">
        <v>1712</v>
      </c>
      <c r="D53" s="450"/>
      <c r="E53" s="448">
        <f>IF(E48&lt;G48,G48/E48-1,E48/G48-1)</f>
        <v>7.9021495172247658E-2</v>
      </c>
      <c r="F53" s="449" t="str">
        <f>IF(OR(E53&gt;=0.2,E53&lt;=-0.2),"超过20%","")</f>
        <v/>
      </c>
      <c r="G53" s="448">
        <f>IF(G48&lt;I48,I48/G48-1,G48/I48-1)</f>
        <v>8.1491858345760448E-2</v>
      </c>
      <c r="H53" s="449" t="str">
        <f>IF(OR(G53&gt;=0.2,G53&lt;=-0.2),"超过20%","")</f>
        <v/>
      </c>
      <c r="I53" s="448">
        <f>IF(I48&lt;E48,E48/I48-1,I48/E48-1)</f>
        <v>2.2894476009660547E-3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0.13431149470380532</v>
      </c>
      <c r="F54" s="449" t="str">
        <f>IF(OR(E54&gt;=0.3,E54&lt;=-0.3),"超过30%","")</f>
        <v/>
      </c>
      <c r="G54" s="448">
        <f>IF(G47&lt;I47,I47/G47-1,G47/I47-1)</f>
        <v>7.5919968615143274E-2</v>
      </c>
      <c r="H54" s="449" t="str">
        <f>IF(OR(G54&gt;=0.3,G54&lt;=-0.3),"超过30%","")</f>
        <v/>
      </c>
      <c r="I54" s="448">
        <f>IF(I47&lt;E47,E47/I47-1,I47/E47-1)</f>
        <v>5.4271254174992345E-2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2013-10</v>
      </c>
      <c r="D58" s="1185">
        <f>EDATE(C58,-1)</f>
        <v>41518</v>
      </c>
      <c r="E58" s="1185">
        <f>EDATE(D58,-1)</f>
        <v>41487</v>
      </c>
      <c r="F58" s="1185">
        <f t="shared" ref="F58:O58" si="19">EDATE(E58,-1)</f>
        <v>41456</v>
      </c>
      <c r="G58" s="1185">
        <f t="shared" si="19"/>
        <v>41426</v>
      </c>
      <c r="H58" s="1185">
        <f t="shared" si="19"/>
        <v>41395</v>
      </c>
      <c r="I58" s="1185">
        <f t="shared" si="19"/>
        <v>41365</v>
      </c>
      <c r="J58" s="1185">
        <f t="shared" si="19"/>
        <v>41334</v>
      </c>
      <c r="K58" s="1185">
        <f t="shared" si="19"/>
        <v>41306</v>
      </c>
      <c r="L58" s="1185">
        <f t="shared" si="19"/>
        <v>41275</v>
      </c>
      <c r="M58" s="1185">
        <f t="shared" si="19"/>
        <v>41244</v>
      </c>
      <c r="N58" s="1185">
        <f t="shared" si="19"/>
        <v>41214</v>
      </c>
      <c r="O58" s="1185">
        <f t="shared" si="19"/>
        <v>41183</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3398</v>
      </c>
      <c r="D88" s="3450" t="s">
        <v>3400</v>
      </c>
      <c r="E88" s="3450" t="s">
        <v>3402</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75" thickTop="1">
      <c r="A90" s="502"/>
      <c r="B90" s="487" t="str">
        <f>B27</f>
        <v>楼层</v>
      </c>
      <c r="C90" s="3632" t="str">
        <f>C27</f>
        <v>3/6</v>
      </c>
      <c r="D90" s="3632" t="str">
        <f>E27</f>
        <v>8/16</v>
      </c>
      <c r="E90" s="3632" t="str">
        <f>I27</f>
        <v>5/7</v>
      </c>
      <c r="F90" s="503"/>
      <c r="G90" s="503"/>
      <c r="H90" s="504"/>
      <c r="I90" s="504"/>
      <c r="J90" s="504"/>
      <c r="K90" s="504"/>
      <c r="L90" s="505"/>
      <c r="M90" s="506"/>
      <c r="N90" s="935"/>
      <c r="O90" s="935"/>
      <c r="P90" s="1923"/>
      <c r="Q90" s="508"/>
    </row>
    <row r="91" spans="1:17" s="422" customFormat="1" ht="15.75" thickBot="1">
      <c r="A91" s="502"/>
      <c r="B91" s="492"/>
      <c r="C91" s="509">
        <v>100</v>
      </c>
      <c r="D91" s="509">
        <v>100</v>
      </c>
      <c r="E91" s="509">
        <v>99</v>
      </c>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625" t="s">
        <v>3985</v>
      </c>
      <c r="D100" s="3625" t="s">
        <v>3987</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3989</v>
      </c>
      <c r="D105" s="3450" t="s">
        <v>3991</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3993</v>
      </c>
      <c r="D122" s="3450" t="s">
        <v>3996</v>
      </c>
      <c r="E122" s="3450" t="s">
        <v>3994</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t="str">
        <f>B45</f>
        <v>电梯</v>
      </c>
      <c r="C128" s="3450" t="s">
        <v>4004</v>
      </c>
      <c r="D128" s="3450" t="s">
        <v>4002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82"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82"/>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82"/>
      <c r="AC6" s="3865"/>
    </row>
    <row r="7" spans="1:29" s="108" customFormat="1" ht="15.75" thickBot="1">
      <c r="A7" s="362" t="s">
        <v>1679</v>
      </c>
      <c r="B7" s="363"/>
      <c r="C7" s="364">
        <f>'数据-取费表'!B2</f>
        <v>41568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62"/>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62"/>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62"/>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62"/>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0" t="s">
        <v>1691</v>
      </c>
      <c r="Q15" s="1352" t="str">
        <f t="shared" si="6"/>
        <v>商业繁华度</v>
      </c>
      <c r="R15" s="705" t="s">
        <v>14</v>
      </c>
      <c r="S15" s="706">
        <f t="shared" si="0"/>
        <v>100</v>
      </c>
      <c r="T15" s="705" t="s">
        <v>14</v>
      </c>
      <c r="U15" s="706">
        <f t="shared" si="1"/>
        <v>100</v>
      </c>
      <c r="V15" s="705" t="s">
        <v>14</v>
      </c>
      <c r="W15" s="706">
        <f t="shared" si="2"/>
        <v>100</v>
      </c>
      <c r="X15" s="1355"/>
      <c r="Y15" s="38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61"/>
      <c r="Q16" s="1352"/>
      <c r="R16" s="705"/>
      <c r="S16" s="706"/>
      <c r="T16" s="705"/>
      <c r="U16" s="706"/>
      <c r="V16" s="705"/>
      <c r="W16" s="706"/>
      <c r="X16" s="1355"/>
      <c r="Y16" s="38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61"/>
      <c r="Q18" s="1352"/>
      <c r="R18" s="705"/>
      <c r="S18" s="706"/>
      <c r="T18" s="705"/>
      <c r="U18" s="706"/>
      <c r="V18" s="705"/>
      <c r="W18" s="706"/>
      <c r="X18" s="1355"/>
      <c r="Y18" s="38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61"/>
      <c r="Q20" s="1352"/>
      <c r="R20" s="705"/>
      <c r="S20" s="706"/>
      <c r="T20" s="705"/>
      <c r="U20" s="706"/>
      <c r="V20" s="705"/>
      <c r="W20" s="706"/>
      <c r="X20" s="1355"/>
      <c r="Y20" s="38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61"/>
      <c r="Q22" s="1352"/>
      <c r="R22" s="705"/>
      <c r="S22" s="706"/>
      <c r="T22" s="705"/>
      <c r="U22" s="706"/>
      <c r="V22" s="705"/>
      <c r="W22" s="706"/>
      <c r="X22" s="1355"/>
      <c r="Y22" s="38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61"/>
      <c r="Q23" s="1352" t="str">
        <f>B23</f>
        <v>自然及人文环境</v>
      </c>
      <c r="R23" s="705" t="s">
        <v>14</v>
      </c>
      <c r="S23" s="706">
        <f>F23</f>
        <v>100</v>
      </c>
      <c r="T23" s="705" t="s">
        <v>14</v>
      </c>
      <c r="U23" s="706">
        <f>H23</f>
        <v>100</v>
      </c>
      <c r="V23" s="705" t="s">
        <v>14</v>
      </c>
      <c r="W23" s="706">
        <f>J23</f>
        <v>100</v>
      </c>
      <c r="X23" s="1355"/>
      <c r="Y23" s="38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61"/>
      <c r="Q24" s="1352"/>
      <c r="R24" s="705"/>
      <c r="S24" s="706"/>
      <c r="T24" s="705"/>
      <c r="U24" s="706"/>
      <c r="V24" s="705"/>
      <c r="W24" s="706"/>
      <c r="X24" s="1355"/>
      <c r="Y24" s="38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61"/>
      <c r="Q25" s="1352" t="str">
        <f t="shared" ref="Q25:Q46" si="11">B25</f>
        <v>临街状况</v>
      </c>
      <c r="R25" s="705" t="s">
        <v>14</v>
      </c>
      <c r="S25" s="706">
        <f>F25</f>
        <v>100</v>
      </c>
      <c r="T25" s="705" t="s">
        <v>14</v>
      </c>
      <c r="U25" s="706">
        <f>H25</f>
        <v>100</v>
      </c>
      <c r="V25" s="705" t="s">
        <v>14</v>
      </c>
      <c r="W25" s="706">
        <f>J25</f>
        <v>100</v>
      </c>
      <c r="X25" s="1355"/>
      <c r="Y25" s="38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61"/>
      <c r="Q26" s="1352" t="str">
        <f t="shared" si="11"/>
        <v>平面位置/可视性</v>
      </c>
      <c r="R26" s="705" t="s">
        <v>14</v>
      </c>
      <c r="S26" s="706">
        <f>F26</f>
        <v>100</v>
      </c>
      <c r="T26" s="705" t="s">
        <v>14</v>
      </c>
      <c r="U26" s="706">
        <f>H26</f>
        <v>100</v>
      </c>
      <c r="V26" s="705" t="s">
        <v>14</v>
      </c>
      <c r="W26" s="706">
        <f>J26</f>
        <v>100</v>
      </c>
      <c r="X26" s="1355"/>
      <c r="Y26" s="38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61"/>
      <c r="Q27" s="1343" t="str">
        <f t="shared" si="11"/>
        <v>人流量</v>
      </c>
      <c r="R27" s="701" t="s">
        <v>14</v>
      </c>
      <c r="S27" s="702">
        <f>F27</f>
        <v>100</v>
      </c>
      <c r="T27" s="701" t="s">
        <v>14</v>
      </c>
      <c r="U27" s="702">
        <f>H27</f>
        <v>100</v>
      </c>
      <c r="V27" s="701" t="s">
        <v>14</v>
      </c>
      <c r="W27" s="702">
        <f>J27</f>
        <v>100</v>
      </c>
      <c r="X27" s="703"/>
      <c r="Y27" s="38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61"/>
      <c r="Q29" s="1352">
        <f t="shared" si="11"/>
        <v>111</v>
      </c>
      <c r="R29" s="705" t="s">
        <v>14</v>
      </c>
      <c r="S29" s="706">
        <f t="shared" si="12"/>
        <v>100</v>
      </c>
      <c r="T29" s="705" t="s">
        <v>14</v>
      </c>
      <c r="U29" s="706">
        <f t="shared" si="13"/>
        <v>100</v>
      </c>
      <c r="V29" s="705" t="s">
        <v>14</v>
      </c>
      <c r="W29" s="706">
        <f t="shared" si="14"/>
        <v>100</v>
      </c>
      <c r="X29" s="1355"/>
      <c r="Y29" s="38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55" t="s">
        <v>1696</v>
      </c>
      <c r="Q32" s="1352" t="str">
        <f t="shared" si="11"/>
        <v>商业类型</v>
      </c>
      <c r="R32" s="705" t="s">
        <v>14</v>
      </c>
      <c r="S32" s="706">
        <f t="shared" si="12"/>
        <v>100</v>
      </c>
      <c r="T32" s="705" t="s">
        <v>14</v>
      </c>
      <c r="U32" s="706">
        <f t="shared" si="13"/>
        <v>100</v>
      </c>
      <c r="V32" s="705" t="s">
        <v>14</v>
      </c>
      <c r="W32" s="706">
        <f t="shared" si="14"/>
        <v>100</v>
      </c>
      <c r="X32" s="1355"/>
      <c r="Y32" s="38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56"/>
      <c r="Q33" s="707" t="str">
        <f t="shared" si="11"/>
        <v>项目建筑规模</v>
      </c>
      <c r="R33" s="708" t="s">
        <v>14</v>
      </c>
      <c r="S33" s="709" t="e">
        <f t="shared" si="12"/>
        <v>#N/A</v>
      </c>
      <c r="T33" s="708" t="s">
        <v>14</v>
      </c>
      <c r="U33" s="709" t="e">
        <f t="shared" si="13"/>
        <v>#N/A</v>
      </c>
      <c r="V33" s="708" t="s">
        <v>14</v>
      </c>
      <c r="W33" s="709" t="e">
        <f t="shared" si="14"/>
        <v>#N/A</v>
      </c>
      <c r="X33" s="710"/>
      <c r="Y33" s="38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56"/>
      <c r="Q34" s="1352" t="str">
        <f t="shared" si="11"/>
        <v>建筑结构</v>
      </c>
      <c r="R34" s="705" t="s">
        <v>14</v>
      </c>
      <c r="S34" s="706">
        <f t="shared" si="12"/>
        <v>100</v>
      </c>
      <c r="T34" s="705" t="s">
        <v>14</v>
      </c>
      <c r="U34" s="706">
        <f t="shared" si="13"/>
        <v>100</v>
      </c>
      <c r="V34" s="705" t="s">
        <v>14</v>
      </c>
      <c r="W34" s="706">
        <f t="shared" si="14"/>
        <v>100</v>
      </c>
      <c r="X34" s="1355"/>
      <c r="Y34" s="38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56"/>
      <c r="Q35" s="1352" t="str">
        <f t="shared" si="11"/>
        <v>公共部分装修</v>
      </c>
      <c r="R35" s="705" t="s">
        <v>14</v>
      </c>
      <c r="S35" s="706">
        <f t="shared" si="12"/>
        <v>100</v>
      </c>
      <c r="T35" s="705" t="s">
        <v>14</v>
      </c>
      <c r="U35" s="706">
        <f t="shared" si="13"/>
        <v>100</v>
      </c>
      <c r="V35" s="705" t="s">
        <v>14</v>
      </c>
      <c r="W35" s="706">
        <f t="shared" si="14"/>
        <v>100</v>
      </c>
      <c r="X35" s="1355"/>
      <c r="Y35" s="38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56"/>
      <c r="Q36" s="1352" t="str">
        <f t="shared" si="11"/>
        <v>成新度</v>
      </c>
      <c r="R36" s="705" t="s">
        <v>14</v>
      </c>
      <c r="S36" s="706" t="e">
        <f t="shared" si="12"/>
        <v>#N/A</v>
      </c>
      <c r="T36" s="705" t="s">
        <v>14</v>
      </c>
      <c r="U36" s="706" t="e">
        <f t="shared" si="13"/>
        <v>#N/A</v>
      </c>
      <c r="V36" s="705" t="s">
        <v>14</v>
      </c>
      <c r="W36" s="706" t="e">
        <f t="shared" si="14"/>
        <v>#N/A</v>
      </c>
      <c r="X36" s="1355"/>
      <c r="Y36" s="38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56"/>
      <c r="Q37" s="1343" t="str">
        <f t="shared" si="11"/>
        <v>市政基础设施</v>
      </c>
      <c r="R37" s="701" t="s">
        <v>14</v>
      </c>
      <c r="S37" s="702">
        <f t="shared" si="12"/>
        <v>100</v>
      </c>
      <c r="T37" s="701" t="s">
        <v>14</v>
      </c>
      <c r="U37" s="702">
        <f t="shared" si="13"/>
        <v>100</v>
      </c>
      <c r="V37" s="701" t="s">
        <v>14</v>
      </c>
      <c r="W37" s="702">
        <f t="shared" si="14"/>
        <v>100</v>
      </c>
      <c r="X37" s="703"/>
      <c r="Y37" s="38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56" t="s">
        <v>1696</v>
      </c>
      <c r="Q38" s="1352" t="str">
        <f t="shared" si="11"/>
        <v>业态</v>
      </c>
      <c r="R38" s="705" t="s">
        <v>14</v>
      </c>
      <c r="S38" s="706">
        <f t="shared" si="12"/>
        <v>100</v>
      </c>
      <c r="T38" s="705" t="s">
        <v>14</v>
      </c>
      <c r="U38" s="706">
        <f t="shared" si="13"/>
        <v>100</v>
      </c>
      <c r="V38" s="705" t="s">
        <v>14</v>
      </c>
      <c r="W38" s="706">
        <f t="shared" si="14"/>
        <v>100</v>
      </c>
      <c r="X38" s="1355"/>
      <c r="Y38" s="38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56"/>
      <c r="Q39" s="1352" t="str">
        <f t="shared" si="11"/>
        <v>层高</v>
      </c>
      <c r="R39" s="705" t="s">
        <v>14</v>
      </c>
      <c r="S39" s="706">
        <f t="shared" si="12"/>
        <v>100</v>
      </c>
      <c r="T39" s="705" t="s">
        <v>14</v>
      </c>
      <c r="U39" s="706">
        <f t="shared" si="13"/>
        <v>100</v>
      </c>
      <c r="V39" s="705" t="s">
        <v>14</v>
      </c>
      <c r="W39" s="706">
        <f t="shared" si="14"/>
        <v>100</v>
      </c>
      <c r="X39" s="1355"/>
      <c r="Y39" s="38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56"/>
      <c r="Q40" s="1352" t="str">
        <f t="shared" si="11"/>
        <v>单套建筑面积</v>
      </c>
      <c r="R40" s="705" t="s">
        <v>14</v>
      </c>
      <c r="S40" s="706">
        <f t="shared" si="12"/>
        <v>100</v>
      </c>
      <c r="T40" s="705" t="s">
        <v>14</v>
      </c>
      <c r="U40" s="706">
        <f t="shared" si="13"/>
        <v>100</v>
      </c>
      <c r="V40" s="705" t="s">
        <v>14</v>
      </c>
      <c r="W40" s="706">
        <f t="shared" si="14"/>
        <v>100</v>
      </c>
      <c r="X40" s="1355"/>
      <c r="Y40" s="38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56"/>
      <c r="Q41" s="707" t="str">
        <f t="shared" si="11"/>
        <v>进深比</v>
      </c>
      <c r="R41" s="708" t="s">
        <v>14</v>
      </c>
      <c r="S41" s="709">
        <f t="shared" si="12"/>
        <v>100</v>
      </c>
      <c r="T41" s="708" t="s">
        <v>14</v>
      </c>
      <c r="U41" s="709">
        <f t="shared" si="13"/>
        <v>100</v>
      </c>
      <c r="V41" s="708" t="s">
        <v>14</v>
      </c>
      <c r="W41" s="709">
        <f t="shared" si="14"/>
        <v>100</v>
      </c>
      <c r="X41" s="710"/>
      <c r="Y41" s="38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56"/>
      <c r="Q42" s="1352" t="str">
        <f t="shared" si="11"/>
        <v>内部装修</v>
      </c>
      <c r="R42" s="705" t="s">
        <v>14</v>
      </c>
      <c r="S42" s="706">
        <f t="shared" si="12"/>
        <v>100</v>
      </c>
      <c r="T42" s="705" t="s">
        <v>14</v>
      </c>
      <c r="U42" s="706">
        <f t="shared" si="13"/>
        <v>100</v>
      </c>
      <c r="V42" s="705" t="s">
        <v>14</v>
      </c>
      <c r="W42" s="706">
        <f t="shared" si="14"/>
        <v>100</v>
      </c>
      <c r="X42" s="1355"/>
      <c r="Y42" s="38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56"/>
      <c r="Q43" s="1352" t="str">
        <f t="shared" si="11"/>
        <v>内部装修维护情况</v>
      </c>
      <c r="R43" s="705" t="s">
        <v>14</v>
      </c>
      <c r="S43" s="706">
        <f t="shared" si="12"/>
        <v>100</v>
      </c>
      <c r="T43" s="705" t="s">
        <v>14</v>
      </c>
      <c r="U43" s="706">
        <f t="shared" si="13"/>
        <v>100</v>
      </c>
      <c r="V43" s="705" t="s">
        <v>14</v>
      </c>
      <c r="W43" s="706">
        <f t="shared" si="14"/>
        <v>100</v>
      </c>
      <c r="X43" s="1355"/>
      <c r="Y43" s="38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56"/>
      <c r="Q44" s="1343">
        <f t="shared" si="11"/>
        <v>111</v>
      </c>
      <c r="R44" s="701" t="s">
        <v>14</v>
      </c>
      <c r="S44" s="702">
        <f t="shared" si="12"/>
        <v>100</v>
      </c>
      <c r="T44" s="701" t="s">
        <v>14</v>
      </c>
      <c r="U44" s="702">
        <f t="shared" si="13"/>
        <v>100</v>
      </c>
      <c r="V44" s="701" t="s">
        <v>14</v>
      </c>
      <c r="W44" s="702">
        <f t="shared" si="14"/>
        <v>100</v>
      </c>
      <c r="X44" s="703"/>
      <c r="Y44" s="38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56"/>
      <c r="Q45" s="1352">
        <f t="shared" si="11"/>
        <v>111</v>
      </c>
      <c r="R45" s="705" t="s">
        <v>14</v>
      </c>
      <c r="S45" s="706">
        <f t="shared" si="12"/>
        <v>100</v>
      </c>
      <c r="T45" s="705" t="s">
        <v>14</v>
      </c>
      <c r="U45" s="706">
        <f t="shared" si="13"/>
        <v>100</v>
      </c>
      <c r="V45" s="705" t="s">
        <v>14</v>
      </c>
      <c r="W45" s="706">
        <f t="shared" si="14"/>
        <v>100</v>
      </c>
      <c r="X45" s="1355"/>
      <c r="Y45" s="38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51" t="str">
        <f>A47</f>
        <v>成交单价（元/平方米）</v>
      </c>
      <c r="Q47" s="3851"/>
      <c r="R47" s="3882">
        <f>E47</f>
        <v>0</v>
      </c>
      <c r="S47" s="3882"/>
      <c r="T47" s="3882">
        <f>G47</f>
        <v>0</v>
      </c>
      <c r="U47" s="3882"/>
      <c r="V47" s="3882">
        <f>I47</f>
        <v>0</v>
      </c>
      <c r="W47" s="38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51" t="str">
        <f>A48</f>
        <v>比较价值（元/平方米）</v>
      </c>
      <c r="Q48" s="3851"/>
      <c r="R48" s="3852" t="e">
        <f>IF(F1="售价",ROUND(PRODUCT(R47,AA7:AA46),0),ROUND(PRODUCT(R47,AA7:AA46),1))</f>
        <v>#DIV/0!</v>
      </c>
      <c r="S48" s="3852"/>
      <c r="T48" s="3852" t="e">
        <f>IF(F1="售价",ROUND(PRODUCT(T47,AB7:AB46),0),ROUND(PRODUCT(T47,AB7:AB46),1))</f>
        <v>#DIV/0!</v>
      </c>
      <c r="U48" s="3852"/>
      <c r="V48" s="3852" t="e">
        <f>IF(F1="售价",ROUND(PRODUCT(V47,AC7:AC46),0),ROUND(PRODUCT(V47,AC7:AC46),1))</f>
        <v>#DIV/0!</v>
      </c>
      <c r="W48" s="38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48" t="str">
        <f>A49</f>
        <v>估价对象XX用房的比较价值（楼面单价，元/平方米）</v>
      </c>
      <c r="Q49" s="3849"/>
      <c r="R49" s="3850" t="e">
        <f>IF(F1="售价",ROUND(IF(D48="简单平均",AVERAGE(R48:V48),R48*F48+T48*H48+V48*J48),0),ROUND(IF(D48="简单平均",AVERAGE(R48:V48),R48*F48+T48*H48+V48*J48),1))</f>
        <v>#DIV/0!</v>
      </c>
      <c r="S49" s="3850"/>
      <c r="T49" s="3850"/>
      <c r="U49" s="3850"/>
      <c r="V49" s="3850"/>
      <c r="W49" s="38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2013-10</v>
      </c>
      <c r="D58" s="1185">
        <f>EDATE(C58,-1)</f>
        <v>41518</v>
      </c>
      <c r="E58" s="1185">
        <f t="shared" ref="E58:N58" si="16">EDATE(D58,-1)</f>
        <v>41487</v>
      </c>
      <c r="F58" s="1185">
        <f t="shared" si="16"/>
        <v>41456</v>
      </c>
      <c r="G58" s="1185">
        <f t="shared" si="16"/>
        <v>41426</v>
      </c>
      <c r="H58" s="1185">
        <f t="shared" si="16"/>
        <v>41395</v>
      </c>
      <c r="I58" s="1185">
        <f t="shared" si="16"/>
        <v>41365</v>
      </c>
      <c r="J58" s="1185">
        <f t="shared" si="16"/>
        <v>41334</v>
      </c>
      <c r="K58" s="1185">
        <f t="shared" si="16"/>
        <v>41306</v>
      </c>
      <c r="L58" s="1185">
        <f t="shared" si="16"/>
        <v>41275</v>
      </c>
      <c r="M58" s="1185">
        <f t="shared" si="16"/>
        <v>41244</v>
      </c>
      <c r="N58" s="1185">
        <f t="shared" si="16"/>
        <v>41214</v>
      </c>
      <c r="O58" s="1185">
        <f>EDATE(N58,-1)</f>
        <v>41183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904" t="s">
        <v>1775</v>
      </c>
      <c r="Q4" s="3905"/>
      <c r="R4" s="3908" t="s">
        <v>1771</v>
      </c>
      <c r="S4" s="3909"/>
      <c r="T4" s="3908" t="s">
        <v>1772</v>
      </c>
      <c r="U4" s="3909"/>
      <c r="V4" s="3910" t="s">
        <v>1773</v>
      </c>
      <c r="W4" s="3910"/>
      <c r="X4" s="1958"/>
      <c r="Y4" s="3908" t="s">
        <v>1775</v>
      </c>
      <c r="Z4" s="3909"/>
      <c r="AA4" s="3912" t="s">
        <v>1771</v>
      </c>
      <c r="AB4" s="3912" t="s">
        <v>1772</v>
      </c>
      <c r="AC4" s="3901" t="s">
        <v>1773</v>
      </c>
    </row>
    <row r="5" spans="1:29" ht="15">
      <c r="A5" s="358"/>
      <c r="B5" s="359"/>
      <c r="C5" s="3895" t="s">
        <v>1673</v>
      </c>
      <c r="D5" s="3886"/>
      <c r="E5" s="3897" t="s">
        <v>1674</v>
      </c>
      <c r="F5" s="3894"/>
      <c r="G5" s="3895" t="s">
        <v>1675</v>
      </c>
      <c r="H5" s="3886"/>
      <c r="I5" s="3895" t="s">
        <v>1676</v>
      </c>
      <c r="J5" s="3886"/>
      <c r="K5" s="559"/>
      <c r="L5" s="2715"/>
      <c r="M5" s="2716"/>
      <c r="N5" s="2716"/>
      <c r="O5" s="2716"/>
      <c r="P5" s="3906"/>
      <c r="Q5" s="3873"/>
      <c r="R5" s="3878"/>
      <c r="S5" s="3879"/>
      <c r="T5" s="3878"/>
      <c r="U5" s="3879"/>
      <c r="V5" s="3882"/>
      <c r="W5" s="3882"/>
      <c r="X5" s="1355"/>
      <c r="Y5" s="3878"/>
      <c r="Z5" s="3879"/>
      <c r="AA5" s="3864"/>
      <c r="AB5" s="3864"/>
      <c r="AC5" s="3902"/>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907"/>
      <c r="Q6" s="3875"/>
      <c r="R6" s="3878"/>
      <c r="S6" s="3879"/>
      <c r="T6" s="3880"/>
      <c r="U6" s="3881"/>
      <c r="V6" s="3882"/>
      <c r="W6" s="3882"/>
      <c r="X6" s="1355"/>
      <c r="Y6" s="3880"/>
      <c r="Z6" s="3881"/>
      <c r="AA6" s="3865"/>
      <c r="AB6" s="3865"/>
      <c r="AC6" s="3903"/>
    </row>
    <row r="7" spans="1:29" s="108" customFormat="1" ht="15.75" thickBot="1">
      <c r="A7" s="362" t="s">
        <v>1679</v>
      </c>
      <c r="B7" s="363"/>
      <c r="C7" s="364">
        <f>'数据-取费表'!B2</f>
        <v>41568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11"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11" t="s">
        <v>1683</v>
      </c>
      <c r="Q8" s="3888"/>
      <c r="R8" s="701" t="s">
        <v>14</v>
      </c>
      <c r="S8" s="702">
        <f t="shared" si="0"/>
        <v>100</v>
      </c>
      <c r="T8" s="701" t="s">
        <v>14</v>
      </c>
      <c r="U8" s="702">
        <f t="shared" si="1"/>
        <v>100</v>
      </c>
      <c r="V8" s="701" t="s">
        <v>14</v>
      </c>
      <c r="W8" s="702">
        <f t="shared" si="2"/>
        <v>100</v>
      </c>
      <c r="X8" s="703"/>
      <c r="Y8" s="3887" t="s">
        <v>1683</v>
      </c>
      <c r="Z8" s="38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62"/>
      <c r="Q11" s="1343"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62"/>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62"/>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62"/>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0" t="s">
        <v>1691</v>
      </c>
      <c r="Q15" s="1352" t="str">
        <f t="shared" si="6"/>
        <v>办公集聚程度</v>
      </c>
      <c r="R15" s="705" t="s">
        <v>14</v>
      </c>
      <c r="S15" s="706">
        <f t="shared" si="0"/>
        <v>100</v>
      </c>
      <c r="T15" s="705" t="s">
        <v>14</v>
      </c>
      <c r="U15" s="706">
        <f t="shared" si="1"/>
        <v>100</v>
      </c>
      <c r="V15" s="705" t="s">
        <v>14</v>
      </c>
      <c r="W15" s="706">
        <f t="shared" si="2"/>
        <v>100</v>
      </c>
      <c r="X15" s="1355"/>
      <c r="Y15" s="38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61"/>
      <c r="Q16" s="1352"/>
      <c r="R16" s="705"/>
      <c r="S16" s="706"/>
      <c r="T16" s="705"/>
      <c r="U16" s="706"/>
      <c r="V16" s="705"/>
      <c r="W16" s="706"/>
      <c r="X16" s="1355"/>
      <c r="Y16" s="38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61"/>
      <c r="Q18" s="1352"/>
      <c r="R18" s="705"/>
      <c r="S18" s="706"/>
      <c r="T18" s="705"/>
      <c r="U18" s="706"/>
      <c r="V18" s="705"/>
      <c r="W18" s="706"/>
      <c r="X18" s="1355"/>
      <c r="Y18" s="38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61"/>
      <c r="Q20" s="1352"/>
      <c r="R20" s="705"/>
      <c r="S20" s="706"/>
      <c r="T20" s="705"/>
      <c r="U20" s="706"/>
      <c r="V20" s="705"/>
      <c r="W20" s="706"/>
      <c r="X20" s="1355"/>
      <c r="Y20" s="38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61"/>
      <c r="Q22" s="1352"/>
      <c r="R22" s="705"/>
      <c r="S22" s="706"/>
      <c r="T22" s="705"/>
      <c r="U22" s="706"/>
      <c r="V22" s="705"/>
      <c r="W22" s="706"/>
      <c r="X22" s="1355"/>
      <c r="Y22" s="38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61"/>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61"/>
      <c r="Q24" s="1352"/>
      <c r="R24" s="705"/>
      <c r="S24" s="706"/>
      <c r="T24" s="705"/>
      <c r="U24" s="706"/>
      <c r="V24" s="705"/>
      <c r="W24" s="706"/>
      <c r="X24" s="1355"/>
      <c r="Y24" s="38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61"/>
      <c r="Q25" s="1352" t="str">
        <f>B25</f>
        <v>毗邻道路的类型与等级</v>
      </c>
      <c r="R25" s="705" t="s">
        <v>14</v>
      </c>
      <c r="S25" s="706">
        <f>F25</f>
        <v>100</v>
      </c>
      <c r="T25" s="705" t="s">
        <v>14</v>
      </c>
      <c r="U25" s="706">
        <f>H25</f>
        <v>100</v>
      </c>
      <c r="V25" s="705" t="s">
        <v>14</v>
      </c>
      <c r="W25" s="706">
        <f>J25</f>
        <v>100</v>
      </c>
      <c r="X25" s="1355"/>
      <c r="Y25" s="38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61"/>
      <c r="Q26" s="1352"/>
      <c r="R26" s="705"/>
      <c r="S26" s="706"/>
      <c r="T26" s="705"/>
      <c r="U26" s="706"/>
      <c r="V26" s="705"/>
      <c r="W26" s="706"/>
      <c r="X26" s="1355"/>
      <c r="Y26" s="38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61"/>
      <c r="Q27" s="1352" t="str">
        <f t="shared" ref="Q27:Q47" si="11">B27</f>
        <v>楼层</v>
      </c>
      <c r="R27" s="705" t="s">
        <v>14</v>
      </c>
      <c r="S27" s="706">
        <f>F27</f>
        <v>100</v>
      </c>
      <c r="T27" s="705" t="s">
        <v>14</v>
      </c>
      <c r="U27" s="706">
        <f>H27</f>
        <v>100</v>
      </c>
      <c r="V27" s="705" t="s">
        <v>14</v>
      </c>
      <c r="W27" s="706">
        <f>J27</f>
        <v>100</v>
      </c>
      <c r="X27" s="1355"/>
      <c r="Y27" s="38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61"/>
      <c r="Q28" s="1343" t="str">
        <f t="shared" si="11"/>
        <v>朝向</v>
      </c>
      <c r="R28" s="701" t="s">
        <v>14</v>
      </c>
      <c r="S28" s="702">
        <f>F28</f>
        <v>100</v>
      </c>
      <c r="T28" s="701" t="s">
        <v>14</v>
      </c>
      <c r="U28" s="702">
        <f>H28</f>
        <v>100</v>
      </c>
      <c r="V28" s="701" t="s">
        <v>14</v>
      </c>
      <c r="W28" s="702">
        <f>J28</f>
        <v>100</v>
      </c>
      <c r="X28" s="703"/>
      <c r="Y28" s="38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61"/>
      <c r="Q29" s="1352">
        <f t="shared" si="11"/>
        <v>111</v>
      </c>
      <c r="R29" s="705" t="s">
        <v>14</v>
      </c>
      <c r="S29" s="706">
        <f t="shared" ref="S29:S47" si="12">F29</f>
        <v>100</v>
      </c>
      <c r="T29" s="705" t="s">
        <v>14</v>
      </c>
      <c r="U29" s="706">
        <f t="shared" ref="U29:U47" si="13">H29</f>
        <v>100</v>
      </c>
      <c r="V29" s="705" t="s">
        <v>14</v>
      </c>
      <c r="W29" s="706">
        <f t="shared" ref="W29:W47" si="14">J29</f>
        <v>100</v>
      </c>
      <c r="X29" s="1355"/>
      <c r="Y29" s="38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61"/>
      <c r="Q32" s="1352">
        <f t="shared" si="11"/>
        <v>111</v>
      </c>
      <c r="R32" s="705" t="s">
        <v>14</v>
      </c>
      <c r="S32" s="706">
        <f t="shared" si="12"/>
        <v>100</v>
      </c>
      <c r="T32" s="705" t="s">
        <v>14</v>
      </c>
      <c r="U32" s="706">
        <f t="shared" si="13"/>
        <v>100</v>
      </c>
      <c r="V32" s="705" t="s">
        <v>14</v>
      </c>
      <c r="W32" s="706">
        <f t="shared" si="14"/>
        <v>100</v>
      </c>
      <c r="X32" s="1355"/>
      <c r="Y32" s="38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55" t="s">
        <v>1696</v>
      </c>
      <c r="Q33" s="1352" t="str">
        <f t="shared" si="11"/>
        <v>建筑类型</v>
      </c>
      <c r="R33" s="705" t="s">
        <v>14</v>
      </c>
      <c r="S33" s="706">
        <f t="shared" si="12"/>
        <v>100</v>
      </c>
      <c r="T33" s="705" t="s">
        <v>14</v>
      </c>
      <c r="U33" s="706">
        <f t="shared" si="13"/>
        <v>100</v>
      </c>
      <c r="V33" s="705" t="s">
        <v>14</v>
      </c>
      <c r="W33" s="706">
        <f t="shared" si="14"/>
        <v>100</v>
      </c>
      <c r="X33" s="1355"/>
      <c r="Y33" s="385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56"/>
      <c r="Q34" s="707" t="str">
        <f t="shared" si="11"/>
        <v>项目建筑规模</v>
      </c>
      <c r="R34" s="708" t="s">
        <v>14</v>
      </c>
      <c r="S34" s="709" t="e">
        <f t="shared" si="12"/>
        <v>#N/A</v>
      </c>
      <c r="T34" s="708" t="s">
        <v>14</v>
      </c>
      <c r="U34" s="709" t="e">
        <f t="shared" si="13"/>
        <v>#N/A</v>
      </c>
      <c r="V34" s="708" t="s">
        <v>14</v>
      </c>
      <c r="W34" s="709" t="e">
        <f t="shared" si="14"/>
        <v>#N/A</v>
      </c>
      <c r="X34" s="710"/>
      <c r="Y34" s="385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56"/>
      <c r="Q35" s="1352" t="str">
        <f t="shared" si="11"/>
        <v>建筑结构</v>
      </c>
      <c r="R35" s="705" t="s">
        <v>14</v>
      </c>
      <c r="S35" s="706">
        <f t="shared" si="12"/>
        <v>100</v>
      </c>
      <c r="T35" s="705" t="s">
        <v>14</v>
      </c>
      <c r="U35" s="706">
        <f t="shared" si="13"/>
        <v>100</v>
      </c>
      <c r="V35" s="705" t="s">
        <v>14</v>
      </c>
      <c r="W35" s="706">
        <f t="shared" si="14"/>
        <v>100</v>
      </c>
      <c r="X35" s="1355"/>
      <c r="Y35" s="38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56"/>
      <c r="Q36" s="1352" t="str">
        <f t="shared" si="11"/>
        <v>公共部分装修</v>
      </c>
      <c r="R36" s="705" t="s">
        <v>14</v>
      </c>
      <c r="S36" s="706">
        <f t="shared" si="12"/>
        <v>100</v>
      </c>
      <c r="T36" s="705" t="s">
        <v>14</v>
      </c>
      <c r="U36" s="706">
        <f t="shared" si="13"/>
        <v>100</v>
      </c>
      <c r="V36" s="705" t="s">
        <v>14</v>
      </c>
      <c r="W36" s="706">
        <f t="shared" si="14"/>
        <v>100</v>
      </c>
      <c r="X36" s="1355"/>
      <c r="Y36" s="385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56"/>
      <c r="Q37" s="1352" t="str">
        <f t="shared" si="11"/>
        <v>成新度</v>
      </c>
      <c r="R37" s="705" t="s">
        <v>14</v>
      </c>
      <c r="S37" s="706" t="e">
        <f t="shared" si="12"/>
        <v>#N/A</v>
      </c>
      <c r="T37" s="705" t="s">
        <v>14</v>
      </c>
      <c r="U37" s="706" t="e">
        <f t="shared" si="13"/>
        <v>#N/A</v>
      </c>
      <c r="V37" s="705" t="s">
        <v>14</v>
      </c>
      <c r="W37" s="706" t="e">
        <f t="shared" si="14"/>
        <v>#N/A</v>
      </c>
      <c r="X37" s="1355"/>
      <c r="Y37" s="385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56"/>
      <c r="Q38" s="1343" t="str">
        <f t="shared" si="11"/>
        <v>写字楼等级</v>
      </c>
      <c r="R38" s="701" t="s">
        <v>14</v>
      </c>
      <c r="S38" s="702">
        <f t="shared" si="12"/>
        <v>100</v>
      </c>
      <c r="T38" s="701" t="s">
        <v>14</v>
      </c>
      <c r="U38" s="702">
        <f t="shared" si="13"/>
        <v>100</v>
      </c>
      <c r="V38" s="701" t="s">
        <v>14</v>
      </c>
      <c r="W38" s="702">
        <f t="shared" si="14"/>
        <v>100</v>
      </c>
      <c r="X38" s="703"/>
      <c r="Y38" s="38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56" t="s">
        <v>1696</v>
      </c>
      <c r="Q39" s="1352" t="str">
        <f t="shared" si="11"/>
        <v>物业管理</v>
      </c>
      <c r="R39" s="705" t="s">
        <v>14</v>
      </c>
      <c r="S39" s="706">
        <f t="shared" si="12"/>
        <v>100</v>
      </c>
      <c r="T39" s="705" t="s">
        <v>14</v>
      </c>
      <c r="U39" s="706">
        <f t="shared" si="13"/>
        <v>100</v>
      </c>
      <c r="V39" s="705" t="s">
        <v>14</v>
      </c>
      <c r="W39" s="706">
        <f t="shared" si="14"/>
        <v>100</v>
      </c>
      <c r="X39" s="1355"/>
      <c r="Y39" s="38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56"/>
      <c r="Q40" s="1352" t="str">
        <f t="shared" si="11"/>
        <v>市政基础设施</v>
      </c>
      <c r="R40" s="705" t="s">
        <v>14</v>
      </c>
      <c r="S40" s="706">
        <f t="shared" si="12"/>
        <v>100</v>
      </c>
      <c r="T40" s="705" t="s">
        <v>14</v>
      </c>
      <c r="U40" s="706">
        <f t="shared" si="13"/>
        <v>100</v>
      </c>
      <c r="V40" s="705" t="s">
        <v>14</v>
      </c>
      <c r="W40" s="706">
        <f t="shared" si="14"/>
        <v>100</v>
      </c>
      <c r="X40" s="1355"/>
      <c r="Y40" s="38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56"/>
      <c r="Q41" s="1352" t="str">
        <f t="shared" si="11"/>
        <v>层高</v>
      </c>
      <c r="R41" s="705" t="s">
        <v>14</v>
      </c>
      <c r="S41" s="706">
        <f t="shared" si="12"/>
        <v>100</v>
      </c>
      <c r="T41" s="705" t="s">
        <v>14</v>
      </c>
      <c r="U41" s="706">
        <f t="shared" si="13"/>
        <v>100</v>
      </c>
      <c r="V41" s="705" t="s">
        <v>14</v>
      </c>
      <c r="W41" s="706">
        <f t="shared" si="14"/>
        <v>100</v>
      </c>
      <c r="X41" s="1355"/>
      <c r="Y41" s="38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56"/>
      <c r="Q42" s="707" t="str">
        <f t="shared" si="11"/>
        <v>单套建筑面积</v>
      </c>
      <c r="R42" s="708" t="s">
        <v>14</v>
      </c>
      <c r="S42" s="709">
        <f t="shared" si="12"/>
        <v>100</v>
      </c>
      <c r="T42" s="708" t="s">
        <v>14</v>
      </c>
      <c r="U42" s="709">
        <f t="shared" si="13"/>
        <v>100</v>
      </c>
      <c r="V42" s="708" t="s">
        <v>14</v>
      </c>
      <c r="W42" s="709">
        <f t="shared" si="14"/>
        <v>100</v>
      </c>
      <c r="X42" s="710"/>
      <c r="Y42" s="38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56"/>
      <c r="Q43" s="1352" t="str">
        <f t="shared" si="11"/>
        <v>内部装修</v>
      </c>
      <c r="R43" s="705" t="s">
        <v>14</v>
      </c>
      <c r="S43" s="706">
        <f t="shared" si="12"/>
        <v>100</v>
      </c>
      <c r="T43" s="705" t="s">
        <v>14</v>
      </c>
      <c r="U43" s="706">
        <f t="shared" si="13"/>
        <v>100</v>
      </c>
      <c r="V43" s="705" t="s">
        <v>14</v>
      </c>
      <c r="W43" s="706">
        <f t="shared" si="14"/>
        <v>100</v>
      </c>
      <c r="X43" s="1355"/>
      <c r="Y43" s="385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56"/>
      <c r="Q44" s="1352" t="str">
        <f t="shared" si="11"/>
        <v>内部装修维护情况</v>
      </c>
      <c r="R44" s="705" t="s">
        <v>14</v>
      </c>
      <c r="S44" s="706">
        <f t="shared" si="12"/>
        <v>100</v>
      </c>
      <c r="T44" s="705" t="s">
        <v>14</v>
      </c>
      <c r="U44" s="706">
        <f t="shared" si="13"/>
        <v>100</v>
      </c>
      <c r="V44" s="705" t="s">
        <v>14</v>
      </c>
      <c r="W44" s="706">
        <f t="shared" si="14"/>
        <v>100</v>
      </c>
      <c r="X44" s="1355"/>
      <c r="Y44" s="38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56"/>
      <c r="Q45" s="1343">
        <f t="shared" si="11"/>
        <v>111</v>
      </c>
      <c r="R45" s="701" t="s">
        <v>14</v>
      </c>
      <c r="S45" s="702">
        <f t="shared" si="12"/>
        <v>100</v>
      </c>
      <c r="T45" s="701" t="s">
        <v>14</v>
      </c>
      <c r="U45" s="702">
        <f t="shared" si="13"/>
        <v>100</v>
      </c>
      <c r="V45" s="701" t="s">
        <v>14</v>
      </c>
      <c r="W45" s="702">
        <f t="shared" si="14"/>
        <v>100</v>
      </c>
      <c r="X45" s="703"/>
      <c r="Y45" s="38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57"/>
      <c r="Q47" s="1352">
        <f t="shared" si="11"/>
        <v>111</v>
      </c>
      <c r="R47" s="705" t="s">
        <v>14</v>
      </c>
      <c r="S47" s="706">
        <f t="shared" si="12"/>
        <v>100</v>
      </c>
      <c r="T47" s="705" t="s">
        <v>14</v>
      </c>
      <c r="U47" s="706">
        <f t="shared" si="13"/>
        <v>100</v>
      </c>
      <c r="V47" s="705" t="s">
        <v>14</v>
      </c>
      <c r="W47" s="706">
        <f t="shared" si="14"/>
        <v>100</v>
      </c>
      <c r="X47" s="1355"/>
      <c r="Y47" s="385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62" t="str">
        <f>A48</f>
        <v>成交单价（元/平方米）</v>
      </c>
      <c r="Q48" s="3851"/>
      <c r="R48" s="3852">
        <f>E48</f>
        <v>0</v>
      </c>
      <c r="S48" s="3852"/>
      <c r="T48" s="3852">
        <f>G48</f>
        <v>0</v>
      </c>
      <c r="U48" s="3852"/>
      <c r="V48" s="3852">
        <f>I48</f>
        <v>0</v>
      </c>
      <c r="W48" s="385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62" t="str">
        <f>A49</f>
        <v>比较价值（元/平方米）</v>
      </c>
      <c r="Q49" s="3851"/>
      <c r="R49" s="3852" t="e">
        <f>IF(F1="售价",ROUND(PRODUCT(R48,AA7:AA47),0),ROUND(PRODUCT(R48,AA7:AA47),1))</f>
        <v>#DIV/0!</v>
      </c>
      <c r="S49" s="3852"/>
      <c r="T49" s="3852" t="e">
        <f>IF(F1="售价",ROUND(PRODUCT(T48,AB7:AB47),0),ROUND(PRODUCT(T48,AB7:AB47),1))</f>
        <v>#DIV/0!</v>
      </c>
      <c r="U49" s="3852"/>
      <c r="V49" s="3852" t="e">
        <f>IF(F1="售价",ROUND(PRODUCT(V48,AC7:AC47),0),ROUND(PRODUCT(V48,AC7:AC47),1))</f>
        <v>#DIV/0!</v>
      </c>
      <c r="W49" s="385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898" t="str">
        <f>A50</f>
        <v>估价对象XX用房的比较价值（楼面单价，元/平方米）</v>
      </c>
      <c r="Q50" s="3899"/>
      <c r="R50" s="3900" t="e">
        <f>IF(F1="售价",ROUND(IF(D49="简单平均",AVERAGE(R49:V49),R49*F49+T49*H49+V49*J49),0),ROUND(IF(D49="简单平均",AVERAGE(R49:V49),R49*F49+T49*H49+V49*J49),1))</f>
        <v>#DIV/0!</v>
      </c>
      <c r="S50" s="3900"/>
      <c r="T50" s="3900"/>
      <c r="U50" s="3900"/>
      <c r="V50" s="3900"/>
      <c r="W50" s="390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2013-10</v>
      </c>
      <c r="D59" s="1185">
        <f>EDATE(C59,-1)</f>
        <v>41518</v>
      </c>
      <c r="E59" s="1185">
        <f>EDATE(D59,-1)</f>
        <v>41487</v>
      </c>
      <c r="F59" s="1185">
        <f t="shared" ref="F59:O59" si="16">EDATE(E59,-1)</f>
        <v>41456</v>
      </c>
      <c r="G59" s="1185">
        <f t="shared" si="16"/>
        <v>41426</v>
      </c>
      <c r="H59" s="1185">
        <f t="shared" si="16"/>
        <v>41395</v>
      </c>
      <c r="I59" s="1185">
        <f t="shared" si="16"/>
        <v>41365</v>
      </c>
      <c r="J59" s="1185">
        <f t="shared" si="16"/>
        <v>41334</v>
      </c>
      <c r="K59" s="1185">
        <f t="shared" si="16"/>
        <v>41306</v>
      </c>
      <c r="L59" s="1185">
        <f t="shared" si="16"/>
        <v>41275</v>
      </c>
      <c r="M59" s="1185">
        <f t="shared" si="16"/>
        <v>41244</v>
      </c>
      <c r="N59" s="1185">
        <f t="shared" si="16"/>
        <v>41214</v>
      </c>
      <c r="O59" s="1185">
        <f t="shared" si="16"/>
        <v>41183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2013年10月21日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本次估价的“房地产价值”是指在正常市场情况下，在价值时点2013年10月21日，估价对象规划用途为，土地取得方式为划拨，假定未设立法定优先受偿款下的房地产市场价值。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913"/>
      <c r="M4" s="914"/>
      <c r="N4" s="914"/>
      <c r="O4" s="914"/>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913"/>
      <c r="M5" s="914"/>
      <c r="N5" s="914"/>
      <c r="O5" s="914"/>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913"/>
      <c r="M6" s="914"/>
      <c r="N6" s="914"/>
      <c r="O6" s="914"/>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SUMIF(52:52,YEAR(E7)&amp;"-"&amp;MONTH(E7),53:53)</f>
        <v>0</v>
      </c>
      <c r="G7" s="366"/>
      <c r="H7" s="365">
        <f>SUMIF(52:52,YEAR(G7)&amp;"-"&amp;MONTH(G7),53:53)</f>
        <v>0</v>
      </c>
      <c r="I7" s="366"/>
      <c r="J7" s="365">
        <f>SUMIF(52:52,YEAR(I7)&amp;"-"&amp;MONTH(I7),53:53)</f>
        <v>0</v>
      </c>
      <c r="K7" s="560"/>
      <c r="L7" s="915"/>
      <c r="M7" s="916"/>
      <c r="N7" s="916"/>
      <c r="O7" s="916"/>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87" t="s">
        <v>1683</v>
      </c>
      <c r="Q8" s="3888"/>
      <c r="R8" s="701" t="s">
        <v>14</v>
      </c>
      <c r="S8" s="702">
        <f t="shared" si="0"/>
        <v>100</v>
      </c>
      <c r="T8" s="701" t="s">
        <v>14</v>
      </c>
      <c r="U8" s="702">
        <f t="shared" si="1"/>
        <v>100</v>
      </c>
      <c r="V8" s="701" t="s">
        <v>14</v>
      </c>
      <c r="W8" s="702">
        <f t="shared" si="2"/>
        <v>100</v>
      </c>
      <c r="X8" s="703"/>
      <c r="Y8" s="3887" t="s">
        <v>1683</v>
      </c>
      <c r="Z8" s="38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1"/>
      <c r="Q11" s="1343"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3" t="s">
        <v>1691</v>
      </c>
      <c r="Q15" s="1352" t="str">
        <f t="shared" si="6"/>
        <v>产业集聚程度</v>
      </c>
      <c r="R15" s="705" t="s">
        <v>14</v>
      </c>
      <c r="S15" s="706">
        <f t="shared" si="0"/>
        <v>100</v>
      </c>
      <c r="T15" s="705" t="s">
        <v>14</v>
      </c>
      <c r="U15" s="706">
        <f t="shared" si="1"/>
        <v>100</v>
      </c>
      <c r="V15" s="705" t="s">
        <v>14</v>
      </c>
      <c r="W15" s="706">
        <f t="shared" si="2"/>
        <v>100</v>
      </c>
      <c r="X15" s="1355"/>
      <c r="Y15" s="38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4"/>
      <c r="Q16" s="1352"/>
      <c r="R16" s="705"/>
      <c r="S16" s="706"/>
      <c r="T16" s="705"/>
      <c r="U16" s="706"/>
      <c r="V16" s="705"/>
      <c r="W16" s="706"/>
      <c r="X16" s="1355"/>
      <c r="Y16" s="38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4"/>
      <c r="Q18" s="1352"/>
      <c r="R18" s="705"/>
      <c r="S18" s="706"/>
      <c r="T18" s="705"/>
      <c r="U18" s="706"/>
      <c r="V18" s="705"/>
      <c r="W18" s="706"/>
      <c r="X18" s="1355"/>
      <c r="Y18" s="38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4"/>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4"/>
      <c r="Q20" s="1352"/>
      <c r="R20" s="705"/>
      <c r="S20" s="706"/>
      <c r="T20" s="705"/>
      <c r="U20" s="706"/>
      <c r="V20" s="705"/>
      <c r="W20" s="706"/>
      <c r="X20" s="1355"/>
      <c r="Y20" s="38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4"/>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4"/>
      <c r="Q22" s="1352"/>
      <c r="R22" s="705"/>
      <c r="S22" s="706"/>
      <c r="T22" s="705"/>
      <c r="U22" s="706"/>
      <c r="V22" s="705"/>
      <c r="W22" s="706"/>
      <c r="X22" s="1355"/>
      <c r="Y22" s="38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4"/>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4"/>
      <c r="Q24" s="1352"/>
      <c r="R24" s="705"/>
      <c r="S24" s="706"/>
      <c r="T24" s="705"/>
      <c r="U24" s="706"/>
      <c r="V24" s="705"/>
      <c r="W24" s="706"/>
      <c r="X24" s="1355"/>
      <c r="Y24" s="38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4"/>
      <c r="Q25" s="1352">
        <f>B25</f>
        <v>111</v>
      </c>
      <c r="R25" s="705" t="s">
        <v>14</v>
      </c>
      <c r="S25" s="706">
        <f>F25</f>
        <v>100</v>
      </c>
      <c r="T25" s="705" t="s">
        <v>14</v>
      </c>
      <c r="U25" s="706">
        <f>H25</f>
        <v>100</v>
      </c>
      <c r="V25" s="705" t="s">
        <v>14</v>
      </c>
      <c r="W25" s="706">
        <f>J25</f>
        <v>100</v>
      </c>
      <c r="X25" s="1355"/>
      <c r="Y25" s="38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4"/>
      <c r="Q26" s="1352">
        <f t="shared" ref="Q26:Q40" si="11">B26</f>
        <v>111</v>
      </c>
      <c r="R26" s="705" t="s">
        <v>14</v>
      </c>
      <c r="S26" s="706">
        <f>F26</f>
        <v>100</v>
      </c>
      <c r="T26" s="705" t="s">
        <v>14</v>
      </c>
      <c r="U26" s="706">
        <f>H26</f>
        <v>100</v>
      </c>
      <c r="V26" s="705" t="s">
        <v>14</v>
      </c>
      <c r="W26" s="706">
        <f>J26</f>
        <v>100</v>
      </c>
      <c r="X26" s="1355"/>
      <c r="Y26" s="38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4"/>
      <c r="Q27" s="1343">
        <f t="shared" si="11"/>
        <v>111</v>
      </c>
      <c r="R27" s="701" t="s">
        <v>14</v>
      </c>
      <c r="S27" s="702">
        <f>F27</f>
        <v>100</v>
      </c>
      <c r="T27" s="701" t="s">
        <v>14</v>
      </c>
      <c r="U27" s="702">
        <f>H27</f>
        <v>100</v>
      </c>
      <c r="V27" s="701" t="s">
        <v>14</v>
      </c>
      <c r="W27" s="702">
        <f>J27</f>
        <v>100</v>
      </c>
      <c r="X27" s="703"/>
      <c r="Y27" s="38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4"/>
      <c r="Q28" s="1352">
        <f t="shared" si="11"/>
        <v>111</v>
      </c>
      <c r="R28" s="705" t="s">
        <v>14</v>
      </c>
      <c r="S28" s="706">
        <f t="shared" ref="S28:S40" si="12">F28</f>
        <v>100</v>
      </c>
      <c r="T28" s="705" t="s">
        <v>14</v>
      </c>
      <c r="U28" s="706">
        <f t="shared" ref="U28:U40" si="13">H28</f>
        <v>100</v>
      </c>
      <c r="V28" s="705" t="s">
        <v>14</v>
      </c>
      <c r="W28" s="706">
        <f t="shared" ref="W28:W40" si="14">J28</f>
        <v>100</v>
      </c>
      <c r="X28" s="1355"/>
      <c r="Y28" s="38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3" t="s">
        <v>1696</v>
      </c>
      <c r="Q29" s="1352" t="str">
        <f t="shared" si="11"/>
        <v>建筑类型</v>
      </c>
      <c r="R29" s="705" t="s">
        <v>14</v>
      </c>
      <c r="S29" s="706">
        <f t="shared" si="12"/>
        <v>100</v>
      </c>
      <c r="T29" s="705" t="s">
        <v>14</v>
      </c>
      <c r="U29" s="706">
        <f t="shared" si="13"/>
        <v>100</v>
      </c>
      <c r="V29" s="705" t="s">
        <v>14</v>
      </c>
      <c r="W29" s="706">
        <f t="shared" si="14"/>
        <v>100</v>
      </c>
      <c r="X29" s="1355"/>
      <c r="Y29" s="38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8"/>
      <c r="Q30" s="707" t="str">
        <f t="shared" si="11"/>
        <v>项目建筑规模</v>
      </c>
      <c r="R30" s="708" t="s">
        <v>14</v>
      </c>
      <c r="S30" s="709" t="e">
        <f t="shared" si="12"/>
        <v>#N/A</v>
      </c>
      <c r="T30" s="708" t="s">
        <v>14</v>
      </c>
      <c r="U30" s="709" t="e">
        <f t="shared" si="13"/>
        <v>#N/A</v>
      </c>
      <c r="V30" s="708" t="s">
        <v>14</v>
      </c>
      <c r="W30" s="709" t="e">
        <f t="shared" si="14"/>
        <v>#N/A</v>
      </c>
      <c r="X30" s="710"/>
      <c r="Y30" s="38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8"/>
      <c r="Q31" s="1352" t="str">
        <f t="shared" si="11"/>
        <v>建筑结构</v>
      </c>
      <c r="R31" s="705" t="s">
        <v>14</v>
      </c>
      <c r="S31" s="706">
        <f t="shared" si="12"/>
        <v>100</v>
      </c>
      <c r="T31" s="705" t="s">
        <v>14</v>
      </c>
      <c r="U31" s="706">
        <f t="shared" si="13"/>
        <v>100</v>
      </c>
      <c r="V31" s="705" t="s">
        <v>14</v>
      </c>
      <c r="W31" s="706">
        <f t="shared" si="14"/>
        <v>100</v>
      </c>
      <c r="X31" s="1355"/>
      <c r="Y31" s="38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8"/>
      <c r="Q32" s="1352" t="str">
        <f t="shared" si="11"/>
        <v>公共部分装修</v>
      </c>
      <c r="R32" s="705" t="s">
        <v>14</v>
      </c>
      <c r="S32" s="706">
        <f t="shared" si="12"/>
        <v>100</v>
      </c>
      <c r="T32" s="705" t="s">
        <v>14</v>
      </c>
      <c r="U32" s="706">
        <f t="shared" si="13"/>
        <v>100</v>
      </c>
      <c r="V32" s="705" t="s">
        <v>14</v>
      </c>
      <c r="W32" s="706">
        <f t="shared" si="14"/>
        <v>100</v>
      </c>
      <c r="X32" s="1355"/>
      <c r="Y32" s="38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8"/>
      <c r="Q33" s="1352" t="str">
        <f t="shared" si="11"/>
        <v>成新度</v>
      </c>
      <c r="R33" s="705" t="s">
        <v>14</v>
      </c>
      <c r="S33" s="706" t="e">
        <f t="shared" si="12"/>
        <v>#N/A</v>
      </c>
      <c r="T33" s="705" t="s">
        <v>14</v>
      </c>
      <c r="U33" s="706" t="e">
        <f t="shared" si="13"/>
        <v>#N/A</v>
      </c>
      <c r="V33" s="705" t="s">
        <v>14</v>
      </c>
      <c r="W33" s="706" t="e">
        <f t="shared" si="14"/>
        <v>#N/A</v>
      </c>
      <c r="X33" s="1355"/>
      <c r="Y33" s="38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8"/>
      <c r="Q34" s="1343" t="str">
        <f t="shared" si="11"/>
        <v>物业管理</v>
      </c>
      <c r="R34" s="701" t="s">
        <v>14</v>
      </c>
      <c r="S34" s="702">
        <f t="shared" si="12"/>
        <v>100</v>
      </c>
      <c r="T34" s="701" t="s">
        <v>14</v>
      </c>
      <c r="U34" s="702">
        <f t="shared" si="13"/>
        <v>100</v>
      </c>
      <c r="V34" s="701" t="s">
        <v>14</v>
      </c>
      <c r="W34" s="702">
        <f t="shared" si="14"/>
        <v>100</v>
      </c>
      <c r="X34" s="703"/>
      <c r="Y34" s="38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8" t="s">
        <v>1696</v>
      </c>
      <c r="Q35" s="1352" t="str">
        <f t="shared" si="11"/>
        <v>市政基础设施</v>
      </c>
      <c r="R35" s="705" t="s">
        <v>14</v>
      </c>
      <c r="S35" s="706">
        <f t="shared" si="12"/>
        <v>100</v>
      </c>
      <c r="T35" s="705" t="s">
        <v>14</v>
      </c>
      <c r="U35" s="706">
        <f t="shared" si="13"/>
        <v>100</v>
      </c>
      <c r="V35" s="705" t="s">
        <v>14</v>
      </c>
      <c r="W35" s="706">
        <f t="shared" si="14"/>
        <v>100</v>
      </c>
      <c r="X35" s="1355"/>
      <c r="Y35" s="38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8"/>
      <c r="Q36" s="1352" t="str">
        <f t="shared" si="11"/>
        <v>内部装修</v>
      </c>
      <c r="R36" s="705" t="s">
        <v>14</v>
      </c>
      <c r="S36" s="706">
        <f t="shared" si="12"/>
        <v>100</v>
      </c>
      <c r="T36" s="705" t="s">
        <v>14</v>
      </c>
      <c r="U36" s="706">
        <f t="shared" si="13"/>
        <v>100</v>
      </c>
      <c r="V36" s="705" t="s">
        <v>14</v>
      </c>
      <c r="W36" s="706">
        <f t="shared" si="14"/>
        <v>100</v>
      </c>
      <c r="X36" s="1355"/>
      <c r="Y36" s="38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8"/>
      <c r="Q37" s="1352" t="str">
        <f t="shared" si="11"/>
        <v>内部装修状况</v>
      </c>
      <c r="R37" s="705" t="s">
        <v>14</v>
      </c>
      <c r="S37" s="706">
        <f t="shared" si="12"/>
        <v>100</v>
      </c>
      <c r="T37" s="705" t="s">
        <v>14</v>
      </c>
      <c r="U37" s="706">
        <f t="shared" si="13"/>
        <v>100</v>
      </c>
      <c r="V37" s="705" t="s">
        <v>14</v>
      </c>
      <c r="W37" s="706">
        <f t="shared" si="14"/>
        <v>100</v>
      </c>
      <c r="X37" s="1355"/>
      <c r="Y37" s="38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8"/>
      <c r="Q38" s="707">
        <f t="shared" si="11"/>
        <v>111</v>
      </c>
      <c r="R38" s="708" t="s">
        <v>14</v>
      </c>
      <c r="S38" s="709">
        <f t="shared" si="12"/>
        <v>100</v>
      </c>
      <c r="T38" s="708" t="s">
        <v>14</v>
      </c>
      <c r="U38" s="709">
        <f t="shared" si="13"/>
        <v>100</v>
      </c>
      <c r="V38" s="708" t="s">
        <v>14</v>
      </c>
      <c r="W38" s="709">
        <f t="shared" si="14"/>
        <v>100</v>
      </c>
      <c r="X38" s="710"/>
      <c r="Y38" s="38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8"/>
      <c r="Q39" s="1352">
        <f t="shared" si="11"/>
        <v>111</v>
      </c>
      <c r="R39" s="705" t="s">
        <v>14</v>
      </c>
      <c r="S39" s="706">
        <f t="shared" si="12"/>
        <v>100</v>
      </c>
      <c r="T39" s="705" t="s">
        <v>14</v>
      </c>
      <c r="U39" s="706">
        <f t="shared" si="13"/>
        <v>100</v>
      </c>
      <c r="V39" s="705" t="s">
        <v>14</v>
      </c>
      <c r="W39" s="706">
        <f t="shared" si="14"/>
        <v>100</v>
      </c>
      <c r="X39" s="1355"/>
      <c r="Y39" s="38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9"/>
      <c r="Q40" s="1352">
        <f t="shared" si="11"/>
        <v>111</v>
      </c>
      <c r="R40" s="705" t="s">
        <v>14</v>
      </c>
      <c r="S40" s="706">
        <f t="shared" si="12"/>
        <v>100</v>
      </c>
      <c r="T40" s="705" t="s">
        <v>14</v>
      </c>
      <c r="U40" s="706">
        <f t="shared" si="13"/>
        <v>100</v>
      </c>
      <c r="V40" s="705" t="s">
        <v>14</v>
      </c>
      <c r="W40" s="706">
        <f t="shared" si="14"/>
        <v>100</v>
      </c>
      <c r="X40" s="1355"/>
      <c r="Y40" s="38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51" t="str">
        <f>A41</f>
        <v>成交单价（元/平方米）</v>
      </c>
      <c r="Q41" s="3851"/>
      <c r="R41" s="3852">
        <f>E41</f>
        <v>0</v>
      </c>
      <c r="S41" s="3852"/>
      <c r="T41" s="3852">
        <f>G41</f>
        <v>0</v>
      </c>
      <c r="U41" s="3852"/>
      <c r="V41" s="3852">
        <f>I41</f>
        <v>0</v>
      </c>
      <c r="W41" s="385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51" t="str">
        <f>A42</f>
        <v>比较价值（元/平方米）</v>
      </c>
      <c r="Q42" s="3851"/>
      <c r="R42" s="3852" t="e">
        <f>IF(F1="售价",ROUND(PRODUCT(R41,AA7:AA40),0),ROUND(PRODUCT(R41,AA7:AA40),1))</f>
        <v>#DIV/0!</v>
      </c>
      <c r="S42" s="3852"/>
      <c r="T42" s="3852" t="e">
        <f>IF(F1="售价",ROUND(PRODUCT(T41,AB7:AB40),0),ROUND(PRODUCT(T41,AB7:AB40),1))</f>
        <v>#DIV/0!</v>
      </c>
      <c r="U42" s="3852"/>
      <c r="V42" s="3852" t="e">
        <f>IF(F1="售价",ROUND(PRODUCT(V41,AC7:AC40),0),ROUND(PRODUCT(V41,AC7:AC40),1))</f>
        <v>#DIV/0!</v>
      </c>
      <c r="W42" s="38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8" t="str">
        <f>A43</f>
        <v>估价对象XX用房的比较价值（楼面单价，元/平方米）</v>
      </c>
      <c r="Q43" s="3849"/>
      <c r="R43" s="3850" t="e">
        <f>IF(F1="售价",ROUND(IF(D42="简单平均",AVERAGE(R42:V42),R42*F42+T42*H42+V42*J42),0),ROUND(IF(D42="简单平均",AVERAGE(R42:V42),R42*F42+T42*H42+V42*J42),1))</f>
        <v>#DIV/0!</v>
      </c>
      <c r="S43" s="3850"/>
      <c r="T43" s="3850"/>
      <c r="U43" s="3850"/>
      <c r="V43" s="3850"/>
      <c r="W43" s="385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2013-10</v>
      </c>
      <c r="D52" s="1185">
        <f>EDATE(C52,-1)</f>
        <v>41518</v>
      </c>
      <c r="E52" s="1185">
        <f t="shared" ref="E52:O52" si="16">EDATE(D52,-1)</f>
        <v>41487</v>
      </c>
      <c r="F52" s="1185">
        <f t="shared" si="16"/>
        <v>41456</v>
      </c>
      <c r="G52" s="1185">
        <f t="shared" si="16"/>
        <v>41426</v>
      </c>
      <c r="H52" s="1185">
        <f t="shared" si="16"/>
        <v>41395</v>
      </c>
      <c r="I52" s="1185">
        <f t="shared" si="16"/>
        <v>41365</v>
      </c>
      <c r="J52" s="1185">
        <f t="shared" si="16"/>
        <v>41334</v>
      </c>
      <c r="K52" s="1185">
        <f t="shared" si="16"/>
        <v>41306</v>
      </c>
      <c r="L52" s="1185">
        <f t="shared" si="16"/>
        <v>41275</v>
      </c>
      <c r="M52" s="1185">
        <f t="shared" si="16"/>
        <v>41244</v>
      </c>
      <c r="N52" s="1185">
        <f t="shared" si="16"/>
        <v>41214</v>
      </c>
      <c r="O52" s="1185">
        <f t="shared" si="16"/>
        <v>41183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87" t="s">
        <v>1680</v>
      </c>
      <c r="Q7" s="3889"/>
      <c r="R7" s="701" t="s">
        <v>14</v>
      </c>
      <c r="S7" s="702">
        <f t="shared" ref="S7:S14" si="0">F7</f>
        <v>0</v>
      </c>
      <c r="T7" s="701" t="s">
        <v>14</v>
      </c>
      <c r="U7" s="702">
        <f t="shared" ref="U7:U14" si="1">H7</f>
        <v>0</v>
      </c>
      <c r="V7" s="701" t="s">
        <v>14</v>
      </c>
      <c r="W7" s="702">
        <f t="shared" ref="W7:W14"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51" t="s">
        <v>1686</v>
      </c>
      <c r="Q9" s="1343" t="str">
        <f t="shared" ref="Q9:Q14" si="6">B9</f>
        <v>用途</v>
      </c>
      <c r="R9" s="701" t="s">
        <v>14</v>
      </c>
      <c r="S9" s="702">
        <f t="shared" si="0"/>
        <v>100</v>
      </c>
      <c r="T9" s="701" t="s">
        <v>14</v>
      </c>
      <c r="U9" s="702">
        <f t="shared" si="1"/>
        <v>100</v>
      </c>
      <c r="V9" s="701" t="s">
        <v>14</v>
      </c>
      <c r="W9" s="702">
        <f t="shared" si="2"/>
        <v>100</v>
      </c>
      <c r="X9" s="703"/>
      <c r="Y9" s="372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51"/>
      <c r="Q11" s="1343">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53" t="s">
        <v>1691</v>
      </c>
      <c r="Q14" s="1352" t="str">
        <f t="shared" si="6"/>
        <v>交通便捷度</v>
      </c>
      <c r="R14" s="705" t="s">
        <v>14</v>
      </c>
      <c r="S14" s="706">
        <f t="shared" si="0"/>
        <v>100</v>
      </c>
      <c r="T14" s="705" t="s">
        <v>14</v>
      </c>
      <c r="U14" s="706">
        <f t="shared" si="1"/>
        <v>100</v>
      </c>
      <c r="V14" s="705" t="s">
        <v>14</v>
      </c>
      <c r="W14" s="706">
        <f t="shared" si="2"/>
        <v>100</v>
      </c>
      <c r="X14" s="1355"/>
      <c r="Y14" s="38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54"/>
      <c r="Q15" s="1352"/>
      <c r="R15" s="705"/>
      <c r="S15" s="706"/>
      <c r="T15" s="705"/>
      <c r="U15" s="706"/>
      <c r="V15" s="705"/>
      <c r="W15" s="706"/>
      <c r="X15" s="1355"/>
      <c r="Y15" s="38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54"/>
      <c r="Q17" s="1352"/>
      <c r="R17" s="705"/>
      <c r="S17" s="706"/>
      <c r="T17" s="705"/>
      <c r="U17" s="706"/>
      <c r="V17" s="705"/>
      <c r="W17" s="706"/>
      <c r="X17" s="1355"/>
      <c r="Y17" s="38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54"/>
      <c r="Q19" s="1352"/>
      <c r="R19" s="705"/>
      <c r="S19" s="706"/>
      <c r="T19" s="705"/>
      <c r="U19" s="706"/>
      <c r="V19" s="705"/>
      <c r="W19" s="706"/>
      <c r="X19" s="1355"/>
      <c r="Y19" s="38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54"/>
      <c r="Q21" s="1352"/>
      <c r="R21" s="705"/>
      <c r="S21" s="706"/>
      <c r="T21" s="705"/>
      <c r="U21" s="706"/>
      <c r="V21" s="705"/>
      <c r="W21" s="706"/>
      <c r="X21" s="1355"/>
      <c r="Y21" s="38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54"/>
      <c r="Q24" s="1352">
        <f t="shared" ref="Q24:Q36"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1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58"/>
      <c r="Q27" s="707" t="str">
        <f t="shared" si="11"/>
        <v>项目停车位配比</v>
      </c>
      <c r="R27" s="708" t="s">
        <v>14</v>
      </c>
      <c r="S27" s="709">
        <f t="shared" si="12"/>
        <v>100</v>
      </c>
      <c r="T27" s="708" t="s">
        <v>14</v>
      </c>
      <c r="U27" s="709">
        <f t="shared" si="13"/>
        <v>100</v>
      </c>
      <c r="V27" s="708" t="s">
        <v>14</v>
      </c>
      <c r="W27" s="709">
        <f t="shared" si="14"/>
        <v>100</v>
      </c>
      <c r="X27" s="710"/>
      <c r="Y27" s="38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58"/>
      <c r="Q28" s="1352" t="str">
        <f t="shared" si="11"/>
        <v>公共部分装修</v>
      </c>
      <c r="R28" s="705" t="s">
        <v>14</v>
      </c>
      <c r="S28" s="706">
        <f t="shared" si="12"/>
        <v>100</v>
      </c>
      <c r="T28" s="705" t="s">
        <v>14</v>
      </c>
      <c r="U28" s="706">
        <f t="shared" si="13"/>
        <v>100</v>
      </c>
      <c r="V28" s="705" t="s">
        <v>14</v>
      </c>
      <c r="W28" s="706">
        <f t="shared" si="14"/>
        <v>100</v>
      </c>
      <c r="X28" s="1355"/>
      <c r="Y28" s="38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58"/>
      <c r="Q29" s="1352" t="str">
        <f t="shared" si="11"/>
        <v>成新率</v>
      </c>
      <c r="R29" s="705" t="s">
        <v>14</v>
      </c>
      <c r="S29" s="706" t="e">
        <f t="shared" si="12"/>
        <v>#N/A</v>
      </c>
      <c r="T29" s="705" t="s">
        <v>14</v>
      </c>
      <c r="U29" s="706" t="e">
        <f t="shared" si="13"/>
        <v>#N/A</v>
      </c>
      <c r="V29" s="705" t="s">
        <v>14</v>
      </c>
      <c r="W29" s="706" t="e">
        <f t="shared" si="14"/>
        <v>#N/A</v>
      </c>
      <c r="X29" s="1355"/>
      <c r="Y29" s="38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58"/>
      <c r="Q30" s="1352" t="str">
        <f t="shared" si="11"/>
        <v>物业等级</v>
      </c>
      <c r="R30" s="705" t="s">
        <v>14</v>
      </c>
      <c r="S30" s="706">
        <f t="shared" si="12"/>
        <v>100</v>
      </c>
      <c r="T30" s="705" t="s">
        <v>14</v>
      </c>
      <c r="U30" s="706">
        <f t="shared" si="13"/>
        <v>100</v>
      </c>
      <c r="V30" s="705" t="s">
        <v>14</v>
      </c>
      <c r="W30" s="706">
        <f t="shared" si="14"/>
        <v>100</v>
      </c>
      <c r="X30" s="1355"/>
      <c r="Y30" s="38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58"/>
      <c r="Q31" s="1343" t="str">
        <f t="shared" si="11"/>
        <v>停车位面积</v>
      </c>
      <c r="R31" s="701" t="s">
        <v>14</v>
      </c>
      <c r="S31" s="702" t="e">
        <f t="shared" si="12"/>
        <v>#N/A</v>
      </c>
      <c r="T31" s="701" t="s">
        <v>14</v>
      </c>
      <c r="U31" s="702" t="e">
        <f t="shared" si="13"/>
        <v>#N/A</v>
      </c>
      <c r="V31" s="701" t="s">
        <v>14</v>
      </c>
      <c r="W31" s="702" t="e">
        <f t="shared" si="14"/>
        <v>#N/A</v>
      </c>
      <c r="X31" s="703"/>
      <c r="Y31" s="38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58" t="s">
        <v>1696</v>
      </c>
      <c r="Q32" s="1352" t="str">
        <f t="shared" si="11"/>
        <v>车位类型</v>
      </c>
      <c r="R32" s="705" t="s">
        <v>14</v>
      </c>
      <c r="S32" s="706">
        <f t="shared" si="12"/>
        <v>100</v>
      </c>
      <c r="T32" s="705" t="s">
        <v>14</v>
      </c>
      <c r="U32" s="706">
        <f t="shared" si="13"/>
        <v>100</v>
      </c>
      <c r="V32" s="705" t="s">
        <v>14</v>
      </c>
      <c r="W32" s="706">
        <f t="shared" si="14"/>
        <v>100</v>
      </c>
      <c r="X32" s="1355"/>
      <c r="Y32" s="38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58"/>
      <c r="Q33" s="1352" t="str">
        <f t="shared" si="11"/>
        <v>是否直接入户</v>
      </c>
      <c r="R33" s="705" t="s">
        <v>14</v>
      </c>
      <c r="S33" s="706">
        <f t="shared" si="12"/>
        <v>100</v>
      </c>
      <c r="T33" s="705" t="s">
        <v>14</v>
      </c>
      <c r="U33" s="706">
        <f t="shared" si="13"/>
        <v>100</v>
      </c>
      <c r="V33" s="705" t="s">
        <v>14</v>
      </c>
      <c r="W33" s="706">
        <f t="shared" si="14"/>
        <v>100</v>
      </c>
      <c r="X33" s="1355"/>
      <c r="Y33" s="38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58"/>
      <c r="Q35" s="707">
        <f t="shared" si="11"/>
        <v>111</v>
      </c>
      <c r="R35" s="708" t="s">
        <v>14</v>
      </c>
      <c r="S35" s="709">
        <f t="shared" si="12"/>
        <v>100</v>
      </c>
      <c r="T35" s="708" t="s">
        <v>14</v>
      </c>
      <c r="U35" s="709">
        <f t="shared" si="13"/>
        <v>100</v>
      </c>
      <c r="V35" s="708" t="s">
        <v>14</v>
      </c>
      <c r="W35" s="709">
        <f t="shared" si="14"/>
        <v>100</v>
      </c>
      <c r="X35" s="710"/>
      <c r="Y35" s="38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58"/>
      <c r="Q36" s="1352">
        <f t="shared" si="11"/>
        <v>111</v>
      </c>
      <c r="R36" s="705" t="s">
        <v>14</v>
      </c>
      <c r="S36" s="706">
        <f t="shared" si="12"/>
        <v>100</v>
      </c>
      <c r="T36" s="705" t="s">
        <v>14</v>
      </c>
      <c r="U36" s="706">
        <f t="shared" si="13"/>
        <v>100</v>
      </c>
      <c r="V36" s="705" t="s">
        <v>14</v>
      </c>
      <c r="W36" s="706">
        <f t="shared" si="14"/>
        <v>100</v>
      </c>
      <c r="X36" s="1355"/>
      <c r="Y36" s="385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851" t="str">
        <f>A37</f>
        <v>成交单价</v>
      </c>
      <c r="Q37" s="3851"/>
      <c r="R37" s="3852">
        <f>E37</f>
        <v>0</v>
      </c>
      <c r="S37" s="3852"/>
      <c r="T37" s="3852">
        <f>G37</f>
        <v>0</v>
      </c>
      <c r="U37" s="3852"/>
      <c r="V37" s="3852">
        <f>I37</f>
        <v>0</v>
      </c>
      <c r="W37" s="385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51" t="str">
        <f>A38</f>
        <v>比较价值（元/平方米）</v>
      </c>
      <c r="Q38" s="3851"/>
      <c r="R38" s="3852" t="e">
        <f>IF(F1="售价",ROUND(PRODUCT(R37,AA7:AA36),0),ROUND(PRODUCT(R37,AA7:AA36),1))</f>
        <v>#DIV/0!</v>
      </c>
      <c r="S38" s="3852"/>
      <c r="T38" s="3852" t="e">
        <f>IF(F1="售价",ROUND(PRODUCT(T37,AB7:AB36),0),ROUND(PRODUCT(T37,AB7:AB36),1))</f>
        <v>#DIV/0!</v>
      </c>
      <c r="U38" s="3852"/>
      <c r="V38" s="3852" t="e">
        <f>IF(F1="售价",ROUND(PRODUCT(V37,AC7:AC36),0),ROUND(PRODUCT(V37,AC7:AC36),1))</f>
        <v>#DIV/0!</v>
      </c>
      <c r="W38" s="38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48" t="str">
        <f>A39</f>
        <v>估价对象XX用房的比较价值（楼面单价，元/平方米）</v>
      </c>
      <c r="Q39" s="3849"/>
      <c r="R39" s="3914" t="e">
        <f>IF(F1="售价",ROUND(IF(D38="简单平均",AVERAGE(R38:W38),R38*F38+T38*H38+V38*J38),0),ROUND(IF(D38="简单平均",AVERAGE(R38:V38),R38*F38+T38*H38+V38*J38),1))</f>
        <v>#DIV/0!</v>
      </c>
      <c r="S39" s="3914"/>
      <c r="T39" s="3914"/>
      <c r="U39" s="3914"/>
      <c r="V39" s="3914"/>
      <c r="W39" s="39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2013-10</v>
      </c>
      <c r="D48" s="1185">
        <f>EDATE(C48,-1)</f>
        <v>41518</v>
      </c>
      <c r="E48" s="1185">
        <f t="shared" ref="E48:O48" si="16">EDATE(D48,-1)</f>
        <v>41487</v>
      </c>
      <c r="F48" s="1185">
        <f t="shared" si="16"/>
        <v>41456</v>
      </c>
      <c r="G48" s="1185">
        <f t="shared" si="16"/>
        <v>41426</v>
      </c>
      <c r="H48" s="1185">
        <f t="shared" si="16"/>
        <v>41395</v>
      </c>
      <c r="I48" s="1185">
        <f t="shared" si="16"/>
        <v>41365</v>
      </c>
      <c r="J48" s="1185">
        <f t="shared" si="16"/>
        <v>41334</v>
      </c>
      <c r="K48" s="1185">
        <f t="shared" si="16"/>
        <v>41306</v>
      </c>
      <c r="L48" s="1185">
        <f t="shared" si="16"/>
        <v>41275</v>
      </c>
      <c r="M48" s="1185">
        <f t="shared" si="16"/>
        <v>41244</v>
      </c>
      <c r="N48" s="1185">
        <f t="shared" si="16"/>
        <v>41214</v>
      </c>
      <c r="O48" s="1185">
        <f t="shared" si="16"/>
        <v>41183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87" t="s">
        <v>1680</v>
      </c>
      <c r="Q7" s="3889"/>
      <c r="R7" s="701" t="s">
        <v>14</v>
      </c>
      <c r="S7" s="702">
        <f t="shared" ref="S7:S14" si="0">F7</f>
        <v>0</v>
      </c>
      <c r="T7" s="701" t="s">
        <v>14</v>
      </c>
      <c r="U7" s="702">
        <f t="shared" ref="U7:U14" si="1">H7</f>
        <v>0</v>
      </c>
      <c r="V7" s="701" t="s">
        <v>14</v>
      </c>
      <c r="W7" s="702">
        <f t="shared" ref="W7:W14"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51" t="s">
        <v>1686</v>
      </c>
      <c r="Q9" s="1343" t="str">
        <f t="shared" ref="Q9:Q14" si="6">B9</f>
        <v>用途</v>
      </c>
      <c r="R9" s="701" t="s">
        <v>14</v>
      </c>
      <c r="S9" s="702">
        <f t="shared" si="0"/>
        <v>100</v>
      </c>
      <c r="T9" s="701" t="s">
        <v>14</v>
      </c>
      <c r="U9" s="702">
        <f t="shared" si="1"/>
        <v>100</v>
      </c>
      <c r="V9" s="701" t="s">
        <v>14</v>
      </c>
      <c r="W9" s="702">
        <f t="shared" si="2"/>
        <v>100</v>
      </c>
      <c r="X9" s="703"/>
      <c r="Y9" s="372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51"/>
      <c r="Q11" s="1343">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53" t="s">
        <v>1691</v>
      </c>
      <c r="Q14" s="1352" t="str">
        <f t="shared" si="6"/>
        <v>交通便捷度</v>
      </c>
      <c r="R14" s="705" t="s">
        <v>14</v>
      </c>
      <c r="S14" s="706">
        <f t="shared" si="0"/>
        <v>100</v>
      </c>
      <c r="T14" s="705" t="s">
        <v>14</v>
      </c>
      <c r="U14" s="706">
        <f t="shared" si="1"/>
        <v>100</v>
      </c>
      <c r="V14" s="705" t="s">
        <v>14</v>
      </c>
      <c r="W14" s="706">
        <f t="shared" si="2"/>
        <v>100</v>
      </c>
      <c r="X14" s="1355"/>
      <c r="Y14" s="38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54"/>
      <c r="Q15" s="1352"/>
      <c r="R15" s="705"/>
      <c r="S15" s="706"/>
      <c r="T15" s="705"/>
      <c r="U15" s="706"/>
      <c r="V15" s="705"/>
      <c r="W15" s="706"/>
      <c r="X15" s="1355"/>
      <c r="Y15" s="38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54"/>
      <c r="Q17" s="1352"/>
      <c r="R17" s="705"/>
      <c r="S17" s="706"/>
      <c r="T17" s="705"/>
      <c r="U17" s="706"/>
      <c r="V17" s="705"/>
      <c r="W17" s="706"/>
      <c r="X17" s="1355"/>
      <c r="Y17" s="38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54"/>
      <c r="Q19" s="1352"/>
      <c r="R19" s="705"/>
      <c r="S19" s="706"/>
      <c r="T19" s="705"/>
      <c r="U19" s="706"/>
      <c r="V19" s="705"/>
      <c r="W19" s="706"/>
      <c r="X19" s="1355"/>
      <c r="Y19" s="38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54"/>
      <c r="Q21" s="1352"/>
      <c r="R21" s="705"/>
      <c r="S21" s="706"/>
      <c r="T21" s="705"/>
      <c r="U21" s="706"/>
      <c r="V21" s="705"/>
      <c r="W21" s="706"/>
      <c r="X21" s="1355"/>
      <c r="Y21" s="38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54"/>
      <c r="Q24" s="1352">
        <f t="shared" ref="Q24:Q34"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1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58"/>
      <c r="Q27" s="707" t="str">
        <f t="shared" si="11"/>
        <v>成新率</v>
      </c>
      <c r="R27" s="708" t="s">
        <v>14</v>
      </c>
      <c r="S27" s="709" t="e">
        <f t="shared" si="12"/>
        <v>#N/A</v>
      </c>
      <c r="T27" s="708" t="s">
        <v>14</v>
      </c>
      <c r="U27" s="709" t="e">
        <f t="shared" si="13"/>
        <v>#N/A</v>
      </c>
      <c r="V27" s="708" t="s">
        <v>14</v>
      </c>
      <c r="W27" s="709" t="e">
        <f t="shared" si="14"/>
        <v>#N/A</v>
      </c>
      <c r="X27" s="710"/>
      <c r="Y27" s="38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58"/>
      <c r="Q28" s="1352" t="str">
        <f t="shared" si="11"/>
        <v>物业等级</v>
      </c>
      <c r="R28" s="705" t="s">
        <v>14</v>
      </c>
      <c r="S28" s="706">
        <f t="shared" si="12"/>
        <v>100</v>
      </c>
      <c r="T28" s="705" t="s">
        <v>14</v>
      </c>
      <c r="U28" s="706">
        <f t="shared" si="13"/>
        <v>100</v>
      </c>
      <c r="V28" s="705" t="s">
        <v>14</v>
      </c>
      <c r="W28" s="706">
        <f t="shared" si="14"/>
        <v>100</v>
      </c>
      <c r="X28" s="1355"/>
      <c r="Y28" s="38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58"/>
      <c r="Q29" s="1352" t="str">
        <f t="shared" si="11"/>
        <v>有无电梯</v>
      </c>
      <c r="R29" s="705" t="s">
        <v>14</v>
      </c>
      <c r="S29" s="706">
        <f t="shared" si="12"/>
        <v>100</v>
      </c>
      <c r="T29" s="705" t="s">
        <v>14</v>
      </c>
      <c r="U29" s="706">
        <f t="shared" si="13"/>
        <v>100</v>
      </c>
      <c r="V29" s="705" t="s">
        <v>14</v>
      </c>
      <c r="W29" s="706">
        <f t="shared" si="14"/>
        <v>100</v>
      </c>
      <c r="X29" s="1355"/>
      <c r="Y29" s="38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58"/>
      <c r="Q30" s="1352" t="str">
        <f t="shared" si="11"/>
        <v>建筑面积</v>
      </c>
      <c r="R30" s="705" t="s">
        <v>14</v>
      </c>
      <c r="S30" s="706" t="e">
        <f t="shared" si="12"/>
        <v>#N/A</v>
      </c>
      <c r="T30" s="705" t="s">
        <v>14</v>
      </c>
      <c r="U30" s="706" t="e">
        <f t="shared" si="13"/>
        <v>#N/A</v>
      </c>
      <c r="V30" s="705" t="s">
        <v>14</v>
      </c>
      <c r="W30" s="706" t="e">
        <f t="shared" si="14"/>
        <v>#N/A</v>
      </c>
      <c r="X30" s="1355"/>
      <c r="Y30" s="38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58"/>
      <c r="Q31" s="1343" t="str">
        <f t="shared" si="11"/>
        <v>是否封闭</v>
      </c>
      <c r="R31" s="701" t="s">
        <v>14</v>
      </c>
      <c r="S31" s="702">
        <f t="shared" si="12"/>
        <v>100</v>
      </c>
      <c r="T31" s="701" t="s">
        <v>14</v>
      </c>
      <c r="U31" s="702">
        <f t="shared" si="13"/>
        <v>100</v>
      </c>
      <c r="V31" s="701" t="s">
        <v>14</v>
      </c>
      <c r="W31" s="702">
        <f t="shared" si="14"/>
        <v>100</v>
      </c>
      <c r="X31" s="703"/>
      <c r="Y31" s="38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58" t="s">
        <v>1696</v>
      </c>
      <c r="Q32" s="1352">
        <f t="shared" si="11"/>
        <v>111</v>
      </c>
      <c r="R32" s="705" t="s">
        <v>14</v>
      </c>
      <c r="S32" s="706">
        <f t="shared" si="12"/>
        <v>100</v>
      </c>
      <c r="T32" s="705" t="s">
        <v>14</v>
      </c>
      <c r="U32" s="706">
        <f t="shared" si="13"/>
        <v>100</v>
      </c>
      <c r="V32" s="705" t="s">
        <v>14</v>
      </c>
      <c r="W32" s="706">
        <f t="shared" si="14"/>
        <v>100</v>
      </c>
      <c r="X32" s="1355"/>
      <c r="Y32" s="38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58"/>
      <c r="Q33" s="1352">
        <f t="shared" si="11"/>
        <v>111</v>
      </c>
      <c r="R33" s="705" t="s">
        <v>14</v>
      </c>
      <c r="S33" s="706">
        <f t="shared" si="12"/>
        <v>100</v>
      </c>
      <c r="T33" s="705" t="s">
        <v>14</v>
      </c>
      <c r="U33" s="706">
        <f t="shared" si="13"/>
        <v>100</v>
      </c>
      <c r="V33" s="705" t="s">
        <v>14</v>
      </c>
      <c r="W33" s="706">
        <f t="shared" si="14"/>
        <v>100</v>
      </c>
      <c r="X33" s="1355"/>
      <c r="Y33" s="38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51" t="str">
        <f>A35</f>
        <v>成交单价（元/平方米）</v>
      </c>
      <c r="Q35" s="3851"/>
      <c r="R35" s="3852">
        <f>E35</f>
        <v>0</v>
      </c>
      <c r="S35" s="3852"/>
      <c r="T35" s="3852">
        <f>G35</f>
        <v>0</v>
      </c>
      <c r="U35" s="3852"/>
      <c r="V35" s="3852">
        <f>I35</f>
        <v>0</v>
      </c>
      <c r="W35" s="385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51" t="str">
        <f>A36</f>
        <v>比较价值（元/平方米）</v>
      </c>
      <c r="Q36" s="3851"/>
      <c r="R36" s="3852" t="e">
        <f>IF(F1="售价",ROUND(PRODUCT(R35,AA7:AA34),0),ROUND(PRODUCT(R35,AA7:AA34),1))</f>
        <v>#DIV/0!</v>
      </c>
      <c r="S36" s="3852"/>
      <c r="T36" s="3852" t="e">
        <f>IF(F1="售价",ROUND(PRODUCT(T35,AB7:AB34),0),ROUND(PRODUCT(T35,AB7:AB34),1))</f>
        <v>#DIV/0!</v>
      </c>
      <c r="U36" s="3852"/>
      <c r="V36" s="3852" t="e">
        <f>IF(F1="售价",ROUND(PRODUCT(V35,AC7:AC34),0),ROUND(PRODUCT(V35,AC7:AC34),1))</f>
        <v>#DIV/0!</v>
      </c>
      <c r="W36" s="38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48" t="str">
        <f>A37</f>
        <v>估价对象XX用房的比较价值（楼面单价，元/平方米）</v>
      </c>
      <c r="Q37" s="3849"/>
      <c r="R37" s="3914" t="e">
        <f>IF(F1="售价",ROUND(IF(D36="简单平均",AVERAGE(R36:W36),R36*F36+T36*H36+V36*J36),0),ROUND(IF(D36="简单平均",AVERAGE(R36:V36),R36*F36+T36*H36+V36*J36),1))</f>
        <v>#DIV/0!</v>
      </c>
      <c r="S37" s="3914"/>
      <c r="T37" s="3914"/>
      <c r="U37" s="3914"/>
      <c r="V37" s="3914"/>
      <c r="W37" s="39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2013-10</v>
      </c>
      <c r="D46" s="1185">
        <f>EDATE(C46,-1)</f>
        <v>41518</v>
      </c>
      <c r="E46" s="1185">
        <f t="shared" ref="E46:O46" si="16">EDATE(D46,-1)</f>
        <v>41487</v>
      </c>
      <c r="F46" s="1185">
        <f t="shared" si="16"/>
        <v>41456</v>
      </c>
      <c r="G46" s="1185">
        <f t="shared" si="16"/>
        <v>41426</v>
      </c>
      <c r="H46" s="1185">
        <f t="shared" si="16"/>
        <v>41395</v>
      </c>
      <c r="I46" s="1185">
        <f t="shared" si="16"/>
        <v>41365</v>
      </c>
      <c r="J46" s="1185">
        <f t="shared" si="16"/>
        <v>41334</v>
      </c>
      <c r="K46" s="1185">
        <f t="shared" si="16"/>
        <v>41306</v>
      </c>
      <c r="L46" s="1185">
        <f t="shared" si="16"/>
        <v>41275</v>
      </c>
      <c r="M46" s="1185">
        <f t="shared" si="16"/>
        <v>41244</v>
      </c>
      <c r="N46" s="1185">
        <f t="shared" si="16"/>
        <v>41214</v>
      </c>
      <c r="O46" s="1185">
        <f t="shared" si="16"/>
        <v>41183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30"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30"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30" s="108" customFormat="1" ht="15.75" thickBot="1">
      <c r="A7" s="362" t="s">
        <v>1679</v>
      </c>
      <c r="B7" s="363"/>
      <c r="C7" s="364">
        <f>'数据-取费表'!B2</f>
        <v>41568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87" t="s">
        <v>1683</v>
      </c>
      <c r="Q8" s="3888"/>
      <c r="R8" s="701" t="s">
        <v>14</v>
      </c>
      <c r="S8" s="702">
        <f t="shared" si="0"/>
        <v>0</v>
      </c>
      <c r="T8" s="701" t="s">
        <v>14</v>
      </c>
      <c r="U8" s="702">
        <f t="shared" si="1"/>
        <v>0</v>
      </c>
      <c r="V8" s="701" t="s">
        <v>14</v>
      </c>
      <c r="W8" s="702">
        <f t="shared" si="2"/>
        <v>0</v>
      </c>
      <c r="X8" s="703"/>
      <c r="Y8" s="3887" t="s">
        <v>1683</v>
      </c>
      <c r="Z8" s="38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51"/>
      <c r="Q10" s="1343" t="str">
        <f t="shared" si="6"/>
        <v>土地使用年限（年）</v>
      </c>
      <c r="R10" s="701" t="s">
        <v>14</v>
      </c>
      <c r="S10" s="702" t="e">
        <f t="shared" si="0"/>
        <v>#DIV/0!</v>
      </c>
      <c r="T10" s="701" t="s">
        <v>14</v>
      </c>
      <c r="U10" s="702" t="e">
        <f t="shared" si="1"/>
        <v>#DIV/0!</v>
      </c>
      <c r="V10" s="701" t="s">
        <v>14</v>
      </c>
      <c r="W10" s="702" t="e">
        <f t="shared" si="2"/>
        <v>#DIV/0!</v>
      </c>
      <c r="X10" s="703"/>
      <c r="Y10" s="37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51"/>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51"/>
      <c r="Q12" s="1343" t="str">
        <f t="shared" si="6"/>
        <v>配建</v>
      </c>
      <c r="R12" s="701" t="s">
        <v>14</v>
      </c>
      <c r="S12" s="702">
        <f t="shared" si="0"/>
        <v>100</v>
      </c>
      <c r="T12" s="701" t="s">
        <v>14</v>
      </c>
      <c r="U12" s="702">
        <f t="shared" si="1"/>
        <v>100</v>
      </c>
      <c r="V12" s="701" t="s">
        <v>14</v>
      </c>
      <c r="W12" s="702">
        <f t="shared" si="2"/>
        <v>100</v>
      </c>
      <c r="X12" s="703"/>
      <c r="Y12" s="37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53" t="s">
        <v>1691</v>
      </c>
      <c r="Q15" s="1352" t="str">
        <f t="shared" si="6"/>
        <v>居住社区成熟度</v>
      </c>
      <c r="R15" s="705" t="s">
        <v>14</v>
      </c>
      <c r="S15" s="706">
        <f t="shared" si="0"/>
        <v>100</v>
      </c>
      <c r="T15" s="705" t="s">
        <v>14</v>
      </c>
      <c r="U15" s="706">
        <f t="shared" si="1"/>
        <v>100</v>
      </c>
      <c r="V15" s="705" t="s">
        <v>14</v>
      </c>
      <c r="W15" s="706">
        <f t="shared" si="2"/>
        <v>100</v>
      </c>
      <c r="X15" s="1355"/>
      <c r="Y15" s="38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54"/>
      <c r="Q16" s="1352"/>
      <c r="R16" s="705"/>
      <c r="S16" s="706"/>
      <c r="T16" s="705"/>
      <c r="U16" s="706"/>
      <c r="V16" s="705"/>
      <c r="W16" s="706"/>
      <c r="X16" s="1355"/>
      <c r="Y16" s="38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54"/>
      <c r="Q17" s="1352" t="str">
        <f>B17</f>
        <v>商业繁华度</v>
      </c>
      <c r="R17" s="705" t="s">
        <v>14</v>
      </c>
      <c r="S17" s="706">
        <f>F17</f>
        <v>100</v>
      </c>
      <c r="T17" s="705" t="s">
        <v>14</v>
      </c>
      <c r="U17" s="706">
        <f>H17</f>
        <v>100</v>
      </c>
      <c r="V17" s="705" t="s">
        <v>14</v>
      </c>
      <c r="W17" s="706">
        <f>J17</f>
        <v>100</v>
      </c>
      <c r="X17" s="1355"/>
      <c r="Y17" s="38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54"/>
      <c r="Q18" s="1352"/>
      <c r="R18" s="705"/>
      <c r="S18" s="706"/>
      <c r="T18" s="705"/>
      <c r="U18" s="706"/>
      <c r="V18" s="705"/>
      <c r="W18" s="706"/>
      <c r="X18" s="1355"/>
      <c r="Y18" s="38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54"/>
      <c r="Q19" s="1352" t="str">
        <f>B19</f>
        <v>办公集聚程度</v>
      </c>
      <c r="R19" s="705" t="s">
        <v>14</v>
      </c>
      <c r="S19" s="706">
        <f>F19</f>
        <v>100</v>
      </c>
      <c r="T19" s="705" t="s">
        <v>14</v>
      </c>
      <c r="U19" s="706">
        <f>H19</f>
        <v>100</v>
      </c>
      <c r="V19" s="705" t="s">
        <v>14</v>
      </c>
      <c r="W19" s="706">
        <f>J19</f>
        <v>100</v>
      </c>
      <c r="X19" s="1355"/>
      <c r="Y19" s="38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54"/>
      <c r="Q20" s="1352"/>
      <c r="R20" s="705"/>
      <c r="S20" s="706"/>
      <c r="T20" s="705"/>
      <c r="U20" s="706"/>
      <c r="V20" s="705"/>
      <c r="W20" s="706"/>
      <c r="X20" s="1355"/>
      <c r="Y20" s="38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54"/>
      <c r="Q21" s="1352" t="str">
        <f>B21</f>
        <v>交通便捷度</v>
      </c>
      <c r="R21" s="705" t="s">
        <v>14</v>
      </c>
      <c r="S21" s="706">
        <f>F21</f>
        <v>100</v>
      </c>
      <c r="T21" s="705" t="s">
        <v>14</v>
      </c>
      <c r="U21" s="706">
        <f>H21</f>
        <v>100</v>
      </c>
      <c r="V21" s="705" t="s">
        <v>14</v>
      </c>
      <c r="W21" s="706">
        <f>J21</f>
        <v>100</v>
      </c>
      <c r="X21" s="1355"/>
      <c r="Y21" s="38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54"/>
      <c r="Q22" s="1352"/>
      <c r="R22" s="705"/>
      <c r="S22" s="706"/>
      <c r="T22" s="705"/>
      <c r="U22" s="706"/>
      <c r="V22" s="705"/>
      <c r="W22" s="706"/>
      <c r="X22" s="1355"/>
      <c r="Y22" s="38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54"/>
      <c r="Q23" s="1352" t="str">
        <f t="shared" ref="Q23:Q37" si="8">B23</f>
        <v>区域土地利用方向</v>
      </c>
      <c r="R23" s="705" t="s">
        <v>14</v>
      </c>
      <c r="S23" s="706">
        <f>F23</f>
        <v>100</v>
      </c>
      <c r="T23" s="705" t="s">
        <v>14</v>
      </c>
      <c r="U23" s="706">
        <f>H23</f>
        <v>100</v>
      </c>
      <c r="V23" s="705" t="s">
        <v>14</v>
      </c>
      <c r="W23" s="706">
        <f>J23</f>
        <v>100</v>
      </c>
      <c r="X23" s="1355"/>
      <c r="Y23" s="38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54"/>
      <c r="Q24" s="1352"/>
      <c r="R24" s="705"/>
      <c r="S24" s="706"/>
      <c r="T24" s="705"/>
      <c r="U24" s="706"/>
      <c r="V24" s="705"/>
      <c r="W24" s="706"/>
      <c r="X24" s="1355"/>
      <c r="Y24" s="38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54"/>
      <c r="Q25" s="1352" t="str">
        <f t="shared" si="8"/>
        <v>自然及人文环境状况</v>
      </c>
      <c r="R25" s="705" t="s">
        <v>14</v>
      </c>
      <c r="S25" s="706">
        <f>F25</f>
        <v>100</v>
      </c>
      <c r="T25" s="705" t="s">
        <v>14</v>
      </c>
      <c r="U25" s="706">
        <f>H25</f>
        <v>100</v>
      </c>
      <c r="V25" s="705" t="s">
        <v>14</v>
      </c>
      <c r="W25" s="706">
        <f>J25</f>
        <v>100</v>
      </c>
      <c r="X25" s="1355"/>
      <c r="Y25" s="38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54"/>
      <c r="Q26" s="1352"/>
      <c r="R26" s="705"/>
      <c r="S26" s="706"/>
      <c r="T26" s="705"/>
      <c r="U26" s="706"/>
      <c r="V26" s="705"/>
      <c r="W26" s="706"/>
      <c r="X26" s="1355"/>
      <c r="Y26" s="38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54"/>
      <c r="Q27" s="1343" t="str">
        <f t="shared" si="8"/>
        <v>公共配套设施</v>
      </c>
      <c r="R27" s="701" t="s">
        <v>14</v>
      </c>
      <c r="S27" s="702">
        <f>F27</f>
        <v>100</v>
      </c>
      <c r="T27" s="701" t="s">
        <v>14</v>
      </c>
      <c r="U27" s="702">
        <f>H27</f>
        <v>100</v>
      </c>
      <c r="V27" s="701" t="s">
        <v>14</v>
      </c>
      <c r="W27" s="702">
        <f>J27</f>
        <v>100</v>
      </c>
      <c r="X27" s="703"/>
      <c r="Y27" s="38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54"/>
      <c r="Q28" s="1343"/>
      <c r="R28" s="701"/>
      <c r="S28" s="702"/>
      <c r="T28" s="701"/>
      <c r="U28" s="702"/>
      <c r="V28" s="701"/>
      <c r="W28" s="702"/>
      <c r="X28" s="703"/>
      <c r="Y28" s="38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54"/>
      <c r="Q29" s="1343" t="str">
        <f t="shared" ref="Q29" si="9">B29</f>
        <v>基础设施水平</v>
      </c>
      <c r="R29" s="701" t="s">
        <v>14</v>
      </c>
      <c r="S29" s="702">
        <f>F29</f>
        <v>100</v>
      </c>
      <c r="T29" s="701" t="s">
        <v>14</v>
      </c>
      <c r="U29" s="702">
        <f>H29</f>
        <v>100</v>
      </c>
      <c r="V29" s="701" t="s">
        <v>14</v>
      </c>
      <c r="W29" s="702">
        <f>J29</f>
        <v>100</v>
      </c>
      <c r="X29" s="703"/>
      <c r="Y29" s="38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54"/>
      <c r="Q30" s="1343"/>
      <c r="R30" s="701"/>
      <c r="S30" s="702"/>
      <c r="T30" s="701"/>
      <c r="U30" s="702"/>
      <c r="V30" s="701"/>
      <c r="W30" s="702"/>
      <c r="X30" s="703"/>
      <c r="Y30" s="38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54"/>
      <c r="Q32" s="1352" t="str">
        <f t="shared" si="8"/>
        <v>毗邻道路的类型与等级</v>
      </c>
      <c r="R32" s="705" t="s">
        <v>14</v>
      </c>
      <c r="S32" s="706">
        <f t="shared" si="10"/>
        <v>100</v>
      </c>
      <c r="T32" s="705" t="s">
        <v>14</v>
      </c>
      <c r="U32" s="706">
        <f t="shared" si="11"/>
        <v>100</v>
      </c>
      <c r="V32" s="705" t="s">
        <v>14</v>
      </c>
      <c r="W32" s="706">
        <f t="shared" si="12"/>
        <v>100</v>
      </c>
      <c r="X32" s="1355"/>
      <c r="Y32" s="38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54"/>
      <c r="Q33" s="1352"/>
      <c r="R33" s="705"/>
      <c r="S33" s="706"/>
      <c r="T33" s="705"/>
      <c r="U33" s="706"/>
      <c r="V33" s="705"/>
      <c r="W33" s="706"/>
      <c r="X33" s="1355"/>
      <c r="Y33" s="38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54"/>
      <c r="Q34" s="1352" t="str">
        <f t="shared" si="8"/>
        <v>土地级别</v>
      </c>
      <c r="R34" s="705" t="s">
        <v>14</v>
      </c>
      <c r="S34" s="706">
        <f t="shared" si="10"/>
        <v>100</v>
      </c>
      <c r="T34" s="705" t="s">
        <v>14</v>
      </c>
      <c r="U34" s="706">
        <f t="shared" si="11"/>
        <v>100</v>
      </c>
      <c r="V34" s="705" t="s">
        <v>14</v>
      </c>
      <c r="W34" s="706">
        <f t="shared" si="12"/>
        <v>100</v>
      </c>
      <c r="X34" s="1355"/>
      <c r="Y34" s="38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54"/>
      <c r="Q35" s="1352">
        <f t="shared" si="8"/>
        <v>111</v>
      </c>
      <c r="R35" s="705" t="s">
        <v>14</v>
      </c>
      <c r="S35" s="706">
        <f t="shared" si="10"/>
        <v>100</v>
      </c>
      <c r="T35" s="705" t="s">
        <v>14</v>
      </c>
      <c r="U35" s="706">
        <f t="shared" si="11"/>
        <v>100</v>
      </c>
      <c r="V35" s="705" t="s">
        <v>14</v>
      </c>
      <c r="W35" s="706">
        <f t="shared" si="12"/>
        <v>100</v>
      </c>
      <c r="X35" s="1355"/>
      <c r="Y35" s="38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13" t="s">
        <v>1696</v>
      </c>
      <c r="Q36" s="1352">
        <f t="shared" si="8"/>
        <v>111</v>
      </c>
      <c r="R36" s="705" t="s">
        <v>14</v>
      </c>
      <c r="S36" s="706">
        <f t="shared" si="10"/>
        <v>100</v>
      </c>
      <c r="T36" s="705" t="s">
        <v>14</v>
      </c>
      <c r="U36" s="706">
        <f t="shared" si="11"/>
        <v>100</v>
      </c>
      <c r="V36" s="705" t="s">
        <v>14</v>
      </c>
      <c r="W36" s="706">
        <f t="shared" si="12"/>
        <v>100</v>
      </c>
      <c r="X36" s="1355"/>
      <c r="Y36" s="38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58"/>
      <c r="Q37" s="1352">
        <f t="shared" si="8"/>
        <v>111</v>
      </c>
      <c r="R37" s="708" t="s">
        <v>14</v>
      </c>
      <c r="S37" s="709">
        <f t="shared" si="10"/>
        <v>100</v>
      </c>
      <c r="T37" s="708" t="s">
        <v>14</v>
      </c>
      <c r="U37" s="709">
        <f t="shared" si="11"/>
        <v>100</v>
      </c>
      <c r="V37" s="708" t="s">
        <v>14</v>
      </c>
      <c r="W37" s="709">
        <f t="shared" si="12"/>
        <v>100</v>
      </c>
      <c r="X37" s="710"/>
      <c r="Y37" s="38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58"/>
      <c r="Q38" s="1352" t="str">
        <f>B38</f>
        <v>宗地面积</v>
      </c>
      <c r="R38" s="705" t="s">
        <v>14</v>
      </c>
      <c r="S38" s="706" t="e">
        <f t="shared" si="10"/>
        <v>#N/A</v>
      </c>
      <c r="T38" s="705" t="s">
        <v>14</v>
      </c>
      <c r="U38" s="706" t="e">
        <f t="shared" si="11"/>
        <v>#N/A</v>
      </c>
      <c r="V38" s="705" t="s">
        <v>14</v>
      </c>
      <c r="W38" s="706" t="e">
        <f t="shared" si="12"/>
        <v>#N/A</v>
      </c>
      <c r="X38" s="1355"/>
      <c r="Y38" s="38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58"/>
      <c r="Q39" s="1352" t="str">
        <f t="shared" ref="Q39:Q45" si="14">B39</f>
        <v>宗地形状</v>
      </c>
      <c r="R39" s="705" t="s">
        <v>14</v>
      </c>
      <c r="S39" s="706">
        <f t="shared" si="10"/>
        <v>100</v>
      </c>
      <c r="T39" s="705" t="s">
        <v>14</v>
      </c>
      <c r="U39" s="706">
        <f t="shared" si="11"/>
        <v>100</v>
      </c>
      <c r="V39" s="705" t="s">
        <v>14</v>
      </c>
      <c r="W39" s="706">
        <f t="shared" si="12"/>
        <v>100</v>
      </c>
      <c r="X39" s="1355"/>
      <c r="Y39" s="38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58"/>
      <c r="Q40" s="1352" t="str">
        <f t="shared" si="14"/>
        <v>临街宽度及深度</v>
      </c>
      <c r="R40" s="705" t="s">
        <v>14</v>
      </c>
      <c r="S40" s="706">
        <f t="shared" si="10"/>
        <v>100</v>
      </c>
      <c r="T40" s="705" t="s">
        <v>14</v>
      </c>
      <c r="U40" s="706">
        <f t="shared" si="11"/>
        <v>100</v>
      </c>
      <c r="V40" s="705" t="s">
        <v>14</v>
      </c>
      <c r="W40" s="706">
        <f t="shared" si="12"/>
        <v>100</v>
      </c>
      <c r="X40" s="1355"/>
      <c r="Y40" s="38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58"/>
      <c r="Q41" s="1352" t="str">
        <f t="shared" si="14"/>
        <v>宗地开发程度</v>
      </c>
      <c r="R41" s="701" t="s">
        <v>14</v>
      </c>
      <c r="S41" s="702">
        <f t="shared" si="10"/>
        <v>100</v>
      </c>
      <c r="T41" s="701" t="s">
        <v>14</v>
      </c>
      <c r="U41" s="702">
        <f t="shared" si="11"/>
        <v>100</v>
      </c>
      <c r="V41" s="701" t="s">
        <v>14</v>
      </c>
      <c r="W41" s="702">
        <f t="shared" si="12"/>
        <v>100</v>
      </c>
      <c r="X41" s="703"/>
      <c r="Y41" s="38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58" t="s">
        <v>1696</v>
      </c>
      <c r="Q42" s="1352" t="str">
        <f t="shared" si="14"/>
        <v>工程地质条件</v>
      </c>
      <c r="R42" s="705" t="s">
        <v>14</v>
      </c>
      <c r="S42" s="706">
        <f t="shared" si="10"/>
        <v>100</v>
      </c>
      <c r="T42" s="705" t="s">
        <v>14</v>
      </c>
      <c r="U42" s="706">
        <f t="shared" si="11"/>
        <v>100</v>
      </c>
      <c r="V42" s="705" t="s">
        <v>14</v>
      </c>
      <c r="W42" s="706">
        <f t="shared" si="12"/>
        <v>100</v>
      </c>
      <c r="X42" s="1355"/>
      <c r="Y42" s="38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58"/>
      <c r="Q43" s="1352">
        <f t="shared" si="14"/>
        <v>111</v>
      </c>
      <c r="R43" s="705" t="s">
        <v>14</v>
      </c>
      <c r="S43" s="706">
        <f t="shared" si="10"/>
        <v>100</v>
      </c>
      <c r="T43" s="705" t="s">
        <v>14</v>
      </c>
      <c r="U43" s="706">
        <f t="shared" si="11"/>
        <v>100</v>
      </c>
      <c r="V43" s="705" t="s">
        <v>14</v>
      </c>
      <c r="W43" s="706">
        <f t="shared" si="12"/>
        <v>100</v>
      </c>
      <c r="X43" s="1355"/>
      <c r="Y43" s="38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58"/>
      <c r="Q44" s="1352">
        <f t="shared" si="14"/>
        <v>111</v>
      </c>
      <c r="R44" s="705" t="s">
        <v>14</v>
      </c>
      <c r="S44" s="706">
        <f t="shared" si="10"/>
        <v>100</v>
      </c>
      <c r="T44" s="705" t="s">
        <v>14</v>
      </c>
      <c r="U44" s="706">
        <f t="shared" si="11"/>
        <v>100</v>
      </c>
      <c r="V44" s="705" t="s">
        <v>14</v>
      </c>
      <c r="W44" s="706">
        <f t="shared" si="12"/>
        <v>100</v>
      </c>
      <c r="X44" s="1355"/>
      <c r="Y44" s="38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58"/>
      <c r="Q45" s="1352">
        <f t="shared" si="14"/>
        <v>111</v>
      </c>
      <c r="R45" s="708" t="s">
        <v>14</v>
      </c>
      <c r="S45" s="709">
        <f t="shared" si="10"/>
        <v>100</v>
      </c>
      <c r="T45" s="708" t="s">
        <v>14</v>
      </c>
      <c r="U45" s="709">
        <f t="shared" si="11"/>
        <v>100</v>
      </c>
      <c r="V45" s="708" t="s">
        <v>14</v>
      </c>
      <c r="W45" s="709">
        <f t="shared" si="12"/>
        <v>100</v>
      </c>
      <c r="X45" s="710"/>
      <c r="Y45" s="38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51" t="str">
        <f>A46</f>
        <v>成交单价</v>
      </c>
      <c r="Q46" s="3851"/>
      <c r="R46" s="3882">
        <f>E46</f>
        <v>0</v>
      </c>
      <c r="S46" s="3882"/>
      <c r="T46" s="3882">
        <f>G46</f>
        <v>0</v>
      </c>
      <c r="U46" s="3882"/>
      <c r="V46" s="3882">
        <f>I46</f>
        <v>0</v>
      </c>
      <c r="W46" s="38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51" t="str">
        <f>A47</f>
        <v>比较价值（元/平方米）</v>
      </c>
      <c r="Q47" s="3851"/>
      <c r="R47" s="3915" t="e">
        <f>ROUND(PRODUCT(R46,AA7:AA45),0)</f>
        <v>#DIV/0!</v>
      </c>
      <c r="S47" s="3915"/>
      <c r="T47" s="3915" t="e">
        <f>ROUND(PRODUCT(T46,AB7:AB45),0)</f>
        <v>#DIV/0!</v>
      </c>
      <c r="U47" s="3915"/>
      <c r="V47" s="3915" t="e">
        <f>ROUND(PRODUCT(V46,AC7:AC45),0)</f>
        <v>#DIV/0!</v>
      </c>
      <c r="W47" s="39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48" t="str">
        <f>A48</f>
        <v>估价对象XX用房的比较价值（楼面单价，元/平方米）</v>
      </c>
      <c r="Q48" s="3849"/>
      <c r="R48" s="3916" t="e">
        <f>ROUND(IF(D47="简单平均",AVERAGE(R47:W47),R47*F47+T47*H47+V47*J47),0)</f>
        <v>#DIV/0!</v>
      </c>
      <c r="S48" s="3916"/>
      <c r="T48" s="3916"/>
      <c r="U48" s="3916"/>
      <c r="V48" s="3916"/>
      <c r="W48" s="39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66" t="s">
        <v>1887</v>
      </c>
      <c r="H55" s="39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62.6</v>
      </c>
      <c r="F56" s="886" t="e">
        <f t="shared" ref="F56:F64" si="15">ROUND(B56*E56/10000,0)</f>
        <v>#DIV/0!</v>
      </c>
      <c r="G56" s="3862"/>
      <c r="H56" s="385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2013-10-1</v>
      </c>
      <c r="D67" s="692">
        <f>EDATE(C67,-3)</f>
        <v>41456</v>
      </c>
      <c r="E67" s="692">
        <f>EDATE(D67,-3)</f>
        <v>41365</v>
      </c>
      <c r="F67" s="692">
        <f t="shared" ref="F67:O67" si="18">EDATE(E67,-3)</f>
        <v>41275</v>
      </c>
      <c r="G67" s="692">
        <f t="shared" si="18"/>
        <v>41183</v>
      </c>
      <c r="H67" s="692">
        <f t="shared" si="18"/>
        <v>41091</v>
      </c>
      <c r="I67" s="692">
        <f t="shared" si="18"/>
        <v>41000</v>
      </c>
      <c r="J67" s="692">
        <f t="shared" si="18"/>
        <v>40909</v>
      </c>
      <c r="K67" s="692">
        <f t="shared" si="18"/>
        <v>40817</v>
      </c>
      <c r="L67" s="692">
        <f t="shared" si="18"/>
        <v>40725</v>
      </c>
      <c r="M67" s="692">
        <f t="shared" si="18"/>
        <v>40634</v>
      </c>
      <c r="N67" s="692">
        <f t="shared" si="18"/>
        <v>40544</v>
      </c>
      <c r="O67" s="692">
        <f t="shared" si="18"/>
        <v>40452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918" t="s">
        <v>1919</v>
      </c>
      <c r="D6" s="3919"/>
      <c r="E6" s="3920" t="s">
        <v>1919</v>
      </c>
      <c r="F6" s="3921"/>
      <c r="G6" s="3918" t="s">
        <v>1919</v>
      </c>
      <c r="H6" s="3919"/>
      <c r="I6" s="3918" t="s">
        <v>1919</v>
      </c>
      <c r="J6" s="3919"/>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87" t="s">
        <v>1683</v>
      </c>
      <c r="Q8" s="3888"/>
      <c r="R8" s="701" t="s">
        <v>14</v>
      </c>
      <c r="S8" s="702">
        <f t="shared" si="0"/>
        <v>0</v>
      </c>
      <c r="T8" s="701" t="s">
        <v>14</v>
      </c>
      <c r="U8" s="702">
        <f t="shared" si="1"/>
        <v>0</v>
      </c>
      <c r="V8" s="701" t="s">
        <v>14</v>
      </c>
      <c r="W8" s="702">
        <f t="shared" si="2"/>
        <v>0</v>
      </c>
      <c r="X8" s="703"/>
      <c r="Y8" s="3887" t="s">
        <v>1683</v>
      </c>
      <c r="Z8" s="38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51"/>
      <c r="Q10" s="1343" t="str">
        <f t="shared" si="6"/>
        <v>土地使用年限（年）</v>
      </c>
      <c r="R10" s="701" t="s">
        <v>14</v>
      </c>
      <c r="S10" s="702" t="e">
        <f t="shared" si="0"/>
        <v>#DIV/0!</v>
      </c>
      <c r="T10" s="701" t="s">
        <v>14</v>
      </c>
      <c r="U10" s="702" t="e">
        <f t="shared" si="1"/>
        <v>#DIV/0!</v>
      </c>
      <c r="V10" s="701" t="s">
        <v>14</v>
      </c>
      <c r="W10" s="702" t="e">
        <f t="shared" si="2"/>
        <v>#DIV/0!</v>
      </c>
      <c r="X10" s="703"/>
      <c r="Y10" s="37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51"/>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53" t="s">
        <v>1691</v>
      </c>
      <c r="Q15" s="1352" t="str">
        <f t="shared" si="6"/>
        <v>产业集聚程度</v>
      </c>
      <c r="R15" s="705" t="s">
        <v>14</v>
      </c>
      <c r="S15" s="706">
        <f t="shared" si="0"/>
        <v>100</v>
      </c>
      <c r="T15" s="705" t="s">
        <v>14</v>
      </c>
      <c r="U15" s="706">
        <f t="shared" si="1"/>
        <v>100</v>
      </c>
      <c r="V15" s="705" t="s">
        <v>14</v>
      </c>
      <c r="W15" s="706">
        <f t="shared" si="2"/>
        <v>100</v>
      </c>
      <c r="X15" s="1355"/>
      <c r="Y15" s="38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54"/>
      <c r="Q16" s="1352"/>
      <c r="R16" s="705"/>
      <c r="S16" s="706"/>
      <c r="T16" s="705"/>
      <c r="U16" s="706"/>
      <c r="V16" s="705"/>
      <c r="W16" s="706"/>
      <c r="X16" s="1355"/>
      <c r="Y16" s="38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54"/>
      <c r="Q18" s="1352"/>
      <c r="R18" s="705"/>
      <c r="S18" s="706"/>
      <c r="T18" s="705"/>
      <c r="U18" s="706"/>
      <c r="V18" s="705"/>
      <c r="W18" s="706"/>
      <c r="X18" s="1355"/>
      <c r="Y18" s="38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54"/>
      <c r="Q19" s="1352" t="str">
        <f t="shared" ref="Q19:Q33" si="8">B19</f>
        <v>区域土地利用方向</v>
      </c>
      <c r="R19" s="705" t="s">
        <v>14</v>
      </c>
      <c r="S19" s="706">
        <f>F19</f>
        <v>100</v>
      </c>
      <c r="T19" s="705" t="s">
        <v>14</v>
      </c>
      <c r="U19" s="706">
        <f>H19</f>
        <v>100</v>
      </c>
      <c r="V19" s="705" t="s">
        <v>14</v>
      </c>
      <c r="W19" s="706">
        <f>J19</f>
        <v>100</v>
      </c>
      <c r="X19" s="1355"/>
      <c r="Y19" s="38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54"/>
      <c r="Q20" s="1352"/>
      <c r="R20" s="705"/>
      <c r="S20" s="706"/>
      <c r="T20" s="705"/>
      <c r="U20" s="706"/>
      <c r="V20" s="705"/>
      <c r="W20" s="706"/>
      <c r="X20" s="1355"/>
      <c r="Y20" s="38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54"/>
      <c r="Q21" s="1352" t="str">
        <f t="shared" si="8"/>
        <v>环境状况</v>
      </c>
      <c r="R21" s="705" t="s">
        <v>14</v>
      </c>
      <c r="S21" s="706">
        <f>F21</f>
        <v>100</v>
      </c>
      <c r="T21" s="705" t="s">
        <v>14</v>
      </c>
      <c r="U21" s="706">
        <f>H21</f>
        <v>100</v>
      </c>
      <c r="V21" s="705" t="s">
        <v>14</v>
      </c>
      <c r="W21" s="706">
        <f>J21</f>
        <v>100</v>
      </c>
      <c r="X21" s="1355"/>
      <c r="Y21" s="38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54"/>
      <c r="Q22" s="1352"/>
      <c r="R22" s="705"/>
      <c r="S22" s="706"/>
      <c r="T22" s="705"/>
      <c r="U22" s="706"/>
      <c r="V22" s="705"/>
      <c r="W22" s="706"/>
      <c r="X22" s="1355"/>
      <c r="Y22" s="38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54"/>
      <c r="Q23" s="1343" t="str">
        <f t="shared" si="8"/>
        <v>公共配套设施</v>
      </c>
      <c r="R23" s="701" t="s">
        <v>14</v>
      </c>
      <c r="S23" s="702">
        <f>F23</f>
        <v>100</v>
      </c>
      <c r="T23" s="701" t="s">
        <v>14</v>
      </c>
      <c r="U23" s="702">
        <f>H23</f>
        <v>100</v>
      </c>
      <c r="V23" s="701" t="s">
        <v>14</v>
      </c>
      <c r="W23" s="702">
        <f>J23</f>
        <v>100</v>
      </c>
      <c r="X23" s="703"/>
      <c r="Y23" s="38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54"/>
      <c r="Q24" s="1343"/>
      <c r="R24" s="701"/>
      <c r="S24" s="702"/>
      <c r="T24" s="701"/>
      <c r="U24" s="702"/>
      <c r="V24" s="701"/>
      <c r="W24" s="702"/>
      <c r="X24" s="703"/>
      <c r="Y24" s="38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54"/>
      <c r="Q25" s="1343" t="str">
        <f t="shared" ref="Q25" si="9">B25</f>
        <v>基础设施水平</v>
      </c>
      <c r="R25" s="701" t="s">
        <v>14</v>
      </c>
      <c r="S25" s="702">
        <f>F25</f>
        <v>100</v>
      </c>
      <c r="T25" s="701" t="s">
        <v>14</v>
      </c>
      <c r="U25" s="702">
        <f>H25</f>
        <v>100</v>
      </c>
      <c r="V25" s="701" t="s">
        <v>14</v>
      </c>
      <c r="W25" s="702">
        <f>J25</f>
        <v>100</v>
      </c>
      <c r="X25" s="703"/>
      <c r="Y25" s="38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54"/>
      <c r="Q26" s="1343"/>
      <c r="R26" s="701"/>
      <c r="S26" s="702"/>
      <c r="T26" s="701"/>
      <c r="U26" s="702"/>
      <c r="V26" s="701"/>
      <c r="W26" s="702"/>
      <c r="X26" s="703"/>
      <c r="Y26" s="38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54"/>
      <c r="Q28" s="1352" t="str">
        <f t="shared" si="8"/>
        <v>毗邻道路的类型与等级</v>
      </c>
      <c r="R28" s="705" t="s">
        <v>14</v>
      </c>
      <c r="S28" s="706">
        <f t="shared" si="10"/>
        <v>100</v>
      </c>
      <c r="T28" s="705" t="s">
        <v>14</v>
      </c>
      <c r="U28" s="706">
        <f t="shared" si="11"/>
        <v>100</v>
      </c>
      <c r="V28" s="705" t="s">
        <v>14</v>
      </c>
      <c r="W28" s="706">
        <f t="shared" si="12"/>
        <v>100</v>
      </c>
      <c r="X28" s="1355"/>
      <c r="Y28" s="38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54"/>
      <c r="Q29" s="1352"/>
      <c r="R29" s="705"/>
      <c r="S29" s="706"/>
      <c r="T29" s="705"/>
      <c r="U29" s="706"/>
      <c r="V29" s="705"/>
      <c r="W29" s="706"/>
      <c r="X29" s="1355"/>
      <c r="Y29" s="38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54"/>
      <c r="Q30" s="1352" t="str">
        <f t="shared" si="8"/>
        <v>土地级别</v>
      </c>
      <c r="R30" s="705" t="s">
        <v>14</v>
      </c>
      <c r="S30" s="706">
        <f t="shared" si="10"/>
        <v>100</v>
      </c>
      <c r="T30" s="705" t="s">
        <v>14</v>
      </c>
      <c r="U30" s="706">
        <f t="shared" si="11"/>
        <v>100</v>
      </c>
      <c r="V30" s="705" t="s">
        <v>14</v>
      </c>
      <c r="W30" s="706">
        <f t="shared" si="12"/>
        <v>100</v>
      </c>
      <c r="X30" s="1355"/>
      <c r="Y30" s="38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54"/>
      <c r="Q31" s="1352">
        <f t="shared" si="8"/>
        <v>111</v>
      </c>
      <c r="R31" s="705" t="s">
        <v>14</v>
      </c>
      <c r="S31" s="706">
        <f t="shared" si="10"/>
        <v>100</v>
      </c>
      <c r="T31" s="705" t="s">
        <v>14</v>
      </c>
      <c r="U31" s="706">
        <f t="shared" si="11"/>
        <v>100</v>
      </c>
      <c r="V31" s="705" t="s">
        <v>14</v>
      </c>
      <c r="W31" s="706">
        <f t="shared" si="12"/>
        <v>100</v>
      </c>
      <c r="X31" s="1355"/>
      <c r="Y31" s="38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13" t="s">
        <v>1696</v>
      </c>
      <c r="Q32" s="1352">
        <f t="shared" si="8"/>
        <v>111</v>
      </c>
      <c r="R32" s="705" t="s">
        <v>14</v>
      </c>
      <c r="S32" s="706">
        <f t="shared" si="10"/>
        <v>100</v>
      </c>
      <c r="T32" s="705" t="s">
        <v>14</v>
      </c>
      <c r="U32" s="706">
        <f t="shared" si="11"/>
        <v>100</v>
      </c>
      <c r="V32" s="705" t="s">
        <v>14</v>
      </c>
      <c r="W32" s="706">
        <f t="shared" si="12"/>
        <v>100</v>
      </c>
      <c r="X32" s="1355"/>
      <c r="Y32" s="38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58"/>
      <c r="Q33" s="1352">
        <f t="shared" si="8"/>
        <v>111</v>
      </c>
      <c r="R33" s="708" t="s">
        <v>14</v>
      </c>
      <c r="S33" s="709">
        <f t="shared" si="10"/>
        <v>100</v>
      </c>
      <c r="T33" s="708" t="s">
        <v>14</v>
      </c>
      <c r="U33" s="709">
        <f t="shared" si="11"/>
        <v>100</v>
      </c>
      <c r="V33" s="708" t="s">
        <v>14</v>
      </c>
      <c r="W33" s="709">
        <f t="shared" si="12"/>
        <v>100</v>
      </c>
      <c r="X33" s="710"/>
      <c r="Y33" s="38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58"/>
      <c r="Q34" s="1352" t="str">
        <f>B34</f>
        <v>宗地面积</v>
      </c>
      <c r="R34" s="705" t="s">
        <v>14</v>
      </c>
      <c r="S34" s="706" t="e">
        <f t="shared" si="10"/>
        <v>#N/A</v>
      </c>
      <c r="T34" s="705" t="s">
        <v>14</v>
      </c>
      <c r="U34" s="706" t="e">
        <f t="shared" si="11"/>
        <v>#N/A</v>
      </c>
      <c r="V34" s="705" t="s">
        <v>14</v>
      </c>
      <c r="W34" s="706" t="e">
        <f t="shared" si="12"/>
        <v>#N/A</v>
      </c>
      <c r="X34" s="1355"/>
      <c r="Y34" s="38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58"/>
      <c r="Q35" s="1352" t="str">
        <f t="shared" ref="Q35:Q40" si="14">B35</f>
        <v>宗地形状</v>
      </c>
      <c r="R35" s="705" t="s">
        <v>14</v>
      </c>
      <c r="S35" s="706">
        <f t="shared" si="10"/>
        <v>100</v>
      </c>
      <c r="T35" s="705" t="s">
        <v>14</v>
      </c>
      <c r="U35" s="706">
        <f t="shared" si="11"/>
        <v>100</v>
      </c>
      <c r="V35" s="705" t="s">
        <v>14</v>
      </c>
      <c r="W35" s="706">
        <f t="shared" si="12"/>
        <v>100</v>
      </c>
      <c r="X35" s="1355"/>
      <c r="Y35" s="38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58"/>
      <c r="Q36" s="1352" t="str">
        <f t="shared" si="14"/>
        <v>宗地开发程度</v>
      </c>
      <c r="R36" s="701" t="s">
        <v>14</v>
      </c>
      <c r="S36" s="702">
        <f t="shared" si="10"/>
        <v>100</v>
      </c>
      <c r="T36" s="701" t="s">
        <v>14</v>
      </c>
      <c r="U36" s="702">
        <f t="shared" si="11"/>
        <v>100</v>
      </c>
      <c r="V36" s="701" t="s">
        <v>14</v>
      </c>
      <c r="W36" s="702">
        <f t="shared" si="12"/>
        <v>100</v>
      </c>
      <c r="X36" s="703"/>
      <c r="Y36" s="38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58" t="s">
        <v>1696</v>
      </c>
      <c r="Q37" s="1352" t="str">
        <f t="shared" si="14"/>
        <v>工程地质条件</v>
      </c>
      <c r="R37" s="705" t="s">
        <v>14</v>
      </c>
      <c r="S37" s="706">
        <f t="shared" si="10"/>
        <v>100</v>
      </c>
      <c r="T37" s="705" t="s">
        <v>14</v>
      </c>
      <c r="U37" s="706">
        <f t="shared" si="11"/>
        <v>100</v>
      </c>
      <c r="V37" s="705" t="s">
        <v>14</v>
      </c>
      <c r="W37" s="706">
        <f t="shared" si="12"/>
        <v>100</v>
      </c>
      <c r="X37" s="1355"/>
      <c r="Y37" s="38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58"/>
      <c r="Q38" s="1352">
        <f t="shared" si="14"/>
        <v>111</v>
      </c>
      <c r="R38" s="705" t="s">
        <v>14</v>
      </c>
      <c r="S38" s="706">
        <f t="shared" si="10"/>
        <v>100</v>
      </c>
      <c r="T38" s="705" t="s">
        <v>14</v>
      </c>
      <c r="U38" s="706">
        <f t="shared" si="11"/>
        <v>100</v>
      </c>
      <c r="V38" s="705" t="s">
        <v>14</v>
      </c>
      <c r="W38" s="706">
        <f t="shared" si="12"/>
        <v>100</v>
      </c>
      <c r="X38" s="1355"/>
      <c r="Y38" s="38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58"/>
      <c r="Q39" s="1352">
        <f t="shared" si="14"/>
        <v>111</v>
      </c>
      <c r="R39" s="705" t="s">
        <v>14</v>
      </c>
      <c r="S39" s="706">
        <f t="shared" si="10"/>
        <v>100</v>
      </c>
      <c r="T39" s="705" t="s">
        <v>14</v>
      </c>
      <c r="U39" s="706">
        <f t="shared" si="11"/>
        <v>100</v>
      </c>
      <c r="V39" s="705" t="s">
        <v>14</v>
      </c>
      <c r="W39" s="706">
        <f t="shared" si="12"/>
        <v>100</v>
      </c>
      <c r="X39" s="1355"/>
      <c r="Y39" s="38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58"/>
      <c r="Q40" s="1352">
        <f t="shared" si="14"/>
        <v>111</v>
      </c>
      <c r="R40" s="708" t="s">
        <v>14</v>
      </c>
      <c r="S40" s="709">
        <f t="shared" si="10"/>
        <v>100</v>
      </c>
      <c r="T40" s="708" t="s">
        <v>14</v>
      </c>
      <c r="U40" s="709">
        <f t="shared" si="11"/>
        <v>100</v>
      </c>
      <c r="V40" s="708" t="s">
        <v>14</v>
      </c>
      <c r="W40" s="709">
        <f t="shared" si="12"/>
        <v>100</v>
      </c>
      <c r="X40" s="710"/>
      <c r="Y40" s="38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51" t="str">
        <f>A41</f>
        <v>成交单价</v>
      </c>
      <c r="Q41" s="3851"/>
      <c r="R41" s="3882">
        <f>E41</f>
        <v>0</v>
      </c>
      <c r="S41" s="3882"/>
      <c r="T41" s="3882">
        <f>G41</f>
        <v>0</v>
      </c>
      <c r="U41" s="3882"/>
      <c r="V41" s="3882">
        <f>I41</f>
        <v>0</v>
      </c>
      <c r="W41" s="38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51" t="str">
        <f>A42</f>
        <v>比较价值（元/平方米）</v>
      </c>
      <c r="Q42" s="3851"/>
      <c r="R42" s="3915" t="e">
        <f>ROUND(PRODUCT(R41,AA7:AA40),0)</f>
        <v>#DIV/0!</v>
      </c>
      <c r="S42" s="3915"/>
      <c r="T42" s="3915" t="e">
        <f>ROUND(PRODUCT(T41,AB7:AB40),0)</f>
        <v>#DIV/0!</v>
      </c>
      <c r="U42" s="3915"/>
      <c r="V42" s="3915" t="e">
        <f>ROUND(PRODUCT(V41,AC7:AC40),0)</f>
        <v>#DIV/0!</v>
      </c>
      <c r="W42" s="39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48" t="str">
        <f>A43</f>
        <v>估价对象XX用房的比较价值（楼面单价，元/平方米）</v>
      </c>
      <c r="Q43" s="3849"/>
      <c r="R43" s="3916" t="e">
        <f>ROUND(IF(D42="简单平均",AVERAGE(R42:W42),R42*F42+T42*H42+V42*J42),0)</f>
        <v>#DIV/0!</v>
      </c>
      <c r="S43" s="3916"/>
      <c r="T43" s="3916"/>
      <c r="U43" s="3916"/>
      <c r="V43" s="3916"/>
      <c r="W43" s="39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66" t="s">
        <v>1887</v>
      </c>
      <c r="H50" s="39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62.6</v>
      </c>
      <c r="F51" s="639" t="e">
        <f t="shared" ref="F51:F60" si="15">ROUND(B51*E51/10000,0)</f>
        <v>#DIV/0!</v>
      </c>
      <c r="G51" s="3862"/>
      <c r="H51" s="385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2013-10-1</v>
      </c>
      <c r="D63" s="692">
        <f>EDATE(C63,-3)</f>
        <v>41456</v>
      </c>
      <c r="E63" s="692">
        <f>EDATE(D63,-3)</f>
        <v>41365</v>
      </c>
      <c r="F63" s="692">
        <f t="shared" ref="F63:O63" si="18">EDATE(E63,-3)</f>
        <v>41275</v>
      </c>
      <c r="G63" s="692">
        <f t="shared" si="18"/>
        <v>41183</v>
      </c>
      <c r="H63" s="692">
        <f t="shared" si="18"/>
        <v>41091</v>
      </c>
      <c r="I63" s="692">
        <f t="shared" si="18"/>
        <v>41000</v>
      </c>
      <c r="J63" s="692">
        <f t="shared" si="18"/>
        <v>40909</v>
      </c>
      <c r="K63" s="692">
        <f t="shared" si="18"/>
        <v>40817</v>
      </c>
      <c r="L63" s="692">
        <f t="shared" si="18"/>
        <v>40725</v>
      </c>
      <c r="M63" s="692">
        <f t="shared" si="18"/>
        <v>40634</v>
      </c>
      <c r="N63" s="692">
        <f t="shared" si="18"/>
        <v>40544</v>
      </c>
      <c r="O63" s="692">
        <f t="shared" si="18"/>
        <v>40452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25" t="s">
        <v>2084</v>
      </c>
      <c r="D1" s="3926"/>
      <c r="E1" s="3926"/>
      <c r="F1" s="3926"/>
      <c r="G1" s="3926"/>
      <c r="H1" s="3926"/>
      <c r="I1" s="3926"/>
      <c r="J1" s="3926"/>
      <c r="K1" s="3926"/>
      <c r="L1" s="3926"/>
      <c r="M1" s="3926"/>
      <c r="N1" s="3926"/>
      <c r="O1" s="3926"/>
      <c r="P1" s="3926"/>
      <c r="Q1" s="3926"/>
      <c r="R1" s="3926"/>
      <c r="S1" s="392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22" t="s">
        <v>27</v>
      </c>
      <c r="D22" s="3923"/>
      <c r="E22" s="3923"/>
      <c r="F22" s="3923"/>
      <c r="G22" s="3923"/>
      <c r="H22" s="3923"/>
      <c r="I22" s="3923"/>
      <c r="J22" s="3923"/>
      <c r="K22" s="3923"/>
      <c r="L22" s="3923"/>
      <c r="M22" s="3923"/>
      <c r="N22" s="3923"/>
      <c r="O22" s="3923"/>
      <c r="P22" s="3923"/>
      <c r="Q22" s="392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35"/>
      <c r="B4" s="3936"/>
      <c r="C4" s="3936"/>
      <c r="D4" s="3937"/>
      <c r="E4" s="3937"/>
      <c r="F4" s="3937"/>
      <c r="G4" s="3937"/>
      <c r="H4" s="3937"/>
      <c r="I4" s="3937"/>
      <c r="J4" s="39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32" t="s">
        <v>1960</v>
      </c>
      <c r="X8" s="39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3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39" t="s">
        <v>3258</v>
      </c>
      <c r="B20" s="167" t="s">
        <v>1994</v>
      </c>
      <c r="C20" s="3325" t="e">
        <f>ROUND(IF(F21="与级别开发程度一致",0,(G21-E21)/C21),0)</f>
        <v>#DIV/0!</v>
      </c>
      <c r="D20" s="3341" t="s">
        <v>1998</v>
      </c>
      <c r="E20" s="3342"/>
      <c r="F20" s="3945" t="s">
        <v>1995</v>
      </c>
      <c r="G20" s="394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4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41568</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4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41" t="s">
        <v>3298</v>
      </c>
      <c r="B103" s="3941"/>
      <c r="C103" s="3941"/>
      <c r="D103" s="3941"/>
      <c r="E103" s="3941"/>
      <c r="F103" s="3941"/>
      <c r="G103" s="3941"/>
      <c r="H103" s="3941"/>
      <c r="I103" s="3941"/>
      <c r="J103" s="3941"/>
      <c r="K103" s="3390"/>
      <c r="L103" s="3390"/>
      <c r="M103" s="3390"/>
      <c r="N103" s="3390"/>
    </row>
    <row r="104" spans="1:14">
      <c r="A104" s="3942" t="s">
        <v>3299</v>
      </c>
      <c r="B104" s="3942" t="s">
        <v>3300</v>
      </c>
      <c r="C104" s="3391" t="s">
        <v>3301</v>
      </c>
      <c r="D104" s="3392"/>
      <c r="E104" s="3392"/>
      <c r="F104" s="3392"/>
      <c r="G104" s="3392"/>
      <c r="H104" s="3392"/>
      <c r="I104" s="3392"/>
      <c r="J104" s="3393"/>
      <c r="K104" s="3394"/>
      <c r="L104" s="3394"/>
      <c r="M104" s="3394"/>
      <c r="N104" s="3394"/>
    </row>
    <row r="105" spans="1:14">
      <c r="A105" s="3942"/>
      <c r="B105" s="394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2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31" t="s">
        <v>3315</v>
      </c>
      <c r="B113" s="3931"/>
      <c r="C113" s="3931"/>
      <c r="D113" s="3931"/>
      <c r="E113" s="3931"/>
      <c r="F113" s="3931"/>
      <c r="G113" s="3931"/>
      <c r="H113" s="3931"/>
      <c r="I113" s="3931"/>
      <c r="J113" s="39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56" t="s">
        <v>2611</v>
      </c>
      <c r="B20" s="3951" t="s">
        <v>2632</v>
      </c>
      <c r="C20" s="3103" t="s">
        <v>2443</v>
      </c>
      <c r="D20" s="3104"/>
      <c r="E20" s="3105">
        <v>1</v>
      </c>
      <c r="F20" s="3106" t="s">
        <v>2444</v>
      </c>
      <c r="G20" s="3106"/>
    </row>
    <row r="21" spans="1:13" ht="19.5" customHeight="1">
      <c r="A21" s="3957"/>
      <c r="B21" s="3950"/>
      <c r="C21" s="3107" t="s">
        <v>2445</v>
      </c>
      <c r="D21" s="3108"/>
      <c r="E21" s="3109">
        <v>1</v>
      </c>
      <c r="F21" s="3106" t="s">
        <v>2446</v>
      </c>
      <c r="G21" s="3106"/>
    </row>
    <row r="22" spans="1:13" ht="19.5" customHeight="1">
      <c r="A22" s="3957"/>
      <c r="B22" s="3950"/>
      <c r="C22" s="3107" t="s">
        <v>2447</v>
      </c>
      <c r="D22" s="3108"/>
      <c r="E22" s="3109">
        <v>0.9</v>
      </c>
      <c r="F22" s="3106" t="s">
        <v>2448</v>
      </c>
      <c r="G22" s="3106"/>
    </row>
    <row r="23" spans="1:13" ht="19.5" customHeight="1">
      <c r="A23" s="3957"/>
      <c r="B23" s="3950"/>
      <c r="C23" s="3107" t="s">
        <v>2449</v>
      </c>
      <c r="D23" s="3108"/>
      <c r="E23" s="3109">
        <v>0.9</v>
      </c>
      <c r="F23" s="3106" t="s">
        <v>2450</v>
      </c>
      <c r="G23" s="3106"/>
    </row>
    <row r="24" spans="1:13" ht="19.5" customHeight="1">
      <c r="A24" s="3957"/>
      <c r="B24" s="3950"/>
      <c r="C24" s="3107" t="s">
        <v>2451</v>
      </c>
      <c r="D24" s="3108"/>
      <c r="E24" s="3109">
        <v>0.8</v>
      </c>
      <c r="F24" s="3106" t="s">
        <v>2452</v>
      </c>
      <c r="G24" s="3106"/>
    </row>
    <row r="25" spans="1:13" ht="19.5" customHeight="1" thickBot="1">
      <c r="A25" s="3958"/>
      <c r="B25" s="395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53" t="s">
        <v>2635</v>
      </c>
      <c r="B27" s="3951" t="s">
        <v>2616</v>
      </c>
      <c r="C27" s="3103" t="s">
        <v>2456</v>
      </c>
      <c r="D27" s="3104"/>
      <c r="E27" s="3105">
        <v>1</v>
      </c>
      <c r="F27" s="3106" t="s">
        <v>2457</v>
      </c>
      <c r="G27" s="3106"/>
    </row>
    <row r="28" spans="1:13" ht="19.5" customHeight="1">
      <c r="A28" s="3954"/>
      <c r="B28" s="3950"/>
      <c r="C28" s="3107" t="s">
        <v>2458</v>
      </c>
      <c r="D28" s="3108"/>
      <c r="E28" s="3109">
        <v>1</v>
      </c>
      <c r="F28" s="3106" t="s">
        <v>2459</v>
      </c>
      <c r="G28" s="3106"/>
    </row>
    <row r="29" spans="1:13" ht="19.5" customHeight="1">
      <c r="A29" s="3954"/>
      <c r="B29" s="3950"/>
      <c r="C29" s="3107" t="s">
        <v>2460</v>
      </c>
      <c r="D29" s="3108"/>
      <c r="E29" s="3109">
        <v>0.8</v>
      </c>
      <c r="F29" s="3106" t="s">
        <v>2461</v>
      </c>
      <c r="G29" s="3106"/>
    </row>
    <row r="30" spans="1:13" ht="19.5" customHeight="1">
      <c r="A30" s="3954"/>
      <c r="B30" s="3950"/>
      <c r="C30" s="3107" t="s">
        <v>2462</v>
      </c>
      <c r="D30" s="3108"/>
      <c r="E30" s="3109">
        <v>0.8</v>
      </c>
      <c r="F30" s="3106" t="s">
        <v>2463</v>
      </c>
      <c r="G30" s="3106"/>
    </row>
    <row r="31" spans="1:13" ht="19.5" customHeight="1">
      <c r="A31" s="3954"/>
      <c r="B31" s="3950"/>
      <c r="C31" s="3107" t="s">
        <v>2464</v>
      </c>
      <c r="D31" s="3108"/>
      <c r="E31" s="3109">
        <v>0.8</v>
      </c>
      <c r="F31" s="3106" t="s">
        <v>2465</v>
      </c>
      <c r="G31" s="3106"/>
    </row>
    <row r="32" spans="1:13" ht="19.5" customHeight="1">
      <c r="A32" s="3954"/>
      <c r="B32" s="3950"/>
      <c r="C32" s="3107" t="s">
        <v>2466</v>
      </c>
      <c r="D32" s="3108"/>
      <c r="E32" s="3109">
        <v>0.7</v>
      </c>
      <c r="F32" s="3106" t="s">
        <v>2467</v>
      </c>
      <c r="G32" s="3106"/>
    </row>
    <row r="33" spans="1:7" ht="19.5" customHeight="1">
      <c r="A33" s="3954"/>
      <c r="B33" s="3950"/>
      <c r="C33" s="3107" t="s">
        <v>2468</v>
      </c>
      <c r="D33" s="3108"/>
      <c r="E33" s="3109">
        <v>0.8</v>
      </c>
      <c r="F33" s="3106" t="s">
        <v>2469</v>
      </c>
      <c r="G33" s="3106"/>
    </row>
    <row r="34" spans="1:7" ht="19.5" customHeight="1">
      <c r="A34" s="3954"/>
      <c r="B34" s="3950"/>
      <c r="C34" s="3107" t="s">
        <v>2470</v>
      </c>
      <c r="D34" s="3108"/>
      <c r="E34" s="3109">
        <v>0.6</v>
      </c>
      <c r="F34" s="3106" t="s">
        <v>2471</v>
      </c>
      <c r="G34" s="3106"/>
    </row>
    <row r="35" spans="1:7" ht="19.5" customHeight="1">
      <c r="A35" s="3954"/>
      <c r="B35" s="3950"/>
      <c r="C35" s="3107" t="s">
        <v>2472</v>
      </c>
      <c r="D35" s="3108"/>
      <c r="E35" s="3109">
        <v>0.2</v>
      </c>
      <c r="F35" s="3106" t="s">
        <v>2473</v>
      </c>
      <c r="G35" s="3106"/>
    </row>
    <row r="36" spans="1:7" ht="19.5" customHeight="1">
      <c r="A36" s="3954"/>
      <c r="B36" s="3950"/>
      <c r="C36" s="3107" t="s">
        <v>2474</v>
      </c>
      <c r="D36" s="3108"/>
      <c r="E36" s="3109">
        <v>0.2</v>
      </c>
      <c r="F36" s="3106" t="s">
        <v>2475</v>
      </c>
      <c r="G36" s="3106"/>
    </row>
    <row r="37" spans="1:7" ht="19.5" customHeight="1">
      <c r="A37" s="3954"/>
      <c r="B37" s="3948" t="s">
        <v>2636</v>
      </c>
      <c r="C37" s="3107" t="s">
        <v>2476</v>
      </c>
      <c r="D37" s="3108"/>
      <c r="E37" s="3109">
        <v>0.6</v>
      </c>
      <c r="F37" s="3106" t="s">
        <v>2477</v>
      </c>
      <c r="G37" s="3106"/>
    </row>
    <row r="38" spans="1:7" ht="19.5" customHeight="1">
      <c r="A38" s="3954"/>
      <c r="B38" s="3950"/>
      <c r="C38" s="3107" t="s">
        <v>2478</v>
      </c>
      <c r="D38" s="3108"/>
      <c r="E38" s="3109">
        <v>0.6</v>
      </c>
      <c r="F38" s="3106" t="s">
        <v>2479</v>
      </c>
      <c r="G38" s="3106"/>
    </row>
    <row r="39" spans="1:7" ht="19.5" customHeight="1" thickBot="1">
      <c r="A39" s="3955"/>
      <c r="B39" s="395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56" t="s">
        <v>2614</v>
      </c>
      <c r="B41" s="3951" t="s">
        <v>2638</v>
      </c>
      <c r="C41" s="3103" t="s">
        <v>2483</v>
      </c>
      <c r="D41" s="3104"/>
      <c r="E41" s="3105">
        <v>1</v>
      </c>
      <c r="F41" s="3106" t="s">
        <v>2484</v>
      </c>
      <c r="G41" s="3106"/>
    </row>
    <row r="42" spans="1:7" ht="19.5" customHeight="1">
      <c r="A42" s="3957"/>
      <c r="B42" s="3950"/>
      <c r="C42" s="3107" t="s">
        <v>2485</v>
      </c>
      <c r="D42" s="3108"/>
      <c r="E42" s="3109">
        <v>1</v>
      </c>
      <c r="F42" s="3106" t="s">
        <v>2486</v>
      </c>
      <c r="G42" s="3106"/>
    </row>
    <row r="43" spans="1:7" ht="19.5" customHeight="1">
      <c r="A43" s="3957"/>
      <c r="B43" s="3949"/>
      <c r="C43" s="3107" t="s">
        <v>2487</v>
      </c>
      <c r="D43" s="3108"/>
      <c r="E43" s="3109">
        <v>1.5</v>
      </c>
      <c r="F43" s="3106" t="s">
        <v>2488</v>
      </c>
      <c r="G43" s="3106"/>
    </row>
    <row r="44" spans="1:7" ht="19.5" customHeight="1">
      <c r="A44" s="3957"/>
      <c r="B44" s="3118" t="s">
        <v>2639</v>
      </c>
      <c r="C44" s="3107" t="s">
        <v>2640</v>
      </c>
      <c r="D44" s="3108"/>
      <c r="E44" s="3109">
        <v>2</v>
      </c>
      <c r="F44" s="3106" t="s">
        <v>2489</v>
      </c>
      <c r="G44" s="3106"/>
    </row>
    <row r="45" spans="1:7" ht="19.5" customHeight="1">
      <c r="A45" s="3957"/>
      <c r="B45" s="3948" t="s">
        <v>2641</v>
      </c>
      <c r="C45" s="3107" t="s">
        <v>2490</v>
      </c>
      <c r="D45" s="3108"/>
      <c r="E45" s="3109">
        <v>1</v>
      </c>
      <c r="F45" s="3106" t="s">
        <v>2491</v>
      </c>
      <c r="G45" s="3106"/>
    </row>
    <row r="46" spans="1:7" ht="19.5" customHeight="1">
      <c r="A46" s="3957"/>
      <c r="B46" s="3950"/>
      <c r="C46" s="3107" t="s">
        <v>2492</v>
      </c>
      <c r="D46" s="3108"/>
      <c r="E46" s="3109">
        <v>1</v>
      </c>
      <c r="F46" s="3106" t="s">
        <v>2493</v>
      </c>
      <c r="G46" s="3106"/>
    </row>
    <row r="47" spans="1:7" ht="19.5" customHeight="1">
      <c r="A47" s="3957"/>
      <c r="B47" s="3950"/>
      <c r="C47" s="3107" t="s">
        <v>2494</v>
      </c>
      <c r="D47" s="3108"/>
      <c r="E47" s="3109">
        <v>1</v>
      </c>
      <c r="F47" s="3106" t="s">
        <v>2495</v>
      </c>
      <c r="G47" s="3106"/>
    </row>
    <row r="48" spans="1:7" ht="19.5" customHeight="1">
      <c r="A48" s="3957"/>
      <c r="B48" s="3950"/>
      <c r="C48" s="3107" t="s">
        <v>2496</v>
      </c>
      <c r="D48" s="3108"/>
      <c r="E48" s="3109">
        <v>1</v>
      </c>
      <c r="F48" s="3106" t="s">
        <v>2497</v>
      </c>
      <c r="G48" s="3106"/>
    </row>
    <row r="49" spans="1:7" ht="19.5" customHeight="1">
      <c r="A49" s="3957"/>
      <c r="B49" s="3950"/>
      <c r="C49" s="3107" t="s">
        <v>2498</v>
      </c>
      <c r="D49" s="3108"/>
      <c r="E49" s="3109">
        <v>1</v>
      </c>
      <c r="F49" s="3106" t="s">
        <v>2499</v>
      </c>
      <c r="G49" s="3106"/>
    </row>
    <row r="50" spans="1:7" ht="19.5" customHeight="1">
      <c r="A50" s="3957"/>
      <c r="B50" s="3950"/>
      <c r="C50" s="3107" t="s">
        <v>2500</v>
      </c>
      <c r="D50" s="3108"/>
      <c r="E50" s="3109">
        <v>1</v>
      </c>
      <c r="F50" s="3106" t="s">
        <v>2501</v>
      </c>
      <c r="G50" s="3106"/>
    </row>
    <row r="51" spans="1:7" ht="19.5" customHeight="1" thickBot="1">
      <c r="A51" s="3958"/>
      <c r="B51" s="395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48" t="s">
        <v>2655</v>
      </c>
      <c r="C73" s="3092" t="s">
        <v>2656</v>
      </c>
      <c r="D73" s="3092" t="s">
        <v>2657</v>
      </c>
      <c r="E73" s="3118">
        <v>0.2</v>
      </c>
      <c r="F73" s="3118">
        <v>25</v>
      </c>
    </row>
    <row r="74" spans="1:7" ht="24">
      <c r="A74" s="3118">
        <v>2</v>
      </c>
      <c r="B74" s="3950"/>
      <c r="C74" s="3092" t="s">
        <v>2658</v>
      </c>
      <c r="D74" s="3092" t="s">
        <v>2659</v>
      </c>
      <c r="E74" s="3118">
        <v>0.2</v>
      </c>
      <c r="F74" s="3118">
        <v>25</v>
      </c>
    </row>
    <row r="75" spans="1:7" ht="24">
      <c r="A75" s="3118">
        <v>3</v>
      </c>
      <c r="B75" s="3950"/>
      <c r="C75" s="3092" t="s">
        <v>2660</v>
      </c>
      <c r="D75" s="3092" t="s">
        <v>2661</v>
      </c>
      <c r="E75" s="3118">
        <v>0.2</v>
      </c>
      <c r="F75" s="3118">
        <v>25</v>
      </c>
    </row>
    <row r="76" spans="1:7" ht="13.5">
      <c r="A76" s="3118">
        <v>4</v>
      </c>
      <c r="B76" s="3950"/>
      <c r="C76" s="3092" t="s">
        <v>2662</v>
      </c>
      <c r="D76" s="3092" t="s">
        <v>2663</v>
      </c>
      <c r="E76" s="3118">
        <v>0.15</v>
      </c>
      <c r="F76" s="3118">
        <v>20</v>
      </c>
    </row>
    <row r="77" spans="1:7" ht="24">
      <c r="A77" s="3118">
        <v>5</v>
      </c>
      <c r="B77" s="3950"/>
      <c r="C77" s="3092" t="s">
        <v>2664</v>
      </c>
      <c r="D77" s="3092" t="s">
        <v>2665</v>
      </c>
      <c r="E77" s="3118">
        <v>0.15</v>
      </c>
      <c r="F77" s="3118">
        <v>20</v>
      </c>
    </row>
    <row r="78" spans="1:7" ht="24">
      <c r="A78" s="3118">
        <v>6</v>
      </c>
      <c r="B78" s="3950"/>
      <c r="C78" s="3092" t="s">
        <v>2666</v>
      </c>
      <c r="D78" s="3092" t="s">
        <v>2667</v>
      </c>
      <c r="E78" s="3118">
        <v>0.15</v>
      </c>
      <c r="F78" s="3118">
        <v>20</v>
      </c>
    </row>
    <row r="79" spans="1:7" ht="24">
      <c r="A79" s="3118">
        <v>7</v>
      </c>
      <c r="B79" s="3950"/>
      <c r="C79" s="3092" t="s">
        <v>2668</v>
      </c>
      <c r="D79" s="3092" t="s">
        <v>2669</v>
      </c>
      <c r="E79" s="3118">
        <v>0.15</v>
      </c>
      <c r="F79" s="3118">
        <v>20</v>
      </c>
    </row>
    <row r="80" spans="1:7" ht="24">
      <c r="A80" s="3118">
        <v>8</v>
      </c>
      <c r="B80" s="3950"/>
      <c r="C80" s="3092" t="s">
        <v>2670</v>
      </c>
      <c r="D80" s="3092" t="s">
        <v>2671</v>
      </c>
      <c r="E80" s="3118">
        <v>0.1</v>
      </c>
      <c r="F80" s="3118">
        <v>15</v>
      </c>
    </row>
    <row r="81" spans="1:6" ht="24">
      <c r="A81" s="3118">
        <v>9</v>
      </c>
      <c r="B81" s="3950"/>
      <c r="C81" s="3092" t="s">
        <v>2672</v>
      </c>
      <c r="D81" s="3092" t="s">
        <v>2673</v>
      </c>
      <c r="E81" s="3118">
        <v>0.1</v>
      </c>
      <c r="F81" s="3118">
        <v>15</v>
      </c>
    </row>
    <row r="82" spans="1:6" ht="24">
      <c r="A82" s="3118">
        <v>10</v>
      </c>
      <c r="B82" s="3950"/>
      <c r="C82" s="3092" t="s">
        <v>2674</v>
      </c>
      <c r="D82" s="3092" t="s">
        <v>2675</v>
      </c>
      <c r="E82" s="3118">
        <v>0.1</v>
      </c>
      <c r="F82" s="3118">
        <v>15</v>
      </c>
    </row>
    <row r="83" spans="1:6" ht="24">
      <c r="A83" s="3118">
        <v>11</v>
      </c>
      <c r="B83" s="3950"/>
      <c r="C83" s="3092" t="s">
        <v>2676</v>
      </c>
      <c r="D83" s="3092" t="s">
        <v>2677</v>
      </c>
      <c r="E83" s="3118">
        <v>0.1</v>
      </c>
      <c r="F83" s="3118">
        <v>15</v>
      </c>
    </row>
    <row r="84" spans="1:6" ht="24">
      <c r="A84" s="3118">
        <v>12</v>
      </c>
      <c r="B84" s="3950"/>
      <c r="C84" s="3092" t="s">
        <v>2678</v>
      </c>
      <c r="D84" s="3092" t="s">
        <v>2679</v>
      </c>
      <c r="E84" s="3118">
        <v>0.1</v>
      </c>
      <c r="F84" s="3118">
        <v>15</v>
      </c>
    </row>
    <row r="85" spans="1:6" ht="13.5">
      <c r="A85" s="3118">
        <v>13</v>
      </c>
      <c r="B85" s="3950"/>
      <c r="C85" s="3092" t="s">
        <v>2680</v>
      </c>
      <c r="D85" s="3092" t="s">
        <v>2681</v>
      </c>
      <c r="E85" s="3118">
        <v>0.1</v>
      </c>
      <c r="F85" s="3118">
        <v>15</v>
      </c>
    </row>
    <row r="86" spans="1:6" ht="13.5">
      <c r="A86" s="3118">
        <v>14</v>
      </c>
      <c r="B86" s="3950"/>
      <c r="C86" s="3092" t="s">
        <v>2682</v>
      </c>
      <c r="D86" s="3092" t="s">
        <v>2683</v>
      </c>
      <c r="E86" s="3118">
        <v>0.1</v>
      </c>
      <c r="F86" s="3118">
        <v>15</v>
      </c>
    </row>
    <row r="87" spans="1:6" ht="13.5">
      <c r="A87" s="3118">
        <v>15</v>
      </c>
      <c r="B87" s="3950"/>
      <c r="C87" s="3092" t="s">
        <v>2684</v>
      </c>
      <c r="D87" s="3092" t="s">
        <v>2685</v>
      </c>
      <c r="E87" s="3118">
        <v>0.1</v>
      </c>
      <c r="F87" s="3118">
        <v>15</v>
      </c>
    </row>
    <row r="88" spans="1:6" ht="24">
      <c r="A88" s="3118">
        <v>16</v>
      </c>
      <c r="B88" s="3950"/>
      <c r="C88" s="3092" t="s">
        <v>2686</v>
      </c>
      <c r="D88" s="3092" t="s">
        <v>2687</v>
      </c>
      <c r="E88" s="3118">
        <v>0.1</v>
      </c>
      <c r="F88" s="3118">
        <v>15</v>
      </c>
    </row>
    <row r="89" spans="1:6" ht="24">
      <c r="A89" s="3118">
        <v>17</v>
      </c>
      <c r="B89" s="3949"/>
      <c r="C89" s="3092" t="s">
        <v>2688</v>
      </c>
      <c r="D89" s="3092" t="s">
        <v>2689</v>
      </c>
      <c r="E89" s="3118">
        <v>0.1</v>
      </c>
      <c r="F89" s="3118">
        <v>15</v>
      </c>
    </row>
    <row r="90" spans="1:6" ht="13.5">
      <c r="A90" s="3118">
        <v>18</v>
      </c>
      <c r="B90" s="3948" t="s">
        <v>2690</v>
      </c>
      <c r="C90" s="3092" t="s">
        <v>2691</v>
      </c>
      <c r="D90" s="3092" t="s">
        <v>2692</v>
      </c>
      <c r="E90" s="3118">
        <v>0.2</v>
      </c>
      <c r="F90" s="3118">
        <v>25</v>
      </c>
    </row>
    <row r="91" spans="1:6" ht="24">
      <c r="A91" s="3118">
        <v>19</v>
      </c>
      <c r="B91" s="3950"/>
      <c r="C91" s="3092" t="s">
        <v>2693</v>
      </c>
      <c r="D91" s="3092" t="s">
        <v>2694</v>
      </c>
      <c r="E91" s="3118">
        <v>0.2</v>
      </c>
      <c r="F91" s="3118">
        <v>25</v>
      </c>
    </row>
    <row r="92" spans="1:6" ht="13.5">
      <c r="A92" s="3118">
        <v>20</v>
      </c>
      <c r="B92" s="3950"/>
      <c r="C92" s="3092" t="s">
        <v>2695</v>
      </c>
      <c r="D92" s="3092" t="s">
        <v>2696</v>
      </c>
      <c r="E92" s="3118">
        <v>0.15</v>
      </c>
      <c r="F92" s="3118">
        <v>20</v>
      </c>
    </row>
    <row r="93" spans="1:6" ht="13.5">
      <c r="A93" s="3118">
        <v>21</v>
      </c>
      <c r="B93" s="3950"/>
      <c r="C93" s="3092" t="s">
        <v>2697</v>
      </c>
      <c r="D93" s="3092" t="s">
        <v>2698</v>
      </c>
      <c r="E93" s="3118">
        <v>0.15</v>
      </c>
      <c r="F93" s="3118">
        <v>20</v>
      </c>
    </row>
    <row r="94" spans="1:6" ht="13.5">
      <c r="A94" s="3118">
        <v>22</v>
      </c>
      <c r="B94" s="3950"/>
      <c r="C94" s="3092" t="s">
        <v>2699</v>
      </c>
      <c r="D94" s="3092" t="s">
        <v>2700</v>
      </c>
      <c r="E94" s="3118">
        <v>0.15</v>
      </c>
      <c r="F94" s="3118">
        <v>20</v>
      </c>
    </row>
    <row r="95" spans="1:6" ht="36">
      <c r="A95" s="3118">
        <v>23</v>
      </c>
      <c r="B95" s="3950"/>
      <c r="C95" s="3092" t="s">
        <v>2701</v>
      </c>
      <c r="D95" s="3092" t="s">
        <v>2702</v>
      </c>
      <c r="E95" s="3118">
        <v>0.15</v>
      </c>
      <c r="F95" s="3118">
        <v>20</v>
      </c>
    </row>
    <row r="96" spans="1:6" ht="13.5">
      <c r="A96" s="3118">
        <v>24</v>
      </c>
      <c r="B96" s="3950"/>
      <c r="C96" s="3092" t="s">
        <v>2703</v>
      </c>
      <c r="D96" s="3092" t="s">
        <v>2704</v>
      </c>
      <c r="E96" s="3118">
        <v>0.1</v>
      </c>
      <c r="F96" s="3118">
        <v>15</v>
      </c>
    </row>
    <row r="97" spans="1:6" ht="13.5">
      <c r="A97" s="3118">
        <v>25</v>
      </c>
      <c r="B97" s="3950"/>
      <c r="C97" s="3092" t="s">
        <v>2705</v>
      </c>
      <c r="D97" s="3092" t="s">
        <v>2706</v>
      </c>
      <c r="E97" s="3118">
        <v>0.1</v>
      </c>
      <c r="F97" s="3118">
        <v>15</v>
      </c>
    </row>
    <row r="98" spans="1:6" ht="24">
      <c r="A98" s="3118">
        <v>26</v>
      </c>
      <c r="B98" s="3950"/>
      <c r="C98" s="3092" t="s">
        <v>2707</v>
      </c>
      <c r="D98" s="3092" t="s">
        <v>2708</v>
      </c>
      <c r="E98" s="3118">
        <v>0.1</v>
      </c>
      <c r="F98" s="3118">
        <v>15</v>
      </c>
    </row>
    <row r="99" spans="1:6" ht="24">
      <c r="A99" s="3118">
        <v>27</v>
      </c>
      <c r="B99" s="3950"/>
      <c r="C99" s="3092" t="s">
        <v>2709</v>
      </c>
      <c r="D99" s="3092" t="s">
        <v>2710</v>
      </c>
      <c r="E99" s="3118">
        <v>0.1</v>
      </c>
      <c r="F99" s="3118">
        <v>15</v>
      </c>
    </row>
    <row r="100" spans="1:6" ht="13.5">
      <c r="A100" s="3118">
        <v>28</v>
      </c>
      <c r="B100" s="3950"/>
      <c r="C100" s="3092" t="s">
        <v>2711</v>
      </c>
      <c r="D100" s="3092" t="s">
        <v>2712</v>
      </c>
      <c r="E100" s="3118">
        <v>0.1</v>
      </c>
      <c r="F100" s="3118">
        <v>15</v>
      </c>
    </row>
    <row r="101" spans="1:6" ht="13.5">
      <c r="A101" s="3118">
        <v>29</v>
      </c>
      <c r="B101" s="3950"/>
      <c r="C101" s="3092" t="s">
        <v>2713</v>
      </c>
      <c r="D101" s="3092" t="s">
        <v>2714</v>
      </c>
      <c r="E101" s="3118">
        <v>0.1</v>
      </c>
      <c r="F101" s="3118">
        <v>15</v>
      </c>
    </row>
    <row r="102" spans="1:6" ht="13.5">
      <c r="A102" s="3118">
        <v>30</v>
      </c>
      <c r="B102" s="3950"/>
      <c r="C102" s="3092" t="s">
        <v>2715</v>
      </c>
      <c r="D102" s="3092" t="s">
        <v>2716</v>
      </c>
      <c r="E102" s="3118">
        <v>0.1</v>
      </c>
      <c r="F102" s="3118">
        <v>15</v>
      </c>
    </row>
    <row r="103" spans="1:6" ht="24">
      <c r="A103" s="3118">
        <v>31</v>
      </c>
      <c r="B103" s="3950"/>
      <c r="C103" s="3092" t="s">
        <v>2717</v>
      </c>
      <c r="D103" s="3092" t="s">
        <v>2718</v>
      </c>
      <c r="E103" s="3118">
        <v>0.1</v>
      </c>
      <c r="F103" s="3118">
        <v>15</v>
      </c>
    </row>
    <row r="104" spans="1:6" ht="24">
      <c r="A104" s="3118">
        <v>32</v>
      </c>
      <c r="B104" s="3950"/>
      <c r="C104" s="3092" t="s">
        <v>2719</v>
      </c>
      <c r="D104" s="3092" t="s">
        <v>2720</v>
      </c>
      <c r="E104" s="3118">
        <v>0.1</v>
      </c>
      <c r="F104" s="3118">
        <v>15</v>
      </c>
    </row>
    <row r="105" spans="1:6" ht="24">
      <c r="A105" s="3118">
        <v>33</v>
      </c>
      <c r="B105" s="3950"/>
      <c r="C105" s="3092" t="s">
        <v>2721</v>
      </c>
      <c r="D105" s="3092" t="s">
        <v>2722</v>
      </c>
      <c r="E105" s="3118">
        <v>0.1</v>
      </c>
      <c r="F105" s="3118">
        <v>15</v>
      </c>
    </row>
    <row r="106" spans="1:6" ht="24">
      <c r="A106" s="3118">
        <v>34</v>
      </c>
      <c r="B106" s="3949"/>
      <c r="C106" s="3092" t="s">
        <v>2723</v>
      </c>
      <c r="D106" s="3092" t="s">
        <v>2724</v>
      </c>
      <c r="E106" s="3118">
        <v>0.1</v>
      </c>
      <c r="F106" s="3118">
        <v>15</v>
      </c>
    </row>
    <row r="107" spans="1:6" ht="24">
      <c r="A107" s="3118">
        <v>35</v>
      </c>
      <c r="B107" s="3948" t="s">
        <v>2725</v>
      </c>
      <c r="C107" s="3118" t="s">
        <v>2726</v>
      </c>
      <c r="D107" s="3092" t="s">
        <v>2727</v>
      </c>
      <c r="E107" s="3118">
        <v>0.15</v>
      </c>
      <c r="F107" s="3118">
        <v>20</v>
      </c>
    </row>
    <row r="108" spans="1:6" ht="13.5">
      <c r="A108" s="3118">
        <v>36</v>
      </c>
      <c r="B108" s="3950"/>
      <c r="C108" s="3118" t="s">
        <v>2728</v>
      </c>
      <c r="D108" s="3092" t="s">
        <v>2729</v>
      </c>
      <c r="E108" s="3118">
        <v>0.15</v>
      </c>
      <c r="F108" s="3118">
        <v>20</v>
      </c>
    </row>
    <row r="109" spans="1:6" ht="13.5">
      <c r="A109" s="3118">
        <v>37</v>
      </c>
      <c r="B109" s="3950"/>
      <c r="C109" s="3118" t="s">
        <v>2730</v>
      </c>
      <c r="D109" s="3092" t="s">
        <v>2731</v>
      </c>
      <c r="E109" s="3118">
        <v>0.15</v>
      </c>
      <c r="F109" s="3118">
        <v>20</v>
      </c>
    </row>
    <row r="110" spans="1:6" ht="13.5">
      <c r="A110" s="3118">
        <v>38</v>
      </c>
      <c r="B110" s="3950"/>
      <c r="C110" s="3118" t="s">
        <v>2732</v>
      </c>
      <c r="D110" s="3092" t="s">
        <v>2733</v>
      </c>
      <c r="E110" s="3118">
        <v>0.1</v>
      </c>
      <c r="F110" s="3118">
        <v>15</v>
      </c>
    </row>
    <row r="111" spans="1:6" ht="24">
      <c r="A111" s="3118">
        <v>39</v>
      </c>
      <c r="B111" s="3950"/>
      <c r="C111" s="3118" t="s">
        <v>2734</v>
      </c>
      <c r="D111" s="3092" t="s">
        <v>2735</v>
      </c>
      <c r="E111" s="3118">
        <v>0.1</v>
      </c>
      <c r="F111" s="3118">
        <v>15</v>
      </c>
    </row>
    <row r="112" spans="1:6" ht="24">
      <c r="A112" s="3118">
        <v>40</v>
      </c>
      <c r="B112" s="3949"/>
      <c r="C112" s="3118" t="s">
        <v>2736</v>
      </c>
      <c r="D112" s="3092" t="s">
        <v>2737</v>
      </c>
      <c r="E112" s="3118">
        <v>0.1</v>
      </c>
      <c r="F112" s="3118">
        <v>15</v>
      </c>
    </row>
    <row r="113" spans="1:6" ht="13.5">
      <c r="A113" s="3118">
        <v>41</v>
      </c>
      <c r="B113" s="3947" t="s">
        <v>2738</v>
      </c>
      <c r="C113" s="3118" t="s">
        <v>2739</v>
      </c>
      <c r="D113" s="3092" t="s">
        <v>2740</v>
      </c>
      <c r="E113" s="3118">
        <v>0.1</v>
      </c>
      <c r="F113" s="3118">
        <v>15</v>
      </c>
    </row>
    <row r="114" spans="1:6" ht="13.5">
      <c r="A114" s="3118">
        <v>42</v>
      </c>
      <c r="B114" s="3947"/>
      <c r="C114" s="3118" t="s">
        <v>2741</v>
      </c>
      <c r="D114" s="3092" t="s">
        <v>2742</v>
      </c>
      <c r="E114" s="3118">
        <v>0.1</v>
      </c>
      <c r="F114" s="3118">
        <v>15</v>
      </c>
    </row>
    <row r="115" spans="1:6" ht="24">
      <c r="A115" s="3118">
        <v>43</v>
      </c>
      <c r="B115" s="3947"/>
      <c r="C115" s="3118" t="s">
        <v>2743</v>
      </c>
      <c r="D115" s="3092" t="s">
        <v>2744</v>
      </c>
      <c r="E115" s="3118">
        <v>0.1</v>
      </c>
      <c r="F115" s="3118">
        <v>15</v>
      </c>
    </row>
    <row r="116" spans="1:6" ht="13.5">
      <c r="A116" s="3118">
        <v>44</v>
      </c>
      <c r="B116" s="3948" t="s">
        <v>2745</v>
      </c>
      <c r="C116" s="3118" t="s">
        <v>2746</v>
      </c>
      <c r="D116" s="3092" t="s">
        <v>2747</v>
      </c>
      <c r="E116" s="3118">
        <v>0.1</v>
      </c>
      <c r="F116" s="3118">
        <v>15</v>
      </c>
    </row>
    <row r="117" spans="1:6" ht="24">
      <c r="A117" s="3118">
        <v>45</v>
      </c>
      <c r="B117" s="3949"/>
      <c r="C117" s="3092" t="s">
        <v>2748</v>
      </c>
      <c r="D117" s="3092" t="s">
        <v>2749</v>
      </c>
      <c r="E117" s="3118">
        <v>0.1</v>
      </c>
      <c r="F117" s="3118">
        <v>15</v>
      </c>
    </row>
    <row r="118" spans="1:6" ht="24">
      <c r="A118" s="3118">
        <v>46</v>
      </c>
      <c r="B118" s="3948" t="s">
        <v>2750</v>
      </c>
      <c r="C118" s="3118" t="s">
        <v>2751</v>
      </c>
      <c r="D118" s="3092" t="s">
        <v>2752</v>
      </c>
      <c r="E118" s="3118">
        <v>0.1</v>
      </c>
      <c r="F118" s="3118">
        <v>15</v>
      </c>
    </row>
    <row r="119" spans="1:6" ht="24">
      <c r="A119" s="3118">
        <v>47</v>
      </c>
      <c r="B119" s="3949"/>
      <c r="C119" s="3118" t="s">
        <v>2753</v>
      </c>
      <c r="D119" s="3092" t="s">
        <v>2754</v>
      </c>
      <c r="E119" s="3118">
        <v>0.1</v>
      </c>
      <c r="F119" s="3118">
        <v>15</v>
      </c>
    </row>
    <row r="120" spans="1:6" ht="13.5">
      <c r="A120" s="3118">
        <v>48</v>
      </c>
      <c r="B120" s="3948" t="s">
        <v>2755</v>
      </c>
      <c r="C120" s="3118" t="s">
        <v>2756</v>
      </c>
      <c r="D120" s="3092" t="s">
        <v>2757</v>
      </c>
      <c r="E120" s="3118">
        <v>0.1</v>
      </c>
      <c r="F120" s="3118">
        <v>15</v>
      </c>
    </row>
    <row r="121" spans="1:6" ht="13.5">
      <c r="A121" s="3118">
        <v>49</v>
      </c>
      <c r="B121" s="3949"/>
      <c r="C121" s="3118" t="s">
        <v>2758</v>
      </c>
      <c r="D121" s="3092" t="s">
        <v>2759</v>
      </c>
      <c r="E121" s="3118">
        <v>0.1</v>
      </c>
      <c r="F121" s="3118">
        <v>15</v>
      </c>
    </row>
    <row r="122" spans="1:6" ht="24">
      <c r="A122" s="3118">
        <v>50</v>
      </c>
      <c r="B122" s="3947" t="s">
        <v>2760</v>
      </c>
      <c r="C122" s="3118" t="s">
        <v>2761</v>
      </c>
      <c r="D122" s="3092" t="s">
        <v>2762</v>
      </c>
      <c r="E122" s="3118">
        <v>0.1</v>
      </c>
      <c r="F122" s="3118">
        <v>15</v>
      </c>
    </row>
    <row r="123" spans="1:6" ht="24">
      <c r="A123" s="3118">
        <v>51</v>
      </c>
      <c r="B123" s="3947"/>
      <c r="C123" s="3118" t="s">
        <v>2763</v>
      </c>
      <c r="D123" s="3092" t="s">
        <v>2764</v>
      </c>
      <c r="E123" s="3118">
        <v>0.1</v>
      </c>
      <c r="F123" s="3118">
        <v>15</v>
      </c>
    </row>
    <row r="124" spans="1:6" ht="24">
      <c r="A124" s="3118">
        <v>52</v>
      </c>
      <c r="B124" s="3947" t="s">
        <v>2765</v>
      </c>
      <c r="C124" s="3118" t="s">
        <v>2766</v>
      </c>
      <c r="D124" s="3092" t="s">
        <v>2767</v>
      </c>
      <c r="E124" s="3118">
        <v>0.1</v>
      </c>
      <c r="F124" s="3118">
        <v>15</v>
      </c>
    </row>
    <row r="125" spans="1:6" ht="24">
      <c r="A125" s="3118">
        <v>53</v>
      </c>
      <c r="B125" s="394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47" t="s">
        <v>2773</v>
      </c>
      <c r="C127" s="3118" t="s">
        <v>2774</v>
      </c>
      <c r="D127" s="3092" t="s">
        <v>2775</v>
      </c>
      <c r="E127" s="3118">
        <v>0.1</v>
      </c>
      <c r="F127" s="3118">
        <v>15</v>
      </c>
    </row>
    <row r="128" spans="1:6" ht="13.5">
      <c r="A128" s="3118">
        <v>56</v>
      </c>
      <c r="B128" s="3947"/>
      <c r="C128" s="3118" t="s">
        <v>2776</v>
      </c>
      <c r="D128" s="3092" t="s">
        <v>2777</v>
      </c>
      <c r="E128" s="3118">
        <v>0.1</v>
      </c>
      <c r="F128" s="3118">
        <v>15</v>
      </c>
    </row>
    <row r="129" spans="1:6" ht="24">
      <c r="A129" s="3118">
        <v>57</v>
      </c>
      <c r="B129" s="3947"/>
      <c r="C129" s="3118" t="s">
        <v>2778</v>
      </c>
      <c r="D129" s="3092" t="s">
        <v>2779</v>
      </c>
      <c r="E129" s="3118">
        <v>0.1</v>
      </c>
      <c r="F129" s="3118">
        <v>15</v>
      </c>
    </row>
    <row r="130" spans="1:6" ht="24">
      <c r="A130" s="3118">
        <v>58</v>
      </c>
      <c r="B130" s="3947" t="s">
        <v>2780</v>
      </c>
      <c r="C130" s="3118" t="s">
        <v>2781</v>
      </c>
      <c r="D130" s="3092" t="s">
        <v>2782</v>
      </c>
      <c r="E130" s="3118">
        <v>0.1</v>
      </c>
      <c r="F130" s="3118">
        <v>15</v>
      </c>
    </row>
    <row r="131" spans="1:6" ht="13.5">
      <c r="A131" s="3118">
        <v>59</v>
      </c>
      <c r="B131" s="3947"/>
      <c r="C131" s="3118" t="s">
        <v>2783</v>
      </c>
      <c r="D131" s="3092" t="s">
        <v>2784</v>
      </c>
      <c r="E131" s="3118">
        <v>0.1</v>
      </c>
      <c r="F131" s="3118">
        <v>15</v>
      </c>
    </row>
    <row r="132" spans="1:6" ht="13.5">
      <c r="A132" s="3118">
        <v>60</v>
      </c>
      <c r="B132" s="3948" t="s">
        <v>2785</v>
      </c>
      <c r="C132" s="3118" t="s">
        <v>2786</v>
      </c>
      <c r="D132" s="3092" t="s">
        <v>2787</v>
      </c>
      <c r="E132" s="3118">
        <v>0.1</v>
      </c>
      <c r="F132" s="3118">
        <v>15</v>
      </c>
    </row>
    <row r="133" spans="1:6" ht="13.5">
      <c r="A133" s="3118">
        <v>61</v>
      </c>
      <c r="B133" s="394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47" t="s">
        <v>2793</v>
      </c>
      <c r="C135" s="3118" t="s">
        <v>2794</v>
      </c>
      <c r="D135" s="3092" t="s">
        <v>2795</v>
      </c>
      <c r="E135" s="3118">
        <v>0.1</v>
      </c>
      <c r="F135" s="3118">
        <v>15</v>
      </c>
    </row>
    <row r="136" spans="1:6" ht="13.5">
      <c r="A136" s="3118">
        <v>64</v>
      </c>
      <c r="B136" s="394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spans="1:5" ht="18">
      <c r="A3" s="3639" t="str">
        <f>IF(项目基本情况!B9="房地产市场价值","估价结果一览表（市场价值不需“结果表-1”）","估价结果一览表")</f>
        <v>估价结果一览表</v>
      </c>
      <c r="B3" s="3639"/>
      <c r="C3" s="3639"/>
      <c r="D3" s="3639"/>
      <c r="E3" s="3639"/>
    </row>
    <row r="4" spans="1:5" ht="19.5" thickBot="1">
      <c r="A4" s="1493"/>
      <c r="B4" s="3637" t="s">
        <v>917</v>
      </c>
      <c r="C4" s="3637"/>
      <c r="D4" s="3637"/>
      <c r="E4" s="1493"/>
    </row>
    <row r="5" spans="1:5" ht="16.5" thickTop="1">
      <c r="A5" s="1491"/>
      <c r="B5" s="3635" t="s">
        <v>909</v>
      </c>
      <c r="C5" s="1494" t="s">
        <v>910</v>
      </c>
      <c r="D5" s="850" t="e">
        <f ca="1">结果表!H101</f>
        <v>#REF!</v>
      </c>
      <c r="E5" s="1491"/>
    </row>
    <row r="6" spans="1:5" ht="15.75">
      <c r="A6" s="1491"/>
      <c r="B6" s="3635"/>
      <c r="C6" s="1494" t="s">
        <v>911</v>
      </c>
      <c r="D6" s="850" t="e">
        <f ca="1">NUMBERSTRING(INT(D5*10000),2)&amp;"元整"</f>
        <v>#REF!</v>
      </c>
      <c r="E6" s="1491"/>
    </row>
    <row r="7" spans="1:5" ht="15.75">
      <c r="A7" s="1491"/>
      <c r="B7" s="3640"/>
      <c r="C7" s="1495" t="s">
        <v>912</v>
      </c>
      <c r="D7" s="851" t="e">
        <f ca="1">结果表!H102</f>
        <v>#REF!</v>
      </c>
      <c r="E7" s="1491"/>
    </row>
    <row r="8" spans="1:5" ht="15.75">
      <c r="A8" s="1491"/>
      <c r="B8" s="3641" t="str">
        <f>结果表!E103</f>
        <v>2.估价师知悉的法定优先受偿款</v>
      </c>
      <c r="C8" s="1496" t="s">
        <v>913</v>
      </c>
      <c r="D8" s="851">
        <f>结果表!H103</f>
        <v>0</v>
      </c>
      <c r="E8" s="1491"/>
    </row>
    <row r="9" spans="1:5" ht="15.75">
      <c r="A9" s="1491"/>
      <c r="B9" s="36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4" t="str">
        <f>结果表!E107</f>
        <v>3.房地产抵押价值</v>
      </c>
      <c r="C13" s="1499" t="s">
        <v>910</v>
      </c>
      <c r="D13" s="853" t="e">
        <f ca="1">结果表!H107</f>
        <v>#REF!</v>
      </c>
      <c r="E13" s="1491"/>
    </row>
    <row r="14" spans="1:5" ht="15.75">
      <c r="A14" s="1491"/>
      <c r="B14" s="3635"/>
      <c r="C14" s="1494" t="s">
        <v>911</v>
      </c>
      <c r="D14" s="850" t="e">
        <f ca="1">NUMBERSTRING(INT(D13*10000),2)&amp;"元整"</f>
        <v>#REF!</v>
      </c>
      <c r="E14" s="1491"/>
    </row>
    <row r="15" spans="1:5" ht="15">
      <c r="A15" s="1491"/>
      <c r="B15" s="3640"/>
      <c r="C15" s="1495" t="s">
        <v>921</v>
      </c>
      <c r="D15" s="859" t="e">
        <f ca="1">结果表!H108</f>
        <v>#REF!</v>
      </c>
      <c r="E15" s="1491"/>
    </row>
    <row r="16" spans="1:5" ht="15">
      <c r="A16" s="1491"/>
      <c r="B16" s="3641" t="str">
        <f>结果表!E109</f>
        <v>——</v>
      </c>
      <c r="C16" s="1499" t="s">
        <v>922</v>
      </c>
      <c r="D16" s="1500" t="str">
        <f>结果表!H109</f>
        <v>——</v>
      </c>
      <c r="E16" s="1491"/>
    </row>
    <row r="17" spans="1:5" ht="15.75">
      <c r="A17" s="1491"/>
      <c r="B17" s="3642"/>
      <c r="C17" s="1494" t="s">
        <v>923</v>
      </c>
      <c r="D17" s="850" t="e">
        <f>NUMBERSTRING(INT(D16*10000),2)&amp;"元整"</f>
        <v>#VALUE!</v>
      </c>
      <c r="E17" s="1491"/>
    </row>
    <row r="18" spans="1:5" ht="15">
      <c r="A18" s="1491"/>
      <c r="B18" s="3643"/>
      <c r="C18" s="1495" t="s">
        <v>912</v>
      </c>
      <c r="D18" s="859" t="str">
        <f>结果表!H110</f>
        <v>——</v>
      </c>
      <c r="E18" s="1491"/>
    </row>
    <row r="19" spans="1:5" ht="15.75">
      <c r="A19" s="1491"/>
      <c r="B19" s="3634" t="str">
        <f>结果表!E111</f>
        <v>——</v>
      </c>
      <c r="C19" s="1499" t="s">
        <v>910</v>
      </c>
      <c r="D19" s="851" t="str">
        <f>结果表!H111</f>
        <v>——</v>
      </c>
      <c r="E19" s="1491"/>
    </row>
    <row r="20" spans="1:5" ht="15.75">
      <c r="A20" s="1491"/>
      <c r="B20" s="3635"/>
      <c r="C20" s="1494" t="s">
        <v>923</v>
      </c>
      <c r="D20" s="850" t="e">
        <f>NUMBERSTRING(INT(D19*10000),2)&amp;"元整"</f>
        <v>#VALUE!</v>
      </c>
      <c r="E20" s="1491"/>
    </row>
    <row r="21" spans="1:5" ht="15.75" thickBot="1">
      <c r="A21" s="1491"/>
      <c r="B21" s="36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26184</v>
      </c>
      <c r="C2" s="2" t="s">
        <v>106</v>
      </c>
      <c r="D2" s="199"/>
      <c r="E2" s="199"/>
      <c r="F2" s="199"/>
      <c r="G2" s="199"/>
    </row>
    <row r="3" spans="1:7" s="200" customFormat="1" ht="18" customHeight="1" thickBot="1">
      <c r="A3" s="203" t="s">
        <v>58</v>
      </c>
      <c r="B3" s="204">
        <f ca="1">ROUND(B2*10000/'数据-汇总表'!E3,0)</f>
        <v>4182748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1041</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16" t="s">
        <v>94</v>
      </c>
    </row>
    <row r="43" spans="1:7" ht="13.5" customHeight="1">
      <c r="A43" s="780" t="s">
        <v>347</v>
      </c>
      <c r="B43" s="215" t="s">
        <v>426</v>
      </c>
      <c r="C43" s="238">
        <f ca="1">ROUND(IF('数据-取费表'!B22&lt;=1,C39*F22*'数据-取费表'!B21/2,C39*(POWER((1+F22),'数据-取费表'!B21/2)-1)),0)</f>
        <v>0</v>
      </c>
      <c r="D43" s="238"/>
      <c r="E43" s="238"/>
      <c r="F43" s="239"/>
      <c r="G43" s="3817"/>
    </row>
    <row r="44" spans="1:7" ht="13.5" customHeight="1">
      <c r="A44" s="780" t="s">
        <v>348</v>
      </c>
      <c r="B44" s="215" t="s">
        <v>428</v>
      </c>
      <c r="C44" s="238">
        <f ca="1">ROUND(IF('数据-取费表'!B22&lt;=1,C40*F22*'数据-取费表'!B21/2,C40*(POWER((1+F22),'数据-取费表'!B21/2)-1)),4)</f>
        <v>5.9999999999999995E-4</v>
      </c>
      <c r="D44" s="238"/>
      <c r="E44" s="238"/>
      <c r="F44" s="239"/>
      <c r="G44" s="3818"/>
    </row>
    <row r="45" spans="1:7" s="214" customFormat="1" ht="13.5" customHeight="1">
      <c r="A45" s="777" t="s">
        <v>341</v>
      </c>
      <c r="B45" s="244" t="s">
        <v>85</v>
      </c>
      <c r="C45" s="245">
        <f>C46</f>
        <v>1</v>
      </c>
      <c r="D45" s="235">
        <f>C47</f>
        <v>5.0000000000000001E-4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26184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61" t="s">
        <v>2843</v>
      </c>
      <c r="B1" s="3961"/>
      <c r="C1" s="3961"/>
      <c r="D1" s="3961"/>
      <c r="E1" s="3961"/>
      <c r="F1" s="3961"/>
      <c r="G1" s="396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5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6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63" t="s">
        <v>3185</v>
      </c>
      <c r="B1" s="396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64" t="s">
        <v>3236</v>
      </c>
      <c r="B1" s="3964"/>
      <c r="C1" s="3964"/>
      <c r="D1" s="3964"/>
      <c r="E1" s="3964"/>
      <c r="F1" s="396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41568</v>
      </c>
      <c r="B1" s="3210" t="s">
        <v>3374</v>
      </c>
      <c r="C1" s="3211"/>
      <c r="D1" s="3211"/>
      <c r="E1" s="3211"/>
      <c r="F1" s="3211"/>
      <c r="G1" s="3211"/>
      <c r="H1" s="3211"/>
      <c r="I1" s="3211"/>
      <c r="J1" s="3165"/>
      <c r="K1" s="3211" t="s">
        <v>454</v>
      </c>
      <c r="L1" s="3211"/>
      <c r="M1" s="3211"/>
      <c r="N1" s="3211"/>
      <c r="O1" s="3211"/>
      <c r="P1" s="3211"/>
      <c r="Q1" s="3165"/>
      <c r="R1" s="3966" t="s">
        <v>456</v>
      </c>
      <c r="S1" s="3967"/>
      <c r="T1" s="3967"/>
      <c r="U1" s="3967"/>
      <c r="V1" s="3967"/>
      <c r="W1" s="3967"/>
      <c r="X1" s="3165"/>
      <c r="Y1" s="3966" t="s">
        <v>457</v>
      </c>
      <c r="Z1" s="3967"/>
      <c r="AA1" s="3967"/>
      <c r="AB1" s="3967"/>
      <c r="AC1" s="3967"/>
      <c r="AD1" s="396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966" t="s">
        <v>2831</v>
      </c>
      <c r="S23" s="3967"/>
      <c r="T23" s="3967"/>
      <c r="U23" s="3967"/>
      <c r="V23" s="3967"/>
      <c r="W23" s="3967"/>
      <c r="X23" s="3165"/>
      <c r="Y23" s="3966" t="s">
        <v>2832</v>
      </c>
      <c r="Z23" s="3967"/>
      <c r="AA23" s="3967"/>
      <c r="AB23" s="3967"/>
      <c r="AC23" s="3967"/>
      <c r="AD23" s="396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3" t="s">
        <v>452</v>
      </c>
      <c r="C1" s="3973"/>
      <c r="D1" s="3973"/>
      <c r="E1" s="3973"/>
      <c r="F1" s="3973"/>
      <c r="G1" s="3972" t="s">
        <v>453</v>
      </c>
      <c r="H1" s="3972"/>
      <c r="I1" s="3972"/>
      <c r="J1" s="3972"/>
      <c r="K1" s="3972"/>
      <c r="L1" s="3972"/>
      <c r="N1" s="3972" t="s">
        <v>454</v>
      </c>
      <c r="O1" s="3972"/>
      <c r="P1" s="3972"/>
      <c r="Q1" s="3972"/>
      <c r="S1" s="3972" t="s">
        <v>455</v>
      </c>
      <c r="T1" s="3972"/>
      <c r="U1" s="3972"/>
      <c r="V1" s="3972"/>
      <c r="X1" s="3971" t="s">
        <v>456</v>
      </c>
      <c r="Y1" s="3972"/>
      <c r="Z1" s="3972"/>
      <c r="AA1" s="3972"/>
      <c r="AB1" s="3972"/>
      <c r="AD1" s="3971" t="s">
        <v>457</v>
      </c>
      <c r="AE1" s="3972"/>
      <c r="AF1" s="3972"/>
      <c r="AG1" s="3972"/>
      <c r="AH1" s="39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7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7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7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7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7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7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7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7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7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7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7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7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7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7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41568</v>
      </c>
      <c r="D1" s="1302" t="s">
        <v>603</v>
      </c>
      <c r="E1" s="1297">
        <f>'数据-取费表'!B22</f>
        <v>2</v>
      </c>
      <c r="F1" s="1302" t="s">
        <v>604</v>
      </c>
      <c r="G1" s="1298">
        <f ca="1">INDIRECT("d"&amp;$K$1)/100</f>
        <v>6.1500000000000006E-2</v>
      </c>
      <c r="H1" s="1302" t="s">
        <v>634</v>
      </c>
      <c r="I1" s="1298">
        <f ca="1">F4/100</f>
        <v>0.03</v>
      </c>
      <c r="J1" s="1303">
        <f>IF(C1&gt;C13,0,MATCH(C1,C$13:C$111,-1))+IF(SUMIF(C13:C111,C1,D13:D111)=0,13,12)</f>
        <v>30</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51" t="str">
        <f>IF(项目基本情况!B9="房地产市场价值","估价结果一览表","结果表-2")</f>
        <v>结果表-2</v>
      </c>
      <c r="B1" s="3651"/>
      <c r="C1" s="3651"/>
      <c r="D1" s="3651"/>
      <c r="E1" s="3651"/>
      <c r="F1" s="3651"/>
      <c r="G1" s="3651"/>
      <c r="H1" s="3651"/>
      <c r="I1" s="3651"/>
    </row>
    <row r="2" spans="1:9" ht="30" customHeight="1" thickTop="1">
      <c r="A2" s="3652" t="s">
        <v>928</v>
      </c>
      <c r="B2" s="3652" t="s">
        <v>929</v>
      </c>
      <c r="C2" s="3652" t="s">
        <v>930</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spans="1:9" ht="15">
      <c r="A3" s="3647"/>
      <c r="B3" s="3647"/>
      <c r="C3" s="3647"/>
      <c r="D3" s="854" t="s">
        <v>925</v>
      </c>
      <c r="E3" s="854" t="s">
        <v>931</v>
      </c>
      <c r="F3" s="854" t="s">
        <v>925</v>
      </c>
      <c r="G3" s="854" t="s">
        <v>926</v>
      </c>
      <c r="H3" s="854" t="s">
        <v>925</v>
      </c>
      <c r="I3" s="854" t="s">
        <v>926</v>
      </c>
    </row>
    <row r="4" spans="1:9" ht="15">
      <c r="A4" s="1505" t="str">
        <f>项目基本情况!S2</f>
        <v>房地产</v>
      </c>
      <c r="B4" s="854">
        <f>项目基本情况!C17</f>
        <v>62.6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7" t="s">
        <v>927</v>
      </c>
      <c r="B5" s="3647"/>
      <c r="C5" s="3647"/>
      <c r="D5" s="3647" t="e">
        <f ca="1">结果表!D119</f>
        <v>#REF!</v>
      </c>
      <c r="E5" s="3647"/>
      <c r="F5" s="3647" t="e">
        <f ca="1">结果表!F119</f>
        <v>#REF!</v>
      </c>
      <c r="G5" s="3647"/>
      <c r="H5" s="3647" t="e">
        <f ca="1">结果表!H119</f>
        <v>#REF!</v>
      </c>
      <c r="I5" s="3647"/>
    </row>
    <row r="6" spans="1:9" ht="15.75">
      <c r="A6" s="3646" t="str">
        <f>结果表!A120</f>
        <v>估价师知悉的法定优先受偿款</v>
      </c>
      <c r="B6" s="3646"/>
      <c r="C6" s="3646"/>
      <c r="D6" s="3646">
        <f>结果表!D120</f>
        <v>0</v>
      </c>
      <c r="E6" s="3646"/>
      <c r="F6" s="3646"/>
      <c r="G6" s="3646"/>
      <c r="H6" s="3646"/>
      <c r="I6" s="3646"/>
    </row>
    <row r="7" spans="1:9" ht="15">
      <c r="A7" s="3647" t="s">
        <v>927</v>
      </c>
      <c r="B7" s="3647"/>
      <c r="C7" s="3647"/>
      <c r="D7" s="3648" t="str">
        <f>结果表!D121</f>
        <v>零元整</v>
      </c>
      <c r="E7" s="3649"/>
      <c r="F7" s="3649"/>
      <c r="G7" s="3649"/>
      <c r="H7" s="3649"/>
      <c r="I7" s="3650"/>
    </row>
    <row r="8" spans="1:9" ht="15.75">
      <c r="A8" s="3646" t="str">
        <f>结果表!A122</f>
        <v>房地产抵押价值</v>
      </c>
      <c r="B8" s="3646"/>
      <c r="C8" s="3646"/>
      <c r="D8" s="3646" t="e">
        <f ca="1">结果表!D122</f>
        <v>#REF!</v>
      </c>
      <c r="E8" s="3646"/>
      <c r="F8" s="3646"/>
      <c r="G8" s="3646"/>
      <c r="H8" s="3646"/>
      <c r="I8" s="3646"/>
    </row>
    <row r="9" spans="1:9" ht="15">
      <c r="A9" s="3647" t="s">
        <v>927</v>
      </c>
      <c r="B9" s="3647"/>
      <c r="C9" s="3647"/>
      <c r="D9" s="3647" t="e">
        <f ca="1">结果表!D123</f>
        <v>#REF!</v>
      </c>
      <c r="E9" s="3647"/>
      <c r="F9" s="3647"/>
      <c r="G9" s="3647"/>
      <c r="H9" s="3647"/>
      <c r="I9" s="3647"/>
    </row>
    <row r="10" spans="1:9" ht="15.75">
      <c r="A10" s="3646" t="str">
        <f>结果表!A124</f>
        <v/>
      </c>
      <c r="B10" s="3646"/>
      <c r="C10" s="3646"/>
      <c r="D10" s="3646" t="str">
        <f>结果表!D124</f>
        <v>——</v>
      </c>
      <c r="E10" s="3646"/>
      <c r="F10" s="3646"/>
      <c r="G10" s="3646"/>
      <c r="H10" s="3646"/>
      <c r="I10" s="3646"/>
    </row>
    <row r="11" spans="1:9" ht="15">
      <c r="A11" s="3647" t="s">
        <v>927</v>
      </c>
      <c r="B11" s="3647"/>
      <c r="C11" s="3647"/>
      <c r="D11" s="3647" t="e">
        <f>结果表!D125</f>
        <v>#VALUE!</v>
      </c>
      <c r="E11" s="3647"/>
      <c r="F11" s="3647"/>
      <c r="G11" s="3647"/>
      <c r="H11" s="3647"/>
      <c r="I11" s="3647"/>
    </row>
    <row r="12" spans="1:9" ht="15.75">
      <c r="A12" s="3646" t="str">
        <f>结果表!A126</f>
        <v/>
      </c>
      <c r="B12" s="3646"/>
      <c r="C12" s="3646"/>
      <c r="D12" s="3646" t="str">
        <f>结果表!D126</f>
        <v>——</v>
      </c>
      <c r="E12" s="3646"/>
      <c r="F12" s="3646"/>
      <c r="G12" s="3646"/>
      <c r="H12" s="3646"/>
      <c r="I12" s="3646"/>
    </row>
    <row r="13" spans="1:9" ht="15.75" thickBot="1">
      <c r="A13" s="3644" t="s">
        <v>927</v>
      </c>
      <c r="B13" s="3644"/>
      <c r="C13" s="3644"/>
      <c r="D13" s="3644" t="e">
        <f>结果表!D127</f>
        <v>#VALUE!</v>
      </c>
      <c r="E13" s="3644"/>
      <c r="F13" s="3644"/>
      <c r="G13" s="3644"/>
      <c r="H13" s="3644"/>
      <c r="I13" s="3644"/>
    </row>
    <row r="14" spans="1:9" ht="15" thickTop="1">
      <c r="A14" s="3645" t="s">
        <v>932</v>
      </c>
      <c r="B14" s="3645"/>
      <c r="C14" s="3645"/>
      <c r="D14" s="3645"/>
      <c r="E14" s="3645"/>
      <c r="F14" s="3645"/>
      <c r="G14" s="3645"/>
      <c r="H14" s="3645"/>
      <c r="I14" s="364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9" t="s">
        <v>949</v>
      </c>
      <c r="B1" s="3659"/>
      <c r="C1" s="3659"/>
      <c r="D1" s="3659"/>
    </row>
    <row r="2" spans="1:4" ht="18">
      <c r="A2" s="3660" t="s">
        <v>933</v>
      </c>
      <c r="B2" s="3660"/>
      <c r="C2" s="3660"/>
      <c r="D2" s="366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60" t="s">
        <v>939</v>
      </c>
      <c r="B6" s="3660"/>
      <c r="C6" s="3660"/>
      <c r="D6" s="366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61" t="s">
        <v>942</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8"/>
      <c r="C12" s="3658"/>
      <c r="D12" s="3658"/>
    </row>
    <row r="13" spans="1:4" ht="30" customHeight="1">
      <c r="A13" s="3653" t="str">
        <f>IF(项目基本情况!B8="抵押","3.抵押双方在办理抵押登记手续时，应使用本公司出具的正式《房地产评估报告》，特提醒报告使用者注意。","——")</f>
        <v>——</v>
      </c>
      <c r="B13" s="3658"/>
      <c r="C13" s="3658"/>
      <c r="D13" s="3658"/>
    </row>
    <row r="14" spans="1:4" ht="15.75" customHeight="1">
      <c r="A14" s="3653" t="str">
        <f>IF(项目基本情况!B8="抵押","4.本次评估估价师所知悉的法定优先受偿款情况说明如下：","——")</f>
        <v>——</v>
      </c>
      <c r="B14" s="3658"/>
      <c r="C14" s="3658"/>
      <c r="D14" s="3658"/>
    </row>
    <row r="15" spans="1:4" ht="42" customHeight="1">
      <c r="A15" s="3653" t="str">
        <f>IF(项目基本情况!B8="抵押","（1）"&amp;CONCATENATE(项目基本情况!L20,项目基本情况!L21,项目基本情况!L22),"——")</f>
        <v>——</v>
      </c>
      <c r="B15" s="3653"/>
      <c r="C15" s="3653"/>
      <c r="D15" s="3653"/>
    </row>
    <row r="16" spans="1:4" ht="30" customHeight="1">
      <c r="A16" s="3655" t="s">
        <v>943</v>
      </c>
      <c r="B16" s="3655"/>
      <c r="C16" s="3655"/>
      <c r="D16" s="3655"/>
    </row>
    <row r="17" spans="1:4" ht="144" customHeight="1">
      <c r="A17" s="3655" t="s">
        <v>944</v>
      </c>
      <c r="B17" s="3655"/>
      <c r="C17" s="3655"/>
      <c r="D17" s="3655"/>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spans="1:4" ht="18.75" customHeight="1">
      <c r="A22" s="3657" t="s">
        <v>945</v>
      </c>
      <c r="B22" s="3657"/>
      <c r="C22" s="3657"/>
      <c r="D22" s="365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4">
        <v>42551</v>
      </c>
      <c r="D31" s="36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7" t="s">
        <v>956</v>
      </c>
      <c r="B15" s="3662" t="s">
        <v>109</v>
      </c>
      <c r="C15" s="3663"/>
    </row>
    <row r="16" spans="1:7" ht="13.5">
      <c r="A16" s="3668"/>
      <c r="B16" s="3662" t="s">
        <v>42</v>
      </c>
      <c r="C16" s="3663"/>
    </row>
    <row r="17" spans="1:3" ht="13.5">
      <c r="A17" s="3668"/>
      <c r="B17" s="3665" t="s">
        <v>957</v>
      </c>
      <c r="C17" s="1532" t="s">
        <v>956</v>
      </c>
    </row>
    <row r="18" spans="1:3" ht="13.5">
      <c r="A18" s="3668"/>
      <c r="B18" s="3665"/>
      <c r="C18" s="1532" t="s">
        <v>958</v>
      </c>
    </row>
    <row r="19" spans="1:3" ht="13.5">
      <c r="A19" s="3668"/>
      <c r="B19" s="3665"/>
      <c r="C19" s="1532" t="s">
        <v>959</v>
      </c>
    </row>
    <row r="20" spans="1:3" ht="13.5">
      <c r="A20" s="3669"/>
      <c r="B20" s="3664" t="s">
        <v>960</v>
      </c>
      <c r="C20" s="3663"/>
    </row>
    <row r="21" spans="1:3" ht="13.5">
      <c r="A21" s="1533" t="s">
        <v>961</v>
      </c>
      <c r="B21" s="1534"/>
      <c r="C21" s="1535"/>
    </row>
    <row r="22" spans="1:3" ht="13.5">
      <c r="A22" s="3666" t="s">
        <v>962</v>
      </c>
      <c r="B22" s="3664" t="s">
        <v>963</v>
      </c>
      <c r="C22" s="3663"/>
    </row>
    <row r="23" spans="1:3" ht="13.5">
      <c r="A23" s="3666"/>
      <c r="B23" s="3664" t="s">
        <v>964</v>
      </c>
      <c r="C23" s="3663"/>
    </row>
    <row r="24" spans="1:3" ht="13.5">
      <c r="A24" s="3666"/>
      <c r="B24" s="3664" t="s">
        <v>965</v>
      </c>
      <c r="C24" s="3663"/>
    </row>
    <row r="25" spans="1:3" ht="13.5">
      <c r="A25" s="3666"/>
      <c r="B25" s="3665" t="s">
        <v>966</v>
      </c>
      <c r="C25" s="1532" t="s">
        <v>967</v>
      </c>
    </row>
    <row r="26" spans="1:3" ht="13.5">
      <c r="A26" s="3666"/>
      <c r="B26" s="3665"/>
      <c r="C26" s="1532" t="s">
        <v>968</v>
      </c>
    </row>
    <row r="27" spans="1:3" ht="13.5">
      <c r="A27" s="3666"/>
      <c r="B27" s="3665"/>
      <c r="C27" s="1532" t="s">
        <v>969</v>
      </c>
    </row>
    <row r="28" spans="1:3" ht="13.5">
      <c r="A28" s="3666"/>
      <c r="B28" s="3665"/>
      <c r="C28" s="1532" t="s">
        <v>970</v>
      </c>
    </row>
    <row r="29" spans="1:3" ht="13.5">
      <c r="A29" s="3666"/>
      <c r="B29" s="3665"/>
      <c r="C29" s="1532" t="s">
        <v>971</v>
      </c>
    </row>
    <row r="30" spans="1:3" ht="13.5">
      <c r="A30" s="3666"/>
      <c r="B30" s="3665"/>
      <c r="C30" s="1532" t="s">
        <v>972</v>
      </c>
    </row>
    <row r="31" spans="1:3" ht="13.5">
      <c r="A31" s="3666"/>
      <c r="B31" s="3665"/>
      <c r="C31" s="1532" t="s">
        <v>973</v>
      </c>
    </row>
    <row r="32" spans="1:3" ht="13.5">
      <c r="A32" s="3666"/>
      <c r="B32" s="3665"/>
      <c r="C32" s="1532" t="s">
        <v>974</v>
      </c>
    </row>
    <row r="33" spans="1:3" ht="13.5">
      <c r="A33" s="3666"/>
      <c r="B33" s="36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70" t="s">
        <v>2160</v>
      </c>
      <c r="B17" s="3670"/>
      <c r="C17" s="3670"/>
      <c r="D17" s="3670"/>
      <c r="E17" s="3670"/>
      <c r="F17" s="3670"/>
      <c r="G17" s="3670"/>
      <c r="H17" s="3670"/>
    </row>
    <row r="18" spans="1:8" ht="24" customHeight="1">
      <c r="A18" s="3671" t="s">
        <v>2161</v>
      </c>
      <c r="B18" s="3671"/>
      <c r="C18" s="3671"/>
      <c r="D18" s="2343"/>
      <c r="E18" s="3672" t="s">
        <v>2162</v>
      </c>
      <c r="F18" s="3671"/>
      <c r="G18" s="36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2024-03-08T08:24:42Z</dcterms:modified>
</cp:coreProperties>
</file>