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4230" tabRatio="899" firstSheet="11"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6" i="1" l="1"/>
  <c r="Y6" i="1" l="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3" i="76"/>
  <c r="B8" i="76"/>
  <c r="B9" i="76"/>
  <c r="B12" i="76"/>
  <c r="B13" i="76"/>
  <c r="B7" i="76"/>
  <c r="E9" i="76"/>
  <c r="E11" i="76"/>
  <c r="B11" i="76"/>
  <c r="B10" i="76"/>
  <c r="E10" i="76"/>
  <c r="E8" i="76"/>
  <c r="E7"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F6" i="73"/>
  <c r="F4" i="73"/>
  <c r="D5" i="73"/>
  <c r="F3" i="73"/>
  <c r="D3" i="73"/>
  <c r="D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15"/>
  <c r="F37" i="67"/>
  <c r="F38" i="67"/>
  <c r="M26" i="67"/>
  <c r="M22" i="67"/>
  <c r="F8" i="15"/>
  <c r="F36" i="67"/>
  <c r="L48" i="67"/>
  <c r="F36" i="15"/>
  <c r="M26" i="15"/>
  <c r="F42" i="67"/>
  <c r="F13" i="15"/>
  <c r="F7" i="67"/>
  <c r="G1" i="73"/>
  <c r="M24" i="67"/>
  <c r="F16" i="15"/>
  <c r="M6" i="15"/>
  <c r="F13" i="67"/>
  <c r="F42" i="15"/>
  <c r="M28" i="67"/>
  <c r="F43" i="15"/>
  <c r="M6" i="67"/>
  <c r="M23" i="67"/>
  <c r="F26" i="67"/>
  <c r="F9" i="15"/>
  <c r="L48" i="15"/>
  <c r="F16" i="67"/>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J15" i="67"/>
  <c r="L47" i="67"/>
  <c r="F43" i="67"/>
  <c r="J15" i="15"/>
  <c r="C17" i="15"/>
  <c r="C76" i="67"/>
  <c r="F40" i="15"/>
  <c r="M23" i="15"/>
  <c r="M9" i="67"/>
  <c r="F40" i="67"/>
  <c r="F9" i="67"/>
  <c r="F38" i="15"/>
  <c r="M29" i="67"/>
  <c r="C16" i="15"/>
  <c r="M29" i="15"/>
  <c r="M9" i="15"/>
  <c r="M28" i="15"/>
  <c r="M8" i="15"/>
  <c r="F37" i="15"/>
  <c r="F7" i="15"/>
  <c r="F6" i="67"/>
  <c r="L47" i="15"/>
  <c r="M22" i="15"/>
  <c r="M24" i="15"/>
  <c r="M8" i="67"/>
  <c r="C76" i="15"/>
  <c r="F8" i="67"/>
  <c r="F66" i="15" l="1"/>
  <c r="F50" i="15"/>
  <c r="C49" i="15" s="1"/>
  <c r="C53" i="15" s="1"/>
  <c r="M7" i="15"/>
  <c r="F51" i="67"/>
  <c r="C49" i="67" s="1"/>
  <c r="M59" i="67"/>
  <c r="L58" i="67"/>
  <c r="Q73" i="67" s="1"/>
  <c r="N59" i="67"/>
  <c r="L59"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61" i="67"/>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M21" i="67"/>
  <c r="B6" i="76"/>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F4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6"/>
  <c r="D2" i="34"/>
  <c r="D2" i="33"/>
  <c r="F20" i="31"/>
  <c r="D2" i="35"/>
  <c r="E2" i="68"/>
  <c r="D2" i="79"/>
  <c r="D2" i="37"/>
  <c r="D2" i="21"/>
  <c r="B2" i="36" l="1"/>
  <c r="B3" i="36" s="1"/>
  <c r="B2" i="35"/>
  <c r="B3" i="35" s="1"/>
  <c r="B2" i="37"/>
  <c r="B3" i="37" s="1"/>
  <c r="B2" i="34"/>
  <c r="B2" i="21"/>
  <c r="B3" i="21" s="1"/>
  <c r="B2" i="70"/>
  <c r="B3" i="70" s="1"/>
  <c r="B3" i="68"/>
  <c r="D20" i="9"/>
  <c r="D19" i="9"/>
  <c r="C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R22" i="31" s="1"/>
  <c r="B21" i="31" s="1"/>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<sst xmlns="http://schemas.openxmlformats.org/spreadsheetml/2006/main" count="7939" uniqueCount="3196">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</sst>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99" fillId="0" borderId="0" applyFont="0" applyFill="0" applyBorder="0" applyAlignment="0" applyProtection="0">
      <alignment vertical="center"/>
    </xf>
    <xf numFmtId="176" fontId="263"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176"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176" fontId="258" fillId="0" borderId="161" xfId="13" applyNumberFormat="1" applyFont="1" applyFill="1" applyBorder="1" applyAlignment="1">
      <alignment vertical="center" wrapText="1"/>
    </xf>
    <xf numFmtId="176" fontId="258" fillId="0" borderId="161" xfId="13" applyNumberFormat="1" applyFont="1" applyFill="1" applyBorder="1" applyAlignment="1">
      <alignment horizontal="right" vertical="center" wrapText="1"/>
    </xf>
    <xf numFmtId="176" fontId="258" fillId="0" borderId="161" xfId="10" applyNumberFormat="1" applyFont="1" applyFill="1" applyBorder="1" applyAlignment="1">
      <alignment horizontal="center" vertical="center" wrapText="1"/>
    </xf>
    <xf numFmtId="176"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76" fontId="259" fillId="0" borderId="167" xfId="10" applyNumberFormat="1" applyFont="1" applyFill="1" applyBorder="1" applyAlignment="1">
      <alignment vertical="center" wrapText="1"/>
    </xf>
    <xf numFmtId="176" fontId="259" fillId="0" borderId="167" xfId="13" applyNumberFormat="1" applyFont="1" applyFill="1" applyBorder="1" applyAlignment="1">
      <alignment horizontal="right" vertical="center" wrapText="1"/>
    </xf>
    <xf numFmtId="176" fontId="259" fillId="0" borderId="167" xfId="10" applyNumberFormat="1" applyFont="1" applyFill="1" applyBorder="1" applyAlignment="1">
      <alignment horizontal="center" vertical="center" wrapText="1"/>
    </xf>
    <xf numFmtId="176"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176" fontId="258" fillId="0" borderId="157" xfId="13" applyNumberFormat="1" applyFont="1" applyFill="1" applyBorder="1" applyAlignment="1">
      <alignment vertical="center" wrapText="1"/>
    </xf>
    <xf numFmtId="176" fontId="258" fillId="7" borderId="157" xfId="13" applyNumberFormat="1" applyFont="1" applyFill="1" applyBorder="1" applyAlignment="1">
      <alignment horizontal="right" vertical="center" wrapText="1"/>
    </xf>
    <xf numFmtId="176" fontId="258" fillId="7" borderId="157" xfId="10" applyNumberFormat="1" applyFont="1" applyFill="1" applyBorder="1" applyAlignment="1">
      <alignment horizontal="center" vertical="center" wrapText="1"/>
    </xf>
    <xf numFmtId="176"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176" fontId="258" fillId="7" borderId="161" xfId="13" applyNumberFormat="1" applyFont="1" applyFill="1" applyBorder="1" applyAlignment="1">
      <alignment horizontal="right" vertical="center" wrapText="1"/>
    </xf>
    <xf numFmtId="176" fontId="258" fillId="7" borderId="161" xfId="10" applyNumberFormat="1" applyFont="1" applyFill="1" applyBorder="1" applyAlignment="1">
      <alignment horizontal="center" vertical="center" wrapText="1"/>
    </xf>
    <xf numFmtId="176"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76" fontId="259" fillId="7" borderId="170" xfId="13" applyNumberFormat="1" applyFont="1" applyFill="1" applyBorder="1" applyAlignment="1">
      <alignment vertical="center" wrapText="1"/>
    </xf>
    <xf numFmtId="176" fontId="259" fillId="7" borderId="170" xfId="13" applyNumberFormat="1" applyFont="1" applyFill="1" applyBorder="1" applyAlignment="1">
      <alignment horizontal="right" vertical="center" wrapText="1"/>
    </xf>
    <xf numFmtId="176" fontId="259" fillId="7" borderId="170" xfId="10" applyNumberFormat="1" applyFont="1" applyFill="1" applyBorder="1" applyAlignment="1">
      <alignment horizontal="center" vertical="center" wrapText="1"/>
    </xf>
    <xf numFmtId="176" fontId="259" fillId="7" borderId="171" xfId="10" applyNumberFormat="1" applyFont="1" applyFill="1" applyBorder="1" applyAlignment="1">
      <alignment horizontal="center" vertical="center" wrapText="1"/>
    </xf>
    <xf numFmtId="176" fontId="259" fillId="0" borderId="170" xfId="10" applyNumberFormat="1" applyFont="1" applyFill="1" applyBorder="1" applyAlignment="1">
      <alignment vertical="center" wrapText="1"/>
    </xf>
    <xf numFmtId="176"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176"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176"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176"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176"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176"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176"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176" fontId="258" fillId="0" borderId="161" xfId="13" applyNumberFormat="1" applyFont="1" applyFill="1" applyBorder="1" applyAlignment="1" applyProtection="1">
      <alignment vertical="center" wrapText="1"/>
      <protection locked="0"/>
    </xf>
    <xf numFmtId="176"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9" borderId="54" xfId="0" applyFont="1" applyFill="1" applyBorder="1" applyAlignment="1" applyProtection="1">
      <alignment horizontal="left" vertical="center"/>
      <protection locked="0"/>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98" fontId="53" fillId="6" borderId="38" xfId="14" applyNumberFormat="1" applyFont="1" applyFill="1" applyBorder="1" applyAlignment="1" applyProtection="1">
      <alignment vertical="center" wrapText="1"/>
    </xf>
    <xf numFmtId="0" fontId="47" fillId="6" borderId="9" xfId="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47" fillId="7" borderId="78" xfId="0" applyNumberFormat="1" applyFont="1" applyFill="1" applyBorder="1" applyAlignment="1" applyProtection="1">
      <alignment horizontal="center" vertical="center" wrapText="1"/>
      <protection locked="0"/>
    </xf>
    <xf numFmtId="184" fontId="47" fillId="7" borderId="1" xfId="0" applyNumberFormat="1" applyFont="1" applyFill="1" applyBorder="1" applyAlignment="1" applyProtection="1">
      <alignment horizontal="center" vertical="center"/>
      <protection locked="0"/>
    </xf>
    <xf numFmtId="182" fontId="47" fillId="7" borderId="24" xfId="0" applyNumberFormat="1" applyFont="1" applyFill="1" applyBorder="1" applyAlignment="1" applyProtection="1">
      <alignment horizontal="center" vertical="center"/>
      <protection locked="0"/>
    </xf>
    <xf numFmtId="10" fontId="47" fillId="7" borderId="1" xfId="0" applyNumberFormat="1" applyFont="1" applyFill="1" applyBorder="1" applyAlignment="1" applyProtection="1">
      <alignment horizontal="center" vertical="center"/>
      <protection locked="0"/>
    </xf>
    <xf numFmtId="14" fontId="64" fillId="7"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1870</v>
      </c>
    </row>
    <row r="21" spans="1:2" s="1593" customFormat="1">
      <c r="A21" s="1591" t="s">
        <v>1235</v>
      </c>
      <c r="B21" s="1592">
        <f ca="1">'预评函-2'!D7</f>
        <v>58840</v>
      </c>
    </row>
    <row r="22" spans="1:2" s="1593" customFormat="1">
      <c r="A22" s="1591" t="s">
        <v>1236</v>
      </c>
      <c r="B22" s="1592" t="str">
        <f ca="1">'预评函-2'!D6</f>
        <v>壹仟捌佰柒拾万元整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1870</v>
      </c>
    </row>
    <row r="31" spans="1:2" s="1593" customFormat="1">
      <c r="A31" s="1591" t="s">
        <v>1274</v>
      </c>
      <c r="B31" s="1592">
        <f ca="1">'预评函-2'!D15</f>
        <v>58840</v>
      </c>
    </row>
    <row r="32" spans="1:2" s="1593" customFormat="1">
      <c r="A32" s="1591" t="s">
        <v>1241</v>
      </c>
      <c r="B32" s="1592" t="str">
        <f ca="1">'预评函-2'!D14</f>
        <v>壹仟捌佰柒拾万元整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1589</v>
      </c>
    </row>
    <row r="48" spans="1:2" s="1593" customFormat="1">
      <c r="A48" s="1591" t="s">
        <v>1247</v>
      </c>
      <c r="B48" s="1592">
        <f ca="1">'预评函-3'!E4</f>
        <v>49998</v>
      </c>
    </row>
    <row r="49" spans="1:2" s="1593" customFormat="1">
      <c r="A49" s="1591" t="s">
        <v>1248</v>
      </c>
      <c r="B49" s="1592" t="str">
        <f ca="1">'预评函-3'!D5</f>
        <v>壹仟伍佰捌拾玖万元整</v>
      </c>
    </row>
    <row r="50" spans="1:2" s="1593" customFormat="1">
      <c r="A50" s="1591" t="s">
        <v>1272</v>
      </c>
      <c r="B50" s="1592" t="str">
        <f>'预评函-3'!F2</f>
        <v>在建建筑物价值</v>
      </c>
    </row>
    <row r="51" spans="1:2" s="1593" customFormat="1">
      <c r="A51" s="1591" t="s">
        <v>1249</v>
      </c>
      <c r="B51" s="1592">
        <f ca="1">'预评函-3'!F4</f>
        <v>281</v>
      </c>
    </row>
    <row r="52" spans="1:2" s="1593" customFormat="1">
      <c r="A52" s="1591" t="s">
        <v>1250</v>
      </c>
      <c r="B52" s="1592">
        <f ca="1">'预评函-3'!G4</f>
        <v>8842</v>
      </c>
    </row>
    <row r="53" spans="1:2" s="1593" customFormat="1">
      <c r="A53" s="1591" t="s">
        <v>1278</v>
      </c>
      <c r="B53" s="1592" t="str">
        <f ca="1">'预评函-3'!F5</f>
        <v>贰佰捌拾壹万元整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3186</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1"/>
      <c r="B54" s="2022" t="s">
        <v>864</v>
      </c>
      <c r="C54" s="2019" t="s">
        <v>1281</v>
      </c>
    </row>
    <row r="55" spans="1:4">
      <c r="A55" s="3101"/>
      <c r="B55" s="2022" t="s">
        <v>865</v>
      </c>
      <c r="C55" s="2019" t="s">
        <v>1282</v>
      </c>
    </row>
    <row r="56" spans="1:4">
      <c r="A56" s="3101"/>
      <c r="B56" s="2022" t="s">
        <v>866</v>
      </c>
      <c r="C56" s="2019" t="s">
        <v>1286</v>
      </c>
    </row>
    <row r="57" spans="1:4">
      <c r="A57" s="310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102"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103"/>
      <c r="D1" s="3103"/>
      <c r="E1" s="3103"/>
      <c r="F1" s="3103"/>
      <c r="G1" s="3103"/>
      <c r="H1" s="3103"/>
      <c r="I1" s="31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057">
        <v>43222</v>
      </c>
      <c r="C3" s="2037" t="s">
        <v>1778</v>
      </c>
      <c r="D3" s="2036">
        <f>B3</f>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105"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106"/>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36.35</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12" t="s">
        <v>3047</v>
      </c>
      <c r="C16" s="3113"/>
      <c r="D16" s="3114"/>
      <c r="E16" s="2082" t="s">
        <v>1801</v>
      </c>
      <c r="F16" s="3115">
        <v>36.35</v>
      </c>
      <c r="G16" s="3116"/>
      <c r="H16" s="3116"/>
      <c r="I16" s="3117"/>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18" t="s">
        <v>3118</v>
      </c>
      <c r="F17" s="3119"/>
      <c r="G17" s="3119"/>
      <c r="H17" s="3119"/>
      <c r="I17" s="3120"/>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21" t="s">
        <v>3119</v>
      </c>
      <c r="F18" s="3122"/>
      <c r="G18" s="3122"/>
      <c r="H18" s="3122"/>
      <c r="I18" s="3123"/>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108" t="s">
        <v>1811</v>
      </c>
      <c r="C20" s="3109"/>
      <c r="D20" s="3110" t="s">
        <v>1812</v>
      </c>
      <c r="E20" s="3111"/>
      <c r="F20" s="2094" t="s">
        <v>1813</v>
      </c>
      <c r="G20" s="2042"/>
      <c r="H20" s="2042"/>
      <c r="I20" s="2042"/>
      <c r="J20" s="2042"/>
      <c r="K20" s="3107"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1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1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25"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25"/>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25"/>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26"/>
      <c r="B30" s="2035" t="s">
        <v>1830</v>
      </c>
      <c r="C30" s="3127"/>
      <c r="D30" s="312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29"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30"/>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30"/>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24" t="s">
        <v>1840</v>
      </c>
      <c r="T34" s="2131" t="str">
        <f>NUMBERSTRING(7-K34,1)&amp;"通"</f>
        <v>七通</v>
      </c>
      <c r="U34" s="2029"/>
      <c r="V34" s="2029"/>
    </row>
    <row r="35" spans="1:22" ht="18" customHeight="1">
      <c r="A35" s="2132"/>
      <c r="B35" s="3131" t="s">
        <v>1841</v>
      </c>
      <c r="C35" s="3131"/>
      <c r="D35" s="3131"/>
      <c r="E35" s="3131"/>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4"/>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047" t="s">
        <v>3192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43" t="s">
        <v>1937</v>
      </c>
      <c r="B2" s="3143"/>
      <c r="C2" s="3143"/>
      <c r="D2" s="968" t="s">
        <v>1913</v>
      </c>
      <c r="E2" s="2224" t="s">
        <v>1914</v>
      </c>
      <c r="F2" s="1392"/>
      <c r="G2" s="2225"/>
      <c r="H2" s="2226"/>
      <c r="I2" s="2227" t="s">
        <v>1938</v>
      </c>
      <c r="J2" s="1392"/>
      <c r="K2" s="1392"/>
      <c r="L2" s="1392"/>
      <c r="M2" s="1392"/>
      <c r="N2" s="1427"/>
      <c r="O2" s="1392"/>
      <c r="P2" s="1392"/>
    </row>
    <row r="3" spans="1:16" ht="15.75" thickBot="1">
      <c r="A3" s="3144" t="s">
        <v>1911</v>
      </c>
      <c r="B3" s="3144"/>
      <c r="C3" s="3144"/>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45"/>
      <c r="B4" s="3146"/>
      <c r="C4" s="3147"/>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48" t="s">
        <v>1916</v>
      </c>
      <c r="C5" s="3148"/>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48" t="s">
        <v>1917</v>
      </c>
      <c r="C6" s="3148"/>
      <c r="D6" s="48">
        <f>ROUND($D$3*E6/$E$3,2)</f>
        <v>56.93</v>
      </c>
      <c r="E6" s="49">
        <f>E3-E5</f>
        <v>317.81</v>
      </c>
      <c r="F6" s="1392"/>
      <c r="G6" s="2232" t="s">
        <v>1918</v>
      </c>
      <c r="H6" s="1399" t="s">
        <v>1919</v>
      </c>
      <c r="I6" s="940">
        <f>ROUND(F31/D31,2)</f>
        <v>5.58</v>
      </c>
      <c r="J6" s="1392"/>
      <c r="K6" s="1392"/>
      <c r="L6" s="1392"/>
      <c r="M6" s="1392"/>
      <c r="N6" s="1392"/>
      <c r="O6" s="1392"/>
      <c r="P6" s="1392"/>
    </row>
    <row r="7" spans="1:16" ht="15">
      <c r="A7" s="3140"/>
      <c r="B7" s="3141"/>
      <c r="C7" s="3142"/>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37" t="s">
        <v>1941</v>
      </c>
      <c r="L16" s="3138"/>
      <c r="M16" s="3138"/>
      <c r="N16" s="3138"/>
      <c r="O16" s="3138"/>
      <c r="P16" s="3139"/>
    </row>
    <row r="17" spans="1:19" ht="15">
      <c r="A17" s="2239" t="s">
        <v>1942</v>
      </c>
      <c r="B17" s="2240" t="s">
        <v>1943</v>
      </c>
      <c r="C17" s="2241" t="s">
        <v>1944</v>
      </c>
      <c r="D17" s="2242" t="s">
        <v>1932</v>
      </c>
      <c r="E17" s="2243" t="s">
        <v>1933</v>
      </c>
      <c r="F17" s="2244"/>
      <c r="G17" s="2245"/>
      <c r="H17" s="2246" t="s">
        <v>1945</v>
      </c>
      <c r="I17" s="2247" t="s">
        <v>1930</v>
      </c>
      <c r="J17" s="1392"/>
      <c r="K17" s="3134" t="s">
        <v>1946</v>
      </c>
      <c r="L17" s="3135"/>
      <c r="M17" s="3136"/>
      <c r="N17" s="3134" t="s">
        <v>1947</v>
      </c>
      <c r="O17" s="3135"/>
      <c r="P17" s="3136"/>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O27" sqref="AO2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051" t="s">
        <v>3191</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36.35</v>
      </c>
      <c r="G6" s="73">
        <f>IF(ISERROR(ROUND(POWER(1+H6,D6-F6)*(POWER(1+H6,F6)-1)/(POWER(1+H6,D6)-1),3)),0,ROUND(POWER(1+H6,D6-F6)*(POWER(1+H6,F6)-1)/(POWER(1+H6,D6)-1),3))</f>
        <v>0.91</v>
      </c>
      <c r="H6" s="800">
        <v>0.05</v>
      </c>
      <c r="I6" s="800">
        <v>5.5E-2</v>
      </c>
      <c r="J6" s="74">
        <v>0.09</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AE20</f>
        <v>0.93333333333333335</v>
      </c>
      <c r="AE6" s="1262">
        <f ca="1">IF(AN6="",0,SUMIF(INDIRECT("'"&amp;AN6&amp;"'"&amp;"!E:E"),$AE$5,INDIRECT("'"&amp;AN6&amp;"'"&amp;"!F:F")))</f>
        <v>36.35</v>
      </c>
      <c r="AF6" s="1804"/>
      <c r="AG6" s="147">
        <f>IF(AF6="",0,AE6-AF6)</f>
        <v>0</v>
      </c>
      <c r="AH6" s="83"/>
      <c r="AI6" s="85">
        <v>365</v>
      </c>
      <c r="AJ6" s="86"/>
      <c r="AK6" s="3056">
        <v>0.02</v>
      </c>
      <c r="AL6" s="3054">
        <v>2E-3</v>
      </c>
      <c r="AM6" s="3055">
        <v>0.02</v>
      </c>
      <c r="AN6" s="2305" t="s">
        <v>3052</v>
      </c>
      <c r="AO6" s="55">
        <f ca="1">SUMIF(INDIRECT("'"&amp;AN6&amp;"'"&amp;"!A:A"),"总价",INDIRECT("'"&amp;AN6&amp;"'"&amp;"!B:B"))</f>
        <v>1865</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3189</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3190</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49" t="s">
        <v>2082</v>
      </c>
      <c r="B1" s="3150"/>
      <c r="C1" s="3150"/>
      <c r="D1" s="3150"/>
      <c r="E1" s="3150"/>
      <c r="F1" s="3150"/>
      <c r="G1" s="315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317.81</v>
      </c>
      <c r="C1" s="1742"/>
      <c r="D1" s="1742"/>
      <c r="E1" s="1742"/>
      <c r="F1" s="1742"/>
      <c r="G1" s="1740"/>
    </row>
    <row r="2" spans="1:10" ht="16.5">
      <c r="A2" s="1743" t="s">
        <v>1353</v>
      </c>
      <c r="B2" s="1743">
        <f>SUM(C14:C23)</f>
        <v>56.93</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1870</v>
      </c>
      <c r="C5" s="1743">
        <f ca="1">ROUND(B5*10000/$B$1,0)</f>
        <v>58840</v>
      </c>
      <c r="D5" s="1743">
        <f ca="1">ROUND(B5*10000/$B$2,0)</f>
        <v>328474</v>
      </c>
      <c r="E5" s="1742"/>
      <c r="F5" s="1740"/>
      <c r="G5" s="1740"/>
    </row>
    <row r="6" spans="1:10" ht="16.5">
      <c r="A6" s="1743" t="s">
        <v>1356</v>
      </c>
      <c r="B6" s="1743">
        <f ca="1">SUM(G14:G23)</f>
        <v>1870</v>
      </c>
      <c r="C6" s="1743">
        <f ca="1">ROUND(B6*10000/$B$1,0)</f>
        <v>58840</v>
      </c>
      <c r="D6" s="1743">
        <f ca="1">ROUND(B6*10000/$B$2,0)</f>
        <v>328474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1870</v>
      </c>
      <c r="E14" s="1741">
        <f ca="1">ROUND(D14*10000/B14,0)</f>
        <v>58840</v>
      </c>
      <c r="F14" s="1741">
        <f ca="1">ROUND(D14*10000/C14,0)</f>
        <v>328474</v>
      </c>
      <c r="G14" s="1741">
        <f ca="1">结果表!D122</f>
        <v>1870</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223" t="str">
        <f>项目基本情况!S2</f>
        <v>北京市朝阳区望京东园523号楼1021等37套办公用房房地产</v>
      </c>
      <c r="B2" s="3224"/>
      <c r="C2" s="3224"/>
      <c r="D2" s="3224"/>
      <c r="E2" s="3224"/>
      <c r="F2" s="3224"/>
      <c r="G2" s="3224"/>
      <c r="H2" s="3224"/>
      <c r="I2" s="3225"/>
    </row>
    <row r="3" spans="1:12" ht="12.75">
      <c r="A3" s="3226" t="s">
        <v>2117</v>
      </c>
      <c r="B3" s="3227"/>
      <c r="C3" s="3227"/>
      <c r="D3" s="3227"/>
      <c r="E3" s="3227"/>
      <c r="F3" s="3227"/>
      <c r="G3" s="3227"/>
      <c r="H3" s="3227"/>
      <c r="I3" s="3227"/>
    </row>
    <row r="4" spans="1:12" ht="14.25">
      <c r="A4" s="2421" t="s">
        <v>2118</v>
      </c>
      <c r="B4" s="2422" t="s">
        <v>2119</v>
      </c>
      <c r="C4" s="2423" t="s">
        <v>3084</v>
      </c>
      <c r="D4" s="2423" t="s">
        <v>3052</v>
      </c>
      <c r="E4" s="3207" t="s">
        <v>2120</v>
      </c>
      <c r="F4" s="3220"/>
      <c r="G4" s="3220"/>
      <c r="H4" s="3220"/>
      <c r="I4" s="3208"/>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98" t="s">
        <v>2121</v>
      </c>
      <c r="B5" s="3124">
        <v>25</v>
      </c>
      <c r="C5" s="3228"/>
      <c r="D5" s="3216"/>
      <c r="E5" s="140" t="s">
        <v>2122</v>
      </c>
      <c r="F5" s="2425"/>
      <c r="G5" s="2425"/>
      <c r="H5" s="2425"/>
      <c r="I5" s="1831"/>
    </row>
    <row r="6" spans="1:12" ht="12.75">
      <c r="A6" s="3198"/>
      <c r="B6" s="3124"/>
      <c r="C6" s="3230"/>
      <c r="D6" s="3216"/>
      <c r="E6" s="140" t="s">
        <v>2123</v>
      </c>
      <c r="F6" s="2425"/>
      <c r="G6" s="2425"/>
      <c r="H6" s="2425"/>
      <c r="I6" s="1831"/>
    </row>
    <row r="7" spans="1:12" ht="12.75">
      <c r="A7" s="3198"/>
      <c r="B7" s="3124"/>
      <c r="C7" s="3229"/>
      <c r="D7" s="3216"/>
      <c r="E7" s="140" t="s">
        <v>2124</v>
      </c>
      <c r="F7" s="2425"/>
      <c r="G7" s="2425"/>
      <c r="H7" s="2425"/>
      <c r="I7" s="1831"/>
    </row>
    <row r="8" spans="1:12" ht="12.75">
      <c r="A8" s="3198" t="s">
        <v>2125</v>
      </c>
      <c r="B8" s="3124">
        <v>15</v>
      </c>
      <c r="C8" s="3228"/>
      <c r="D8" s="3216"/>
      <c r="E8" s="140" t="s">
        <v>2126</v>
      </c>
      <c r="F8" s="2425"/>
      <c r="G8" s="2425"/>
      <c r="H8" s="2425"/>
      <c r="I8" s="1831"/>
    </row>
    <row r="9" spans="1:12" ht="12.75">
      <c r="A9" s="3198"/>
      <c r="B9" s="3124"/>
      <c r="C9" s="3229"/>
      <c r="D9" s="3216"/>
      <c r="E9" s="140" t="s">
        <v>2127</v>
      </c>
      <c r="F9" s="2425"/>
      <c r="G9" s="2425"/>
      <c r="H9" s="2425"/>
      <c r="I9" s="1831"/>
    </row>
    <row r="10" spans="1:12" ht="12.75">
      <c r="A10" s="3198" t="s">
        <v>2128</v>
      </c>
      <c r="B10" s="3124">
        <v>15</v>
      </c>
      <c r="C10" s="3228"/>
      <c r="D10" s="3216"/>
      <c r="E10" s="140" t="s">
        <v>2129</v>
      </c>
      <c r="F10" s="2425"/>
      <c r="G10" s="2425"/>
      <c r="H10" s="2425"/>
      <c r="I10" s="1831"/>
    </row>
    <row r="11" spans="1:12" ht="12.75">
      <c r="A11" s="3198"/>
      <c r="B11" s="3124"/>
      <c r="C11" s="3229"/>
      <c r="D11" s="3216"/>
      <c r="E11" s="140" t="s">
        <v>2130</v>
      </c>
      <c r="F11" s="2425"/>
      <c r="G11" s="2425"/>
      <c r="H11" s="2425"/>
      <c r="I11" s="1831"/>
    </row>
    <row r="12" spans="1:12" ht="12.75">
      <c r="A12" s="3198" t="s">
        <v>2131</v>
      </c>
      <c r="B12" s="3124">
        <v>15</v>
      </c>
      <c r="C12" s="3228"/>
      <c r="D12" s="3216"/>
      <c r="E12" s="140" t="s">
        <v>2132</v>
      </c>
      <c r="F12" s="2425"/>
      <c r="G12" s="2425"/>
      <c r="H12" s="2425"/>
      <c r="I12" s="1831"/>
    </row>
    <row r="13" spans="1:12" ht="12.75">
      <c r="A13" s="3198"/>
      <c r="B13" s="3124"/>
      <c r="C13" s="3229"/>
      <c r="D13" s="3216"/>
      <c r="E13" s="140" t="s">
        <v>2133</v>
      </c>
      <c r="F13" s="2425"/>
      <c r="G13" s="2425"/>
      <c r="H13" s="2425"/>
      <c r="I13" s="1831"/>
    </row>
    <row r="14" spans="1:12" ht="12.75">
      <c r="A14" s="3198" t="s">
        <v>2134</v>
      </c>
      <c r="B14" s="3124">
        <v>30</v>
      </c>
      <c r="C14" s="3228">
        <v>5</v>
      </c>
      <c r="D14" s="3216">
        <v>5</v>
      </c>
      <c r="E14" s="140" t="s">
        <v>2135</v>
      </c>
      <c r="F14" s="2425"/>
      <c r="G14" s="2425"/>
      <c r="H14" s="2425"/>
      <c r="I14" s="1831"/>
    </row>
    <row r="15" spans="1:12" ht="12.75">
      <c r="A15" s="3198"/>
      <c r="B15" s="3124"/>
      <c r="C15" s="3230"/>
      <c r="D15" s="3216"/>
      <c r="E15" s="140" t="s">
        <v>2136</v>
      </c>
      <c r="F15" s="2425"/>
      <c r="G15" s="2425"/>
      <c r="H15" s="2425"/>
      <c r="I15" s="1831"/>
    </row>
    <row r="16" spans="1:12" ht="12.75">
      <c r="A16" s="3198"/>
      <c r="B16" s="3124"/>
      <c r="C16" s="3229"/>
      <c r="D16" s="3216"/>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1874</v>
      </c>
      <c r="D19" s="144">
        <f ca="1">SUMIF(INDIRECT("'"&amp;D4&amp;"'"&amp;"!A:A"),结果表!B19,INDIRECT("'"&amp;D4&amp;"'"&amp;"!B:B"))</f>
        <v>1865</v>
      </c>
      <c r="E19" s="2430" t="s">
        <v>2145</v>
      </c>
      <c r="F19" s="2431" t="s">
        <v>2144</v>
      </c>
      <c r="G19" s="145">
        <f ca="1">ROUND(C19*$C$18+D19*$D$18,0)</f>
        <v>1870</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58976</v>
      </c>
      <c r="D20" s="147">
        <f ca="1">SUMIF(INDIRECT("'"&amp;D4&amp;"'"&amp;"!A:A"),结果表!B20,INDIRECT("'"&amp;D4&amp;"'"&amp;"!B:B"))</f>
        <v>58683</v>
      </c>
      <c r="E20" s="2433"/>
      <c r="F20" s="1247" t="s">
        <v>2148</v>
      </c>
      <c r="G20" s="148">
        <f ca="1">ROUND(C20*$C$18+D20*$D$18,0)</f>
        <v>58830</v>
      </c>
      <c r="H20" s="981" t="s">
        <v>2149</v>
      </c>
      <c r="I20" s="138"/>
    </row>
    <row r="21" spans="1:35" ht="15" customHeight="1" thickBot="1">
      <c r="A21" s="1001"/>
      <c r="B21" s="2434" t="s">
        <v>2150</v>
      </c>
      <c r="C21" s="787">
        <f ca="1">ROUND(C19*10000/L19,0)</f>
        <v>329176</v>
      </c>
      <c r="D21" s="788">
        <f ca="1">ROUND(D19*10000/L19,0)</f>
        <v>327595</v>
      </c>
      <c r="E21" s="1001"/>
      <c r="F21" s="2434" t="s">
        <v>2150</v>
      </c>
      <c r="G21" s="149">
        <f ca="1">ROUND(G19*10000/L19,0)</f>
        <v>328474</v>
      </c>
      <c r="H21" s="2435" t="s">
        <v>2149</v>
      </c>
      <c r="I21" s="138"/>
    </row>
    <row r="22" spans="1:35" ht="15" thickBot="1">
      <c r="A22" s="2278" t="s">
        <v>2151</v>
      </c>
      <c r="B22" s="2436"/>
      <c r="C22" s="2437"/>
      <c r="D22" s="789">
        <f ca="1">IF(C19&lt;D19,D19/C19-1,C19/D19-1)</f>
        <v>4.825737265415464E-3</v>
      </c>
      <c r="E22" s="138"/>
      <c r="F22" s="138"/>
      <c r="G22" s="138"/>
      <c r="H22" s="138"/>
      <c r="I22" s="138"/>
    </row>
    <row r="23" spans="1:35" ht="13.5" thickBot="1">
      <c r="A23" s="2414"/>
      <c r="B23" s="2414"/>
      <c r="C23" s="2414"/>
      <c r="D23" s="2414"/>
      <c r="E23" s="138"/>
      <c r="F23" s="138"/>
      <c r="G23" s="138"/>
      <c r="H23" s="138"/>
      <c r="I23" s="138"/>
    </row>
    <row r="24" spans="1:35" ht="14.25">
      <c r="A24" s="3237" t="s">
        <v>2152</v>
      </c>
      <c r="B24" s="2431" t="s">
        <v>2144</v>
      </c>
      <c r="C24" s="145">
        <f>IF(B30=0,0,D30)</f>
        <v>0</v>
      </c>
      <c r="D24" s="2438"/>
      <c r="E24" s="138"/>
      <c r="F24" s="138"/>
      <c r="G24" s="138"/>
      <c r="H24" s="138"/>
      <c r="I24" s="138"/>
    </row>
    <row r="25" spans="1:35" ht="14.25">
      <c r="A25" s="3238"/>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1870</v>
      </c>
      <c r="D32" s="2445" t="s">
        <v>2159</v>
      </c>
      <c r="E32" s="138"/>
      <c r="F32" s="138"/>
      <c r="G32" s="138"/>
      <c r="H32" s="138"/>
      <c r="I32" s="138"/>
    </row>
    <row r="33" spans="1:15" ht="15">
      <c r="A33" s="958" t="s">
        <v>2160</v>
      </c>
      <c r="B33" s="2446"/>
      <c r="C33" s="2447" t="s">
        <v>3188</v>
      </c>
      <c r="D33" s="2448" t="s">
        <v>3052</v>
      </c>
      <c r="E33" s="2449" t="s">
        <v>2161</v>
      </c>
      <c r="F33" s="2450" t="str">
        <f>IF(D32="楼面单价","取值（单价）","取值（总价）")</f>
        <v>取值（总价）</v>
      </c>
      <c r="G33" s="138"/>
      <c r="H33" s="138"/>
      <c r="I33" s="138"/>
    </row>
    <row r="34" spans="1:15" ht="15">
      <c r="A34" s="2451"/>
      <c r="B34" s="2452" t="s">
        <v>2162</v>
      </c>
      <c r="C34" s="157">
        <f ca="1">IF(C33="自定义",F34,C32-C35)</f>
        <v>1589</v>
      </c>
      <c r="D34" s="1056">
        <f ca="1">IF(C33="自定义",ROUND(C34/C32,3),IF(C33="收益比率",SUMIF(INDIRECT("'"&amp;D33&amp;"'"&amp;"!b:b"),"土地收益比率",INDIRECT("'"&amp;D33&amp;"'"&amp;"!c:c")),SUMIF(INDIRECT("'"&amp;D33&amp;"'"&amp;"!b:b"),"土地成本比率",INDIRECT("'"&amp;D33&amp;"'"&amp;"!c:c"))))</f>
        <v>0.85</v>
      </c>
      <c r="E34" s="2453" t="s">
        <v>2163</v>
      </c>
      <c r="F34" s="1736"/>
      <c r="G34" s="138"/>
      <c r="H34" s="138"/>
      <c r="I34" s="138"/>
    </row>
    <row r="35" spans="1:15" ht="15.75" thickBot="1">
      <c r="A35" s="2454"/>
      <c r="B35" s="2455" t="s">
        <v>2164</v>
      </c>
      <c r="C35" s="1441">
        <f ca="1">IF(C33="自定义",F35,ROUND(C32*D35,0))</f>
        <v>281</v>
      </c>
      <c r="D35" s="1442">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217" t="s">
        <v>2166</v>
      </c>
      <c r="B36" s="2457" t="s">
        <v>2167</v>
      </c>
      <c r="C36" s="154"/>
      <c r="D36" s="2458"/>
      <c r="E36" s="2459"/>
      <c r="F36" s="2460"/>
      <c r="G36" s="138"/>
      <c r="H36" s="138"/>
      <c r="I36" s="138"/>
    </row>
    <row r="37" spans="1:15" ht="15.75" thickBot="1">
      <c r="A37" s="3218"/>
      <c r="B37" s="2264" t="s">
        <v>2168</v>
      </c>
      <c r="C37" s="156"/>
      <c r="D37" s="1392"/>
      <c r="E37" s="1392"/>
      <c r="F37" s="2460"/>
      <c r="G37" s="138"/>
      <c r="H37" s="138"/>
      <c r="I37" s="138"/>
    </row>
    <row r="38" spans="1:15" ht="15.75" thickBot="1">
      <c r="A38" s="3219"/>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234" t="s">
        <v>2180</v>
      </c>
      <c r="B45" s="3235"/>
      <c r="C45" s="3236"/>
      <c r="D45" s="164">
        <f ca="1">ROUND(H101*F45,0)</f>
        <v>1870</v>
      </c>
      <c r="E45" s="165" t="s">
        <v>2181</v>
      </c>
      <c r="F45" s="166">
        <v>1</v>
      </c>
      <c r="G45" s="167" t="s">
        <v>2182</v>
      </c>
      <c r="H45" s="138"/>
      <c r="I45" s="138"/>
      <c r="J45" s="3153" t="s">
        <v>2183</v>
      </c>
      <c r="K45" s="3153"/>
      <c r="L45" s="3153"/>
      <c r="M45" s="3153"/>
      <c r="N45" s="3153"/>
      <c r="O45" s="3153"/>
    </row>
    <row r="46" spans="1:15" ht="14.25" customHeight="1">
      <c r="A46" s="3231" t="s">
        <v>2184</v>
      </c>
      <c r="B46" s="3232"/>
      <c r="C46" s="3232"/>
      <c r="D46" s="3232"/>
      <c r="E46" s="3232"/>
      <c r="F46" s="3232"/>
      <c r="G46" s="3233"/>
      <c r="H46" s="2476"/>
      <c r="I46" s="168"/>
      <c r="J46" s="1809">
        <v>1</v>
      </c>
      <c r="K46" s="3153" t="s">
        <v>2185</v>
      </c>
      <c r="L46" s="3153"/>
      <c r="M46" s="3154"/>
      <c r="N46" s="3154"/>
      <c r="O46" s="3154"/>
    </row>
    <row r="47" spans="1:15" ht="12" customHeight="1">
      <c r="A47" s="169" t="s">
        <v>2186</v>
      </c>
      <c r="B47" s="170"/>
      <c r="C47" s="171"/>
      <c r="D47" s="172" t="s">
        <v>2187</v>
      </c>
      <c r="E47" s="24" t="s">
        <v>2188</v>
      </c>
      <c r="F47" s="173" t="s">
        <v>2189</v>
      </c>
      <c r="G47" s="174" t="s">
        <v>2190</v>
      </c>
      <c r="H47" s="2476"/>
      <c r="I47" s="168"/>
      <c r="J47" s="1809">
        <v>2</v>
      </c>
      <c r="K47" s="3153" t="s">
        <v>2191</v>
      </c>
      <c r="L47" s="3153"/>
      <c r="M47" s="3155">
        <f>'数据-取费表'!B2</f>
        <v>43222</v>
      </c>
      <c r="N47" s="3155"/>
      <c r="O47" s="3155"/>
    </row>
    <row r="48" spans="1:15" ht="25.5">
      <c r="A48" s="3221" t="s">
        <v>2192</v>
      </c>
      <c r="B48" s="3222"/>
      <c r="C48" s="3222"/>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153" t="s">
        <v>2195</v>
      </c>
      <c r="L48" s="3153"/>
      <c r="M48" s="3156">
        <f ca="1">H101</f>
        <v>1870</v>
      </c>
      <c r="N48" s="3156"/>
      <c r="O48" s="3156"/>
    </row>
    <row r="49" spans="1:35" ht="25.5" customHeight="1">
      <c r="A49" s="176" t="s">
        <v>2196</v>
      </c>
      <c r="B49" s="3201" t="s">
        <v>2197</v>
      </c>
      <c r="C49" s="3201"/>
      <c r="D49" s="177">
        <v>0</v>
      </c>
      <c r="E49" s="23" t="s">
        <v>2198</v>
      </c>
      <c r="F49" s="28" t="s">
        <v>34</v>
      </c>
      <c r="G49" s="3182"/>
      <c r="H49" s="138"/>
      <c r="I49" s="2479"/>
      <c r="J49" s="1809">
        <v>4</v>
      </c>
      <c r="K49" s="3153" t="str">
        <f>IF(项目基本情况!E8="房地产抵押价值","房地产抵押价值","抵押担保权已注销时的房地产抵押价值")</f>
        <v>房地产抵押价值</v>
      </c>
      <c r="L49" s="3153"/>
      <c r="M49" s="3156">
        <f ca="1">IF(项目基本情况!E8="房地产抵押价值",H107,H109)</f>
        <v>1870</v>
      </c>
      <c r="N49" s="3156"/>
      <c r="O49" s="3156"/>
    </row>
    <row r="50" spans="1:35" ht="25.5" customHeight="1">
      <c r="A50" s="178"/>
      <c r="B50" s="3201" t="s">
        <v>2199</v>
      </c>
      <c r="C50" s="3201"/>
      <c r="D50" s="179"/>
      <c r="E50" s="31"/>
      <c r="F50" s="180"/>
      <c r="G50" s="3183"/>
      <c r="H50" s="138"/>
      <c r="I50" s="2479"/>
      <c r="J50" s="3153" t="s">
        <v>2200</v>
      </c>
      <c r="K50" s="3153"/>
      <c r="L50" s="3153"/>
      <c r="M50" s="3153"/>
      <c r="N50" s="3153"/>
      <c r="O50" s="3153"/>
    </row>
    <row r="51" spans="1:35" ht="12" customHeight="1">
      <c r="A51" s="181"/>
      <c r="B51" s="3201" t="s">
        <v>2201</v>
      </c>
      <c r="C51" s="3201"/>
      <c r="D51" s="182"/>
      <c r="E51" s="30"/>
      <c r="F51" s="180"/>
      <c r="G51" s="3184"/>
      <c r="H51" s="138"/>
      <c r="I51" s="2479"/>
      <c r="J51" s="2480" t="s">
        <v>2202</v>
      </c>
      <c r="K51" s="3153" t="s">
        <v>2203</v>
      </c>
      <c r="L51" s="3153"/>
      <c r="M51" s="2480" t="s">
        <v>2204</v>
      </c>
      <c r="N51" s="2480" t="s">
        <v>2205</v>
      </c>
      <c r="O51" s="2480" t="s">
        <v>2206</v>
      </c>
    </row>
    <row r="52" spans="1:35" ht="24" customHeight="1">
      <c r="A52" s="183" t="s">
        <v>2207</v>
      </c>
      <c r="B52" s="3201" t="s">
        <v>2208</v>
      </c>
      <c r="C52" s="3201"/>
      <c r="D52" s="182">
        <f ca="1">ROUND(D45*'数据-取费表'!B41/(1+'数据-取费表'!C42),0)</f>
        <v>100</v>
      </c>
      <c r="E52" s="11" t="s">
        <v>2209</v>
      </c>
      <c r="F52" s="184">
        <f>'数据-取费表'!B41</f>
        <v>5.6000000000000001E-2</v>
      </c>
      <c r="G52" s="2481"/>
      <c r="H52" s="138"/>
      <c r="I52" s="2479"/>
      <c r="J52" s="1809">
        <v>1</v>
      </c>
      <c r="K52" s="3176" t="s">
        <v>2210</v>
      </c>
      <c r="L52" s="3176"/>
      <c r="M52" s="1751">
        <f>D48</f>
        <v>0</v>
      </c>
      <c r="N52" s="1809" t="str">
        <f>E48</f>
        <v>销售额×税（费）率</v>
      </c>
      <c r="O52" s="1752" t="str">
        <f>F48</f>
        <v>免征</v>
      </c>
    </row>
    <row r="53" spans="1:35" ht="12" customHeight="1">
      <c r="A53" s="183" t="s">
        <v>2211</v>
      </c>
      <c r="B53" s="3202" t="s">
        <v>2212</v>
      </c>
      <c r="C53" s="3203"/>
      <c r="D53" s="182">
        <f ca="1">ROUND(D45*'数据-取费表'!B41/(1+'数据-取费表'!C42),0)</f>
        <v>100</v>
      </c>
      <c r="E53" s="11" t="s">
        <v>2209</v>
      </c>
      <c r="F53" s="184">
        <f>'数据-取费表'!B41</f>
        <v>5.6000000000000001E-2</v>
      </c>
      <c r="G53" s="2481"/>
      <c r="H53" s="138"/>
      <c r="I53" s="2479"/>
      <c r="J53" s="1809">
        <v>2</v>
      </c>
      <c r="K53" s="3176" t="s">
        <v>2213</v>
      </c>
      <c r="L53" s="3176"/>
      <c r="M53" s="1751">
        <f t="shared" ref="M53:O54" ca="1" si="0">D55</f>
        <v>1</v>
      </c>
      <c r="N53" s="1809" t="str">
        <f t="shared" si="0"/>
        <v>销售额×税（费）率</v>
      </c>
      <c r="O53" s="1752">
        <f t="shared" si="0"/>
        <v>5.0000000000000001E-4</v>
      </c>
    </row>
    <row r="54" spans="1:35" ht="12" customHeight="1">
      <c r="A54" s="183" t="s">
        <v>2214</v>
      </c>
      <c r="B54" s="3202" t="s">
        <v>2215</v>
      </c>
      <c r="C54" s="3203"/>
      <c r="D54" s="182">
        <f ca="1">C68</f>
        <v>100</v>
      </c>
      <c r="E54" s="30" t="s">
        <v>2216</v>
      </c>
      <c r="F54" s="184">
        <f>'数据-取费表'!B41</f>
        <v>5.6000000000000001E-2</v>
      </c>
      <c r="G54" s="2481"/>
      <c r="H54" s="2482"/>
      <c r="I54" s="2479"/>
      <c r="J54" s="1809">
        <v>3</v>
      </c>
      <c r="K54" s="3176" t="s">
        <v>2217</v>
      </c>
      <c r="L54" s="3176"/>
      <c r="M54" s="1751">
        <f t="shared" ca="1" si="0"/>
        <v>1058</v>
      </c>
      <c r="N54" s="1809" t="str">
        <f t="shared" si="0"/>
        <v>增值额×税（费）率</v>
      </c>
      <c r="O54" s="1753" t="str">
        <f t="shared" si="0"/>
        <v>——</v>
      </c>
    </row>
    <row r="55" spans="1:35" ht="24" customHeight="1">
      <c r="A55" s="3240" t="s">
        <v>2218</v>
      </c>
      <c r="B55" s="3222"/>
      <c r="C55" s="3222"/>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176" t="str">
        <f>IF(H59="非个人房产","——","个人所得税")</f>
        <v>——</v>
      </c>
      <c r="L55" s="3176"/>
      <c r="M55" s="1754" t="str">
        <f>D59</f>
        <v>——</v>
      </c>
      <c r="N55" s="1807" t="str">
        <f>E59</f>
        <v>——</v>
      </c>
      <c r="O55" s="1755" t="str">
        <f>F59</f>
        <v>——</v>
      </c>
    </row>
    <row r="56" spans="1:35" ht="24.75">
      <c r="A56" s="3240" t="s">
        <v>2221</v>
      </c>
      <c r="B56" s="3222"/>
      <c r="C56" s="3222"/>
      <c r="D56" s="185">
        <f ca="1">IF(H56="个人住宅",D57,D58)</f>
        <v>1058</v>
      </c>
      <c r="E56" s="11" t="s">
        <v>2222</v>
      </c>
      <c r="F56" s="184" t="str">
        <f>IF(H56="正常",F58,"免征")</f>
        <v>——</v>
      </c>
      <c r="G56" s="2483" t="s">
        <v>2223</v>
      </c>
      <c r="H56" s="2484" t="s">
        <v>2220</v>
      </c>
      <c r="I56" s="2485"/>
      <c r="J56" s="1809" t="str">
        <f>IF(项目基本情况!K6="上海银行",IF(J55="",4,J55+1),"")</f>
        <v/>
      </c>
      <c r="K56" s="3159" t="str">
        <f>IF(项目基本情况!K6="上海银行","其他处置费用","")</f>
        <v/>
      </c>
      <c r="L56" s="3160"/>
      <c r="M56" s="1751" t="str">
        <f>IF(项目基本情况!K6="上海银行",M69,"")</f>
        <v/>
      </c>
      <c r="N56" s="3162" t="str">
        <f>IF(项目基本情况!K6="上海银行","包含处置中涉及的律师、诉讼、拍卖、评估等费用","")</f>
        <v/>
      </c>
      <c r="O56" s="3163"/>
    </row>
    <row r="57" spans="1:35" ht="12.75">
      <c r="A57" s="183" t="s">
        <v>2196</v>
      </c>
      <c r="B57" s="3207" t="s">
        <v>2224</v>
      </c>
      <c r="C57" s="3208"/>
      <c r="D57" s="187">
        <v>0</v>
      </c>
      <c r="E57" s="23" t="s">
        <v>2198</v>
      </c>
      <c r="F57" s="155"/>
      <c r="G57" s="2481"/>
      <c r="H57" s="2485"/>
      <c r="I57" s="2485"/>
      <c r="J57" s="3176">
        <f>IF(AND(J55="",J56=""),4,IF(项目基本情况!K6="上海银行",结果表!J56+1,结果表!J55+1))</f>
        <v>4</v>
      </c>
      <c r="K57" s="3176" t="s">
        <v>2225</v>
      </c>
      <c r="L57" s="2486" t="s">
        <v>2226</v>
      </c>
      <c r="M57" s="1756"/>
      <c r="N57" s="1757">
        <f ca="1">SUMIF(M52:M56,"&lt;9e307")</f>
        <v>1059</v>
      </c>
      <c r="O57" s="2487"/>
      <c r="P57" s="1750">
        <f ca="1">N57/M49</f>
        <v>0.56631016042780746</v>
      </c>
    </row>
    <row r="58" spans="1:35" ht="24.75">
      <c r="A58" s="183" t="s">
        <v>2207</v>
      </c>
      <c r="B58" s="3207" t="s">
        <v>2227</v>
      </c>
      <c r="C58" s="3220"/>
      <c r="D58" s="185">
        <f ca="1">IF(H58="转让取得",C81,C97)</f>
        <v>1058</v>
      </c>
      <c r="E58" s="11" t="s">
        <v>2222</v>
      </c>
      <c r="F58" s="24" t="s">
        <v>34</v>
      </c>
      <c r="G58" s="2481"/>
      <c r="H58" s="2484" t="s">
        <v>2228</v>
      </c>
      <c r="I58" s="2485"/>
      <c r="J58" s="3176"/>
      <c r="K58" s="3176"/>
      <c r="L58" s="2486" t="s">
        <v>2229</v>
      </c>
      <c r="M58" s="1758"/>
      <c r="N58" s="2488" t="str">
        <f ca="1">NUMBERSTRING(INT(N57*10000),2)&amp;"元整"</f>
        <v>壹仟零伍拾玖万元整</v>
      </c>
      <c r="O58" s="2489"/>
    </row>
    <row r="59" spans="1:35" ht="24.75" thickBot="1">
      <c r="A59" s="3180" t="s">
        <v>2230</v>
      </c>
      <c r="B59" s="3181"/>
      <c r="C59" s="3181"/>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78">
        <f>J57+1</f>
        <v>5</v>
      </c>
      <c r="K59" s="3176" t="s">
        <v>2232</v>
      </c>
      <c r="L59" s="1809" t="s">
        <v>2226</v>
      </c>
      <c r="M59" s="1759"/>
      <c r="N59" s="1760">
        <f ca="1">M49-N57</f>
        <v>811</v>
      </c>
      <c r="O59" s="2491"/>
    </row>
    <row r="60" spans="1:35" ht="12" customHeight="1">
      <c r="A60" s="2492"/>
      <c r="B60" s="2414"/>
      <c r="C60" s="2414"/>
      <c r="D60" s="2414"/>
      <c r="E60" s="2163"/>
      <c r="F60" s="2485"/>
      <c r="G60" s="2485"/>
      <c r="H60" s="2493"/>
      <c r="I60" s="138"/>
      <c r="J60" s="3179"/>
      <c r="K60" s="3176"/>
      <c r="L60" s="2486" t="s">
        <v>2229</v>
      </c>
      <c r="M60" s="1758"/>
      <c r="N60" s="2488" t="str">
        <f ca="1">NUMBERSTRING(INT(N59*10000),2)&amp;"元整"</f>
        <v>捌佰壹拾壹万元整</v>
      </c>
      <c r="O60" s="2489"/>
    </row>
    <row r="61" spans="1:35" ht="13.5" thickBot="1">
      <c r="A61" s="3239" t="s">
        <v>2233</v>
      </c>
      <c r="B61" s="3239"/>
      <c r="C61" s="3239"/>
      <c r="D61" s="3239"/>
      <c r="E61" s="3239"/>
      <c r="F61" s="2485"/>
      <c r="G61" s="2485"/>
      <c r="H61" s="2493"/>
      <c r="I61" s="138"/>
      <c r="J61" s="1809">
        <f>J59+1</f>
        <v>6</v>
      </c>
      <c r="K61" s="3176" t="s">
        <v>2234</v>
      </c>
      <c r="L61" s="3176"/>
      <c r="M61" s="1761"/>
      <c r="N61" s="1762">
        <f ca="1">ROUND(N59*10000/'数据-汇总表'!E3,0)</f>
        <v>25518</v>
      </c>
      <c r="O61" s="2494"/>
    </row>
    <row r="62" spans="1:35" ht="12.75">
      <c r="A62" s="3196" t="s">
        <v>2235</v>
      </c>
      <c r="B62" s="3197"/>
      <c r="C62" s="1801"/>
      <c r="D62" s="1801" t="s">
        <v>2236</v>
      </c>
      <c r="E62" s="192" t="s">
        <v>2237</v>
      </c>
      <c r="F62" s="2485"/>
      <c r="G62" s="2485"/>
      <c r="H62" s="2493"/>
      <c r="I62" s="138"/>
    </row>
    <row r="63" spans="1:35" ht="12.75">
      <c r="A63" s="203" t="s">
        <v>775</v>
      </c>
      <c r="B63" s="193" t="s">
        <v>2238</v>
      </c>
      <c r="C63" s="194">
        <f ca="1">ROUND((C64+C65)/(1+'数据-取费表'!C42),0)</f>
        <v>1781</v>
      </c>
      <c r="D63" s="195"/>
      <c r="E63" s="196"/>
      <c r="F63" s="2485"/>
      <c r="G63" s="2485"/>
      <c r="H63" s="2493"/>
      <c r="I63" s="138"/>
      <c r="J63" s="3161" t="s">
        <v>2239</v>
      </c>
      <c r="K63" s="2495" t="s">
        <v>2240</v>
      </c>
      <c r="L63" s="1749">
        <f ca="1">IF(M49&gt;10000,M49*0.5%,IF(AND(M49&gt;1000,M49&lt;=10000),M49*1%,IF(AND(M49&gt;100,M49&lt;=1000),M49*3%,IF(AND(M49&gt;10,M49&lt;=100),M49*5%,M49*8%))))</f>
        <v>18.7</v>
      </c>
      <c r="M63" s="24">
        <f ca="1">ROUND(L63,1)</f>
        <v>18.7</v>
      </c>
      <c r="Z63" s="2419"/>
      <c r="AI63" s="2420"/>
    </row>
    <row r="64" spans="1:35" ht="14.25" customHeight="1">
      <c r="A64" s="197" t="s">
        <v>770</v>
      </c>
      <c r="B64" s="198" t="s">
        <v>2241</v>
      </c>
      <c r="C64" s="199">
        <f ca="1">D45</f>
        <v>1870</v>
      </c>
      <c r="D64" s="200" t="s">
        <v>32</v>
      </c>
      <c r="E64" s="201"/>
      <c r="F64" s="2485"/>
      <c r="G64" s="2485"/>
      <c r="H64" s="2493"/>
      <c r="I64" s="138"/>
      <c r="J64" s="3161"/>
      <c r="K64" s="2495" t="s">
        <v>2242</v>
      </c>
      <c r="L64" s="1749">
        <f ca="1">IF(M49&gt;2000,M49*0.5%,IF(AND(M49&gt;1000,M49&lt;=2000),M49*0.6%,IF(AND(M49&gt;500,M49&lt;=1000),M49*0.7%,IF(AND(M49&gt;200,M49&lt;=500),M49*0.8%,IF(AND(M49&gt;100,M49&lt;=200),M49*0.9%,IF(AND(M49&gt;50,M49&lt;=100),M49*1%,IF(AND(M49&gt;20,M49&lt;=50),M49*1.5%,IF(AND(M49&gt;10,M49&lt;=20),M49*2%,IF(AND(M49&gt;1,M49&lt;=10),M49*2.5%)))))))))</f>
        <v>11.22</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161"/>
      <c r="K65" s="2495" t="s">
        <v>2245</v>
      </c>
      <c r="L65" s="1749">
        <f ca="1">IF(M49&gt;1000,M49*0.1%,IF(AND(M49&gt;500,M49&lt;=1000),M49*0.5%,IF(AND(M49&gt;50,M49&lt;=500),M49*1%,IF(AND(M49&gt;1,M49&lt;=50),M49*1.5%))))</f>
        <v>1.87</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161"/>
      <c r="K66" s="2495" t="s">
        <v>2247</v>
      </c>
      <c r="L66" s="1749">
        <f ca="1">M49*0.5%</f>
        <v>9.35</v>
      </c>
      <c r="M66" s="24">
        <f ca="1">IF(L66&gt;0.5,0.5,ROUND(L66,0))</f>
        <v>0.5</v>
      </c>
      <c r="N66" s="138" t="s">
        <v>2248</v>
      </c>
      <c r="Z66" s="2419"/>
      <c r="AI66" s="2420"/>
    </row>
    <row r="67" spans="1:35" ht="14.25" customHeight="1">
      <c r="A67" s="203" t="s">
        <v>773</v>
      </c>
      <c r="B67" s="204" t="s">
        <v>2249</v>
      </c>
      <c r="C67" s="207">
        <f ca="1">C63-C66</f>
        <v>1781</v>
      </c>
      <c r="D67" s="200" t="s">
        <v>32</v>
      </c>
      <c r="E67" s="201"/>
      <c r="F67" s="2485"/>
      <c r="G67" s="2485"/>
      <c r="H67" s="2493"/>
      <c r="I67" s="138"/>
      <c r="J67" s="3161"/>
      <c r="K67" s="2495" t="s">
        <v>2250</v>
      </c>
      <c r="L67" s="1749">
        <f ca="1">IF(M49&gt;=10000,(8.25+(M49-10000)*0.01%),IF(AND(M49&gt;=8000,M49&lt;10000),(7.85+(M49-8000)*0.02%),IF(AND(M49&gt;=5000,M49&lt;8000),(6.65+(M49-5000)*0.04%),IF(AND(M49&gt;=2000,M49&lt;5000),(4.25+(PM49-2000)*0.08%),IF(AND(M49&gt;=1000,M49&lt;2000),(2.75+(M49-1000)*0.15%),IF(AND(M49&gt;=100,M49&lt;1000),(0.5+(M49-100)*0.25%),IF(AND(M49&gt;0,M49&lt;100),M49*0.5%)))))))</f>
        <v>4.0549999999999997</v>
      </c>
      <c r="M67" s="24">
        <f ca="1">ROUND(L67*0.9,1)</f>
        <v>3.6</v>
      </c>
      <c r="Z67" s="2419"/>
      <c r="AI67" s="2420"/>
    </row>
    <row r="68" spans="1:35" ht="14.25" customHeight="1" thickBot="1">
      <c r="A68" s="208" t="s">
        <v>774</v>
      </c>
      <c r="B68" s="209" t="s">
        <v>2251</v>
      </c>
      <c r="C68" s="210">
        <f ca="1">IF(C67&lt;=0,0,ROUND(C67*D68,0))</f>
        <v>100</v>
      </c>
      <c r="D68" s="211">
        <f>'数据-取费表'!B41</f>
        <v>5.6000000000000001E-2</v>
      </c>
      <c r="E68" s="212"/>
      <c r="F68" s="2485"/>
      <c r="G68" s="2485"/>
      <c r="H68" s="2493"/>
      <c r="I68" s="138"/>
      <c r="J68" s="3161"/>
      <c r="K68" s="2495" t="s">
        <v>2252</v>
      </c>
      <c r="L68" s="1749">
        <f ca="1">IF(M49&gt;10000,M49*0.5%,IF(AND(M49&gt;5000,M49&lt;=10000),M49*1%,IF(AND(M49&gt;1000,M49&lt;=5000),M49*2%,IF(AND(M49&gt;200,M49&lt;=1000),M49*3%,M49*5%))))</f>
        <v>37.4</v>
      </c>
      <c r="M68" s="24">
        <f ca="1">ROUND(L68,1)</f>
        <v>37.4</v>
      </c>
      <c r="Z68" s="2419"/>
      <c r="AI68" s="2420"/>
    </row>
    <row r="69" spans="1:35" s="2442" customFormat="1" ht="16.5" customHeight="1">
      <c r="A69" s="2496"/>
      <c r="B69" s="2497"/>
      <c r="C69" s="2498"/>
      <c r="D69" s="2499"/>
      <c r="E69" s="2500"/>
      <c r="F69" s="2163"/>
      <c r="G69" s="2163"/>
      <c r="H69" s="2162"/>
      <c r="I69" s="2414"/>
      <c r="J69" s="3161"/>
      <c r="K69" s="2495" t="s">
        <v>2253</v>
      </c>
      <c r="L69" s="2501"/>
      <c r="M69" s="24">
        <f ca="1">ROUND(SUM(M63:M68),0)</f>
        <v>73</v>
      </c>
      <c r="N69" s="1750">
        <f ca="1">M69/M49</f>
        <v>3.9037433155080216E-2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205" t="s">
        <v>2254</v>
      </c>
      <c r="B70" s="3206"/>
      <c r="C70" s="3206"/>
      <c r="D70" s="3206"/>
      <c r="E70" s="3206"/>
      <c r="F70" s="3206"/>
      <c r="G70" s="3206"/>
      <c r="H70" s="32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96" t="s">
        <v>2235</v>
      </c>
      <c r="B71" s="3197"/>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1781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202" t="s">
        <v>2263</v>
      </c>
      <c r="F76" s="3201"/>
      <c r="G76" s="3201"/>
      <c r="H76" s="32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93" t="s">
        <v>2268</v>
      </c>
      <c r="F78" s="3194"/>
      <c r="G78" s="3194"/>
      <c r="H78" s="31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1770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160.90909090909091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5" t="s">
        <v>2272</v>
      </c>
      <c r="B83" s="3206"/>
      <c r="C83" s="3206"/>
      <c r="D83" s="3206"/>
      <c r="E83" s="3206"/>
      <c r="F83" s="3206"/>
      <c r="G83" s="3206"/>
      <c r="H83" s="32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96" t="s">
        <v>2235</v>
      </c>
      <c r="B84" s="3197"/>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1781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93" t="s">
        <v>2281</v>
      </c>
      <c r="F91" s="3194"/>
      <c r="G91" s="3194"/>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93" t="s">
        <v>2285</v>
      </c>
      <c r="F92" s="3194"/>
      <c r="G92" s="3194"/>
      <c r="H92" s="31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93" t="s">
        <v>2268</v>
      </c>
      <c r="F93" s="3194"/>
      <c r="G93" s="3194"/>
      <c r="H93" s="31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241" t="s">
        <v>2289</v>
      </c>
      <c r="F94" s="3242"/>
      <c r="G94" s="3242"/>
      <c r="H94" s="32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1770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160.90909090909091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45" t="s">
        <v>2291</v>
      </c>
      <c r="B100" s="3146"/>
      <c r="C100" s="3146"/>
      <c r="D100" s="3177"/>
      <c r="E100" s="3146" t="s">
        <v>2292</v>
      </c>
      <c r="F100" s="3146"/>
      <c r="G100" s="3146"/>
      <c r="H100" s="3177"/>
      <c r="I100" s="138"/>
    </row>
    <row r="101" spans="1:35" ht="18.75" customHeight="1">
      <c r="A101" s="3185" t="s">
        <v>2293</v>
      </c>
      <c r="B101" s="3186"/>
      <c r="C101" s="734" t="str">
        <f>C4</f>
        <v>比较法-办公</v>
      </c>
      <c r="D101" s="735" t="str">
        <f>D4</f>
        <v>收益法</v>
      </c>
      <c r="E101" s="3157" t="s">
        <v>2294</v>
      </c>
      <c r="F101" s="3158"/>
      <c r="G101" s="2516" t="s">
        <v>2295</v>
      </c>
      <c r="H101" s="1046">
        <f ca="1">H118</f>
        <v>1870</v>
      </c>
      <c r="I101" s="138"/>
    </row>
    <row r="102" spans="1:35" ht="18.75" customHeight="1">
      <c r="A102" s="3187" t="s">
        <v>2296</v>
      </c>
      <c r="B102" s="2516" t="s">
        <v>2295</v>
      </c>
      <c r="C102" s="734">
        <f ca="1">C19</f>
        <v>1874</v>
      </c>
      <c r="D102" s="735">
        <f ca="1">D19</f>
        <v>1865</v>
      </c>
      <c r="E102" s="3157"/>
      <c r="F102" s="3158"/>
      <c r="G102" s="2516" t="s">
        <v>2297</v>
      </c>
      <c r="H102" s="371">
        <f ca="1">I118</f>
        <v>58840</v>
      </c>
      <c r="I102" s="138"/>
    </row>
    <row r="103" spans="1:35" ht="42.75" customHeight="1">
      <c r="A103" s="3187"/>
      <c r="B103" s="2516" t="s">
        <v>2297</v>
      </c>
      <c r="C103" s="736">
        <f ca="1">C20</f>
        <v>58976</v>
      </c>
      <c r="D103" s="737">
        <f ca="1">D20</f>
        <v>58683</v>
      </c>
      <c r="E103" s="3151" t="s">
        <v>2298</v>
      </c>
      <c r="F103" s="3152"/>
      <c r="G103" s="2517" t="s">
        <v>2299</v>
      </c>
      <c r="H103" s="1046">
        <f>IF(D36="正常操作",H104+H105+H106,H105+H106)</f>
        <v>0</v>
      </c>
      <c r="I103" s="138"/>
    </row>
    <row r="104" spans="1:35" ht="18.75" customHeight="1">
      <c r="A104" s="3187" t="s">
        <v>2300</v>
      </c>
      <c r="B104" s="2518" t="s">
        <v>2295</v>
      </c>
      <c r="C104" s="738">
        <f ca="1">H118</f>
        <v>1870</v>
      </c>
      <c r="D104" s="739"/>
      <c r="E104" s="2264" t="s">
        <v>2301</v>
      </c>
      <c r="F104" s="2255"/>
      <c r="G104" s="2517" t="s">
        <v>2299</v>
      </c>
      <c r="H104" s="1047">
        <f>IF(D36="同一抵押权人同一抵押物续贷",C36&amp;"（未扣减，详见特别提示）",C36)</f>
        <v>0</v>
      </c>
      <c r="I104" s="138"/>
    </row>
    <row r="105" spans="1:35" ht="18.75" customHeight="1" thickBot="1">
      <c r="A105" s="3199"/>
      <c r="B105" s="2519" t="s">
        <v>2297</v>
      </c>
      <c r="C105" s="740">
        <f ca="1">I118</f>
        <v>58840</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88" t="str">
        <f>IF(项目基本情况!E8="已注销","——","3.房地产抵押价值")</f>
        <v>3.房地产抵押价值</v>
      </c>
      <c r="F107" s="3158"/>
      <c r="G107" s="2516" t="s">
        <v>2295</v>
      </c>
      <c r="H107" s="1046">
        <f ca="1">IF(E107="——","——",H101-H103)</f>
        <v>1870</v>
      </c>
      <c r="I107" s="138"/>
    </row>
    <row r="108" spans="1:35" ht="18.75" customHeight="1">
      <c r="A108" s="138"/>
      <c r="B108" s="138"/>
      <c r="C108" s="138"/>
      <c r="D108" s="138"/>
      <c r="E108" s="3188"/>
      <c r="F108" s="3158"/>
      <c r="G108" s="2516" t="s">
        <v>2297</v>
      </c>
      <c r="H108" s="371">
        <f ca="1">ROUND(H107*10000/'数据-汇总表'!E3,0)</f>
        <v>58840</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v>
      </c>
      <c r="F109" s="3158"/>
      <c r="G109" s="2516" t="s">
        <v>2295</v>
      </c>
      <c r="H109" s="348" t="str">
        <f>IF(E109="——","——",H101-H105-H106)</f>
        <v>——</v>
      </c>
      <c r="I109" s="138"/>
    </row>
    <row r="110" spans="1:35" ht="18.75" customHeight="1">
      <c r="A110" s="138"/>
      <c r="B110" s="138"/>
      <c r="C110" s="138"/>
      <c r="D110" s="138"/>
      <c r="E110" s="3188"/>
      <c r="F110" s="3158"/>
      <c r="G110" s="2516" t="s">
        <v>2297</v>
      </c>
      <c r="H110" s="371" t="str">
        <f>IF(H109="——","——",ROUND(H109*10000/'数据-汇总表'!E3,0))</f>
        <v>——</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16" t="s">
        <v>2295</v>
      </c>
      <c r="H111" s="1046" t="str">
        <f>IF(E111="——","——",N59)</f>
        <v>——</v>
      </c>
      <c r="I111" s="138"/>
    </row>
    <row r="112" spans="1:35" ht="18.75" customHeight="1" thickBot="1">
      <c r="A112" s="138"/>
      <c r="B112" s="138"/>
      <c r="C112" s="138"/>
      <c r="D112" s="138"/>
      <c r="E112" s="3191"/>
      <c r="F112" s="3192"/>
      <c r="G112" s="2521" t="s">
        <v>2297</v>
      </c>
      <c r="H112" s="788" t="str">
        <f>IF(E111="——","——",N61)</f>
        <v>——</v>
      </c>
      <c r="I112" s="138"/>
    </row>
    <row r="113" spans="1:11" ht="18.75" customHeight="1">
      <c r="A113" s="138"/>
      <c r="B113" s="138"/>
      <c r="C113" s="138"/>
      <c r="D113" s="138"/>
      <c r="E113" s="3200" t="s">
        <v>2303</v>
      </c>
      <c r="F113" s="3200"/>
      <c r="G113" s="3200"/>
      <c r="H113" s="3200"/>
      <c r="I113" s="138"/>
    </row>
    <row r="114" spans="1:11" ht="3.75" customHeight="1">
      <c r="A114" s="2414"/>
      <c r="B114" s="2414"/>
      <c r="C114" s="2414"/>
      <c r="D114" s="2414"/>
      <c r="E114" s="2492"/>
      <c r="F114" s="2492"/>
      <c r="G114" s="2492"/>
      <c r="H114" s="2492"/>
      <c r="I114" s="2414"/>
    </row>
    <row r="115" spans="1:11" ht="18.75" customHeight="1">
      <c r="A115" s="3213" t="s">
        <v>2305</v>
      </c>
      <c r="B115" s="3214"/>
      <c r="C115" s="3214"/>
      <c r="D115" s="3214"/>
      <c r="E115" s="3214"/>
      <c r="F115" s="3214"/>
      <c r="G115" s="3214"/>
      <c r="H115" s="3214"/>
      <c r="I115" s="3215"/>
    </row>
    <row r="116" spans="1:11" ht="27" customHeight="1">
      <c r="A116" s="3124" t="s">
        <v>2306</v>
      </c>
      <c r="B116" s="3167" t="s">
        <v>2307</v>
      </c>
      <c r="C116" s="3167" t="s">
        <v>2308</v>
      </c>
      <c r="D116" s="3173" t="s">
        <v>2309</v>
      </c>
      <c r="E116" s="3174"/>
      <c r="F116" s="3209" t="s">
        <v>2310</v>
      </c>
      <c r="G116" s="3209"/>
      <c r="H116" s="3124" t="s">
        <v>2311</v>
      </c>
      <c r="I116" s="3124"/>
    </row>
    <row r="117" spans="1:11" ht="18.75" customHeight="1">
      <c r="A117" s="3124"/>
      <c r="B117" s="3168"/>
      <c r="C117" s="3168"/>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1589</v>
      </c>
      <c r="E118" s="1795">
        <f ca="1">ROUND(IF(C33="自定义",IF(D32="楼面单价",C34,D118*10000/B118),I118-G118),0)</f>
        <v>49998</v>
      </c>
      <c r="F118" s="1795">
        <f ca="1">ROUND(IF(D32="总价",C35,G118*B118/10000),0)</f>
        <v>281</v>
      </c>
      <c r="G118" s="1795">
        <f ca="1">ROUND(IF(D32="楼面单价",C35,F118*10000/B118),0)</f>
        <v>8842</v>
      </c>
      <c r="H118" s="1795">
        <f ca="1">ROUND(IF(D32="总价",C32,I118*B118/10000),0)</f>
        <v>1870</v>
      </c>
      <c r="I118" s="1795">
        <f ca="1">ROUND(IF(D32="楼面单价",C32,H118*10000/B118),0)</f>
        <v>58840</v>
      </c>
    </row>
    <row r="119" spans="1:11" ht="18.75" customHeight="1">
      <c r="A119" s="3124" t="s">
        <v>2315</v>
      </c>
      <c r="B119" s="3124"/>
      <c r="C119" s="3124"/>
      <c r="D119" s="3169" t="str">
        <f ca="1">NUMBERSTRING(INT(D118*10000),2)&amp;"元整"</f>
        <v>壹仟伍佰捌拾玖万元整</v>
      </c>
      <c r="E119" s="3170"/>
      <c r="F119" s="3169" t="str">
        <f ca="1">NUMBERSTRING(INT(F118*10000),2)&amp;"元整"</f>
        <v>贰佰捌拾壹万元整</v>
      </c>
      <c r="G119" s="3170"/>
      <c r="H119" s="3169" t="str">
        <f ca="1">NUMBERSTRING(INT(H118*10000),2)&amp;"元整"</f>
        <v>壹仟捌佰柒拾万元整</v>
      </c>
      <c r="I119" s="3170"/>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9" t="str">
        <f>IF(D120=0,"故，本次评估不存在"&amp;A120,"故，本次评估"&amp;A120&amp;"为人民币"&amp;D120&amp;"万元整。")</f>
        <v>故，本次评估不存在估价师知悉的法定优先受偿款</v>
      </c>
    </row>
    <row r="121" spans="1:11" ht="18.75" customHeight="1">
      <c r="A121" s="3210" t="s">
        <v>2315</v>
      </c>
      <c r="B121" s="3211"/>
      <c r="C121" s="3212"/>
      <c r="D121" s="3169" t="str">
        <f>IF(D120=0,"零元整",NUMBERSTRING(INT(D120*10000),2)&amp;"元整")</f>
        <v>零元整</v>
      </c>
      <c r="E121" s="3171"/>
      <c r="F121" s="3171"/>
      <c r="G121" s="3171"/>
      <c r="H121" s="3171"/>
      <c r="I121" s="3170"/>
    </row>
    <row r="122" spans="1:11" ht="18.75" customHeight="1">
      <c r="A122" s="3175" t="str">
        <f>IF(项目基本情况!B9="房地产市场价值","",MID(E107,3,LEN(E107)-2))</f>
        <v>房地产抵押价值</v>
      </c>
      <c r="B122" s="3175"/>
      <c r="C122" s="3175"/>
      <c r="D122" s="3164">
        <f ca="1">H107</f>
        <v>1870</v>
      </c>
      <c r="E122" s="3165"/>
      <c r="F122" s="3165"/>
      <c r="G122" s="3165"/>
      <c r="H122" s="3165"/>
      <c r="I122" s="3166"/>
    </row>
    <row r="123" spans="1:11" ht="18.75" customHeight="1">
      <c r="A123" s="3124" t="s">
        <v>2315</v>
      </c>
      <c r="B123" s="3124"/>
      <c r="C123" s="3124"/>
      <c r="D123" s="3169" t="str">
        <f ca="1">NUMBERSTRING(INT(D122*10000),2)&amp;"元整"</f>
        <v>壹仟捌佰柒拾万元整</v>
      </c>
      <c r="E123" s="3171"/>
      <c r="F123" s="3171"/>
      <c r="G123" s="3171"/>
      <c r="H123" s="3171"/>
      <c r="I123" s="3170"/>
    </row>
    <row r="124" spans="1:11" ht="18.75" customHeight="1">
      <c r="A124" s="3175" t="str">
        <f>IF(项目基本情况!B9="房地产市场价值","",MID(E109,3,LEN(E109)-2))</f>
        <v/>
      </c>
      <c r="B124" s="3175"/>
      <c r="C124" s="3175"/>
      <c r="D124" s="3164" t="str">
        <f>H109</f>
        <v>——</v>
      </c>
      <c r="E124" s="3165"/>
      <c r="F124" s="3165"/>
      <c r="G124" s="3165"/>
      <c r="H124" s="3165"/>
      <c r="I124" s="3166"/>
    </row>
    <row r="125" spans="1:11" ht="18.75" customHeight="1">
      <c r="A125" s="3124" t="s">
        <v>2315</v>
      </c>
      <c r="B125" s="3124"/>
      <c r="C125" s="3124"/>
      <c r="D125" s="3169" t="e">
        <f>NUMBERSTRING(INT(D124*10000),2)&amp;"元整"</f>
        <v>#VALUE!</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24" t="s">
        <v>2315</v>
      </c>
      <c r="B127" s="3124"/>
      <c r="C127" s="3124"/>
      <c r="D127" s="3169" t="e">
        <f>NUMBERSTRING(INT(D126*10000),2)&amp;"元整"</f>
        <v>#VALUE!</v>
      </c>
      <c r="E127" s="3171"/>
      <c r="F127" s="3171"/>
      <c r="G127" s="3171"/>
      <c r="H127" s="3171"/>
      <c r="I127" s="3170"/>
    </row>
    <row r="128" spans="1:11" ht="21.75" customHeight="1">
      <c r="A128" s="3172" t="s">
        <v>2316</v>
      </c>
      <c r="B128" s="3172"/>
      <c r="C128" s="3172"/>
      <c r="D128" s="3172"/>
      <c r="E128" s="3172"/>
      <c r="F128" s="3172"/>
      <c r="G128" s="3172"/>
      <c r="H128" s="3172"/>
      <c r="I128" s="3172"/>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44" t="s">
        <v>2407</v>
      </c>
    </row>
    <row r="43" spans="1:7" ht="13.5" customHeight="1">
      <c r="A43" s="952" t="s">
        <v>792</v>
      </c>
      <c r="B43" s="259" t="s">
        <v>2408</v>
      </c>
      <c r="C43" s="282">
        <f ca="1">ROUND(IF('数据-取费表'!B22&lt;=1,C39*F22*'数据-取费表'!B21/2,C39*(POWER((1+F22),'数据-取费表'!B21/2)-1)),0)</f>
        <v>0</v>
      </c>
      <c r="D43" s="282"/>
      <c r="E43" s="282"/>
      <c r="F43" s="283"/>
      <c r="G43" s="3245"/>
    </row>
    <row r="44" spans="1:7" ht="13.5" customHeight="1">
      <c r="A44" s="952" t="s">
        <v>793</v>
      </c>
      <c r="B44" s="259" t="s">
        <v>2409</v>
      </c>
      <c r="C44" s="282">
        <f ca="1">ROUND(IF('数据-取费表'!B22&lt;=1,C40*F22*'数据-取费表'!B21/2,C40*(POWER((1+F22),'数据-取费表'!B21/2)-1)),4)</f>
        <v>1E-3</v>
      </c>
      <c r="D44" s="282"/>
      <c r="E44" s="282"/>
      <c r="F44" s="283"/>
      <c r="G44" s="3246"/>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8" t="str">
        <f>项目基本情况!B1</f>
        <v>北京市朝阳区望京东园523号楼1021等37套办公用房房地产抵押价值预评估</v>
      </c>
      <c r="C37" s="3058"/>
      <c r="D37" s="3058"/>
      <c r="E37" s="3058"/>
      <c r="F37" s="3058"/>
      <c r="G37" s="3058"/>
      <c r="H37" s="3058"/>
      <c r="I37" s="3058"/>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44" t="s">
        <v>2454</v>
      </c>
    </row>
    <row r="43" spans="1:7" ht="13.5" customHeight="1">
      <c r="A43" s="952" t="s">
        <v>792</v>
      </c>
      <c r="B43" s="259" t="s">
        <v>2408</v>
      </c>
      <c r="C43" s="282">
        <f ca="1">ROUND(IF('数据-取费表'!B22&lt;=1,C39*F22*'数据-取费表'!B20/2,C39*(POWER((1+F22),'数据-取费表'!B20/2)-1)),0)</f>
        <v>947</v>
      </c>
      <c r="D43" s="282"/>
      <c r="E43" s="282"/>
      <c r="F43" s="283"/>
      <c r="G43" s="3245"/>
    </row>
    <row r="44" spans="1:7" ht="13.5" customHeight="1">
      <c r="A44" s="952" t="s">
        <v>793</v>
      </c>
      <c r="B44" s="259" t="s">
        <v>2409</v>
      </c>
      <c r="C44" s="282">
        <f ca="1">ROUND(IF('数据-取费表'!B22&lt;=1,C40*F22*'数据-取费表'!B20/2,C40*(POWER((1+F22),'数据-取费表'!B20/2)-1)),4)</f>
        <v>1E-3</v>
      </c>
      <c r="D44" s="282"/>
      <c r="E44" s="282"/>
      <c r="F44" s="283"/>
      <c r="G44" s="3246"/>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5" sqref="M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2"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1874</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58976</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272" t="s">
        <v>2649</v>
      </c>
      <c r="Q4" s="3273"/>
      <c r="R4" s="3252" t="s">
        <v>2645</v>
      </c>
      <c r="S4" s="3253"/>
      <c r="T4" s="3252" t="s">
        <v>2646</v>
      </c>
      <c r="U4" s="3253"/>
      <c r="V4" s="3280" t="s">
        <v>2647</v>
      </c>
      <c r="W4" s="3280"/>
      <c r="X4" s="2668"/>
      <c r="Y4" s="3252" t="s">
        <v>2649</v>
      </c>
      <c r="Z4" s="3253"/>
      <c r="AA4" s="3247" t="s">
        <v>2645</v>
      </c>
      <c r="AB4" s="3247" t="s">
        <v>2646</v>
      </c>
      <c r="AC4" s="3265" t="s">
        <v>2647</v>
      </c>
    </row>
    <row r="5" spans="1:29" ht="15">
      <c r="A5" s="404"/>
      <c r="B5" s="405"/>
      <c r="C5" s="3258" t="s">
        <v>3057</v>
      </c>
      <c r="D5" s="3259"/>
      <c r="E5" s="3256" t="s">
        <v>3058</v>
      </c>
      <c r="F5" s="3257"/>
      <c r="G5" s="3258" t="s">
        <v>3155</v>
      </c>
      <c r="H5" s="3259"/>
      <c r="I5" s="3258" t="s">
        <v>3085</v>
      </c>
      <c r="J5" s="3259"/>
      <c r="K5" s="610"/>
      <c r="L5" s="1131"/>
      <c r="M5" s="1132"/>
      <c r="N5" s="1132"/>
      <c r="O5" s="1132"/>
      <c r="P5" s="3274"/>
      <c r="Q5" s="3275"/>
      <c r="R5" s="3254"/>
      <c r="S5" s="3255"/>
      <c r="T5" s="3254"/>
      <c r="U5" s="3255"/>
      <c r="V5" s="3281"/>
      <c r="W5" s="3281"/>
      <c r="X5" s="1813"/>
      <c r="Y5" s="3254"/>
      <c r="Z5" s="3255"/>
      <c r="AA5" s="3248"/>
      <c r="AB5" s="3248"/>
      <c r="AC5" s="3266"/>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276"/>
      <c r="Q6" s="3277"/>
      <c r="R6" s="3254"/>
      <c r="S6" s="3255"/>
      <c r="T6" s="3278"/>
      <c r="U6" s="3279"/>
      <c r="V6" s="3281"/>
      <c r="W6" s="3281"/>
      <c r="X6" s="1813"/>
      <c r="Y6" s="3278"/>
      <c r="Z6" s="3279"/>
      <c r="AA6" s="3249"/>
      <c r="AB6" s="3249"/>
      <c r="AC6" s="3267"/>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2" t="s">
        <v>2547</v>
      </c>
      <c r="Q7" s="3283"/>
      <c r="R7" s="768" t="s">
        <v>17</v>
      </c>
      <c r="S7" s="769">
        <f t="shared" ref="S7:S15" si="0">F7</f>
        <v>100</v>
      </c>
      <c r="T7" s="768" t="s">
        <v>17</v>
      </c>
      <c r="U7" s="769">
        <f t="shared" ref="U7:U15" si="1">H7</f>
        <v>100</v>
      </c>
      <c r="V7" s="768" t="s">
        <v>17</v>
      </c>
      <c r="W7" s="769">
        <f t="shared" ref="W7:W15" si="2">J7</f>
        <v>100</v>
      </c>
      <c r="X7" s="770"/>
      <c r="Y7" s="3250" t="s">
        <v>2547</v>
      </c>
      <c r="Z7" s="3251"/>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2" t="s">
        <v>2550</v>
      </c>
      <c r="Q8" s="3251"/>
      <c r="R8" s="768" t="s">
        <v>17</v>
      </c>
      <c r="S8" s="769">
        <f t="shared" si="0"/>
        <v>100</v>
      </c>
      <c r="T8" s="768" t="s">
        <v>17</v>
      </c>
      <c r="U8" s="769">
        <f t="shared" si="1"/>
        <v>100</v>
      </c>
      <c r="V8" s="768" t="s">
        <v>17</v>
      </c>
      <c r="W8" s="769">
        <f t="shared" si="2"/>
        <v>100</v>
      </c>
      <c r="X8" s="770"/>
      <c r="Y8" s="3250" t="s">
        <v>2550</v>
      </c>
      <c r="Z8" s="3251"/>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3089</v>
      </c>
      <c r="H10" s="136">
        <f>SUMIF(66:66,G10,67:67)-SUMIF(66:66,C10,67:67)+100</f>
        <v>101</v>
      </c>
      <c r="I10" s="423" t="s">
        <v>3089</v>
      </c>
      <c r="J10" s="136">
        <f>SUMIF(66:66,I10,67:67)-SUMIF(66:66,C10,67:67)+100</f>
        <v>101</v>
      </c>
      <c r="K10" s="612">
        <v>1</v>
      </c>
      <c r="L10" s="1136"/>
      <c r="M10" s="1137"/>
      <c r="N10" s="1137"/>
      <c r="O10" s="1137"/>
      <c r="P10" s="3264"/>
      <c r="Q10" s="1795" t="str">
        <f t="shared" si="6"/>
        <v>土地使用年限（年）</v>
      </c>
      <c r="R10" s="768" t="s">
        <v>17</v>
      </c>
      <c r="S10" s="769">
        <f t="shared" si="0"/>
        <v>100</v>
      </c>
      <c r="T10" s="768" t="s">
        <v>17</v>
      </c>
      <c r="U10" s="769">
        <f t="shared" si="1"/>
        <v>101</v>
      </c>
      <c r="V10" s="768" t="s">
        <v>17</v>
      </c>
      <c r="W10" s="769">
        <f t="shared" si="2"/>
        <v>101</v>
      </c>
      <c r="X10" s="770"/>
      <c r="Y10" s="3124"/>
      <c r="Z10" s="55" t="str">
        <f t="shared" si="7"/>
        <v>土地使用年限（年）</v>
      </c>
      <c r="AA10" s="771">
        <f t="shared" si="3"/>
        <v>1</v>
      </c>
      <c r="AB10" s="771">
        <f t="shared" si="4"/>
        <v>0.99009900990099009</v>
      </c>
      <c r="AC10" s="2669">
        <f t="shared" si="5"/>
        <v>0.99009900990099009</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4"/>
      <c r="Q11" s="1795" t="str">
        <f t="shared" si="6"/>
        <v>容积率</v>
      </c>
      <c r="R11" s="768" t="s">
        <v>17</v>
      </c>
      <c r="S11" s="769">
        <f t="shared" si="0"/>
        <v>100</v>
      </c>
      <c r="T11" s="768" t="s">
        <v>17</v>
      </c>
      <c r="U11" s="769">
        <f t="shared" si="1"/>
        <v>100</v>
      </c>
      <c r="V11" s="768" t="s">
        <v>17</v>
      </c>
      <c r="W11" s="769">
        <f t="shared" si="2"/>
        <v>100</v>
      </c>
      <c r="X11" s="770"/>
      <c r="Y11" s="3124"/>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4"/>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4"/>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4"/>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84" t="s">
        <v>2558</v>
      </c>
      <c r="Q15" s="1810" t="str">
        <f t="shared" si="6"/>
        <v>办公集聚程度</v>
      </c>
      <c r="R15" s="772" t="s">
        <v>17</v>
      </c>
      <c r="S15" s="773">
        <f t="shared" si="0"/>
        <v>100</v>
      </c>
      <c r="T15" s="772" t="s">
        <v>17</v>
      </c>
      <c r="U15" s="773">
        <f t="shared" si="1"/>
        <v>100</v>
      </c>
      <c r="V15" s="772" t="s">
        <v>17</v>
      </c>
      <c r="W15" s="773">
        <f t="shared" si="2"/>
        <v>100</v>
      </c>
      <c r="X15" s="1813"/>
      <c r="Y15" s="3286"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5"/>
      <c r="Q16" s="1810"/>
      <c r="R16" s="772"/>
      <c r="S16" s="773"/>
      <c r="T16" s="772"/>
      <c r="U16" s="773"/>
      <c r="V16" s="772"/>
      <c r="W16" s="773"/>
      <c r="X16" s="1813"/>
      <c r="Y16" s="3287"/>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85"/>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5"/>
      <c r="Q18" s="1810"/>
      <c r="R18" s="772"/>
      <c r="S18" s="773"/>
      <c r="T18" s="772"/>
      <c r="U18" s="773"/>
      <c r="V18" s="772"/>
      <c r="W18" s="773"/>
      <c r="X18" s="1813"/>
      <c r="Y18" s="3287"/>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85"/>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5"/>
      <c r="Q20" s="1810"/>
      <c r="R20" s="772"/>
      <c r="S20" s="773"/>
      <c r="T20" s="772"/>
      <c r="U20" s="773"/>
      <c r="V20" s="772"/>
      <c r="W20" s="773"/>
      <c r="X20" s="1813"/>
      <c r="Y20" s="3287"/>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5"/>
      <c r="Q22" s="1810"/>
      <c r="R22" s="772"/>
      <c r="S22" s="773"/>
      <c r="T22" s="772"/>
      <c r="U22" s="773"/>
      <c r="V22" s="772"/>
      <c r="W22" s="773"/>
      <c r="X22" s="1813"/>
      <c r="Y22" s="3287"/>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85"/>
      <c r="Q23" s="1810" t="str">
        <f>B23</f>
        <v>环境质量</v>
      </c>
      <c r="R23" s="772" t="s">
        <v>17</v>
      </c>
      <c r="S23" s="773">
        <f>F23</f>
        <v>100</v>
      </c>
      <c r="T23" s="772" t="s">
        <v>17</v>
      </c>
      <c r="U23" s="773">
        <f>H23</f>
        <v>100</v>
      </c>
      <c r="V23" s="772" t="s">
        <v>17</v>
      </c>
      <c r="W23" s="773">
        <f>J23</f>
        <v>100</v>
      </c>
      <c r="X23" s="1813"/>
      <c r="Y23" s="3287"/>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5"/>
      <c r="Q24" s="1810"/>
      <c r="R24" s="772"/>
      <c r="S24" s="773"/>
      <c r="T24" s="772"/>
      <c r="U24" s="773"/>
      <c r="V24" s="772"/>
      <c r="W24" s="773"/>
      <c r="X24" s="1813"/>
      <c r="Y24" s="3287"/>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5"/>
      <c r="Q25" s="1810" t="str">
        <f>B25</f>
        <v>毗邻道路的类型与等级</v>
      </c>
      <c r="R25" s="772" t="s">
        <v>17</v>
      </c>
      <c r="S25" s="773">
        <f>F25</f>
        <v>100</v>
      </c>
      <c r="T25" s="772" t="s">
        <v>17</v>
      </c>
      <c r="U25" s="773">
        <f>H25</f>
        <v>100</v>
      </c>
      <c r="V25" s="772" t="s">
        <v>17</v>
      </c>
      <c r="W25" s="773">
        <f>J25</f>
        <v>100</v>
      </c>
      <c r="X25" s="1813"/>
      <c r="Y25" s="3287"/>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285"/>
      <c r="Q26" s="1810"/>
      <c r="R26" s="772"/>
      <c r="S26" s="773"/>
      <c r="T26" s="772"/>
      <c r="U26" s="773"/>
      <c r="V26" s="772"/>
      <c r="W26" s="773"/>
      <c r="X26" s="1813"/>
      <c r="Y26" s="3287"/>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285"/>
      <c r="Q27" s="1810" t="str">
        <f t="shared" ref="Q27:Q47" si="11">B27</f>
        <v>楼层</v>
      </c>
      <c r="R27" s="772" t="s">
        <v>17</v>
      </c>
      <c r="S27" s="773">
        <f>F27</f>
        <v>98</v>
      </c>
      <c r="T27" s="772" t="s">
        <v>17</v>
      </c>
      <c r="U27" s="773">
        <f>H27</f>
        <v>96</v>
      </c>
      <c r="V27" s="772" t="s">
        <v>17</v>
      </c>
      <c r="W27" s="773">
        <f>J27</f>
        <v>98</v>
      </c>
      <c r="X27" s="1813"/>
      <c r="Y27" s="3287"/>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285"/>
      <c r="Q28" s="1795" t="str">
        <f t="shared" si="11"/>
        <v>朝向</v>
      </c>
      <c r="R28" s="768" t="s">
        <v>17</v>
      </c>
      <c r="S28" s="769">
        <f>F28</f>
        <v>100</v>
      </c>
      <c r="T28" s="768" t="s">
        <v>17</v>
      </c>
      <c r="U28" s="769">
        <f>H28</f>
        <v>100</v>
      </c>
      <c r="V28" s="768" t="s">
        <v>17</v>
      </c>
      <c r="W28" s="769">
        <f>J28</f>
        <v>100</v>
      </c>
      <c r="X28" s="770"/>
      <c r="Y28" s="3287"/>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5"/>
      <c r="Q29" s="1810">
        <f t="shared" si="11"/>
        <v>111</v>
      </c>
      <c r="R29" s="772" t="s">
        <v>17</v>
      </c>
      <c r="S29" s="773">
        <f t="shared" ref="S29:S47" si="12">F29</f>
        <v>100</v>
      </c>
      <c r="T29" s="772" t="s">
        <v>17</v>
      </c>
      <c r="U29" s="773">
        <f t="shared" ref="U29:U47" si="13">H29</f>
        <v>100</v>
      </c>
      <c r="V29" s="772" t="s">
        <v>17</v>
      </c>
      <c r="W29" s="773">
        <f t="shared" ref="W29:W47" si="14">J29</f>
        <v>100</v>
      </c>
      <c r="X29" s="1813"/>
      <c r="Y29" s="3287"/>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5"/>
      <c r="Q30" s="1810">
        <f t="shared" si="11"/>
        <v>111</v>
      </c>
      <c r="R30" s="772" t="s">
        <v>17</v>
      </c>
      <c r="S30" s="773">
        <f t="shared" si="12"/>
        <v>100</v>
      </c>
      <c r="T30" s="772" t="s">
        <v>17</v>
      </c>
      <c r="U30" s="773">
        <f t="shared" si="13"/>
        <v>100</v>
      </c>
      <c r="V30" s="772" t="s">
        <v>17</v>
      </c>
      <c r="W30" s="773">
        <f t="shared" si="14"/>
        <v>100</v>
      </c>
      <c r="X30" s="1813"/>
      <c r="Y30" s="3287"/>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5"/>
      <c r="Q31" s="1810">
        <f t="shared" si="11"/>
        <v>111</v>
      </c>
      <c r="R31" s="772" t="s">
        <v>17</v>
      </c>
      <c r="S31" s="773">
        <f t="shared" si="12"/>
        <v>100</v>
      </c>
      <c r="T31" s="772" t="s">
        <v>17</v>
      </c>
      <c r="U31" s="773">
        <f t="shared" si="13"/>
        <v>100</v>
      </c>
      <c r="V31" s="772" t="s">
        <v>17</v>
      </c>
      <c r="W31" s="773">
        <f t="shared" si="14"/>
        <v>100</v>
      </c>
      <c r="X31" s="1813"/>
      <c r="Y31" s="3287"/>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5"/>
      <c r="Q32" s="1810">
        <f t="shared" si="11"/>
        <v>111</v>
      </c>
      <c r="R32" s="772" t="s">
        <v>17</v>
      </c>
      <c r="S32" s="773">
        <f t="shared" si="12"/>
        <v>100</v>
      </c>
      <c r="T32" s="772" t="s">
        <v>17</v>
      </c>
      <c r="U32" s="773">
        <f t="shared" si="13"/>
        <v>100</v>
      </c>
      <c r="V32" s="772" t="s">
        <v>17</v>
      </c>
      <c r="W32" s="773">
        <f t="shared" si="14"/>
        <v>100</v>
      </c>
      <c r="X32" s="1813"/>
      <c r="Y32" s="3287"/>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288" t="s">
        <v>2563</v>
      </c>
      <c r="Q33" s="1810" t="str">
        <f t="shared" si="11"/>
        <v>建筑类型</v>
      </c>
      <c r="R33" s="772" t="s">
        <v>17</v>
      </c>
      <c r="S33" s="773">
        <f t="shared" si="12"/>
        <v>100</v>
      </c>
      <c r="T33" s="772" t="s">
        <v>17</v>
      </c>
      <c r="U33" s="773">
        <f t="shared" si="13"/>
        <v>100</v>
      </c>
      <c r="V33" s="772" t="s">
        <v>17</v>
      </c>
      <c r="W33" s="773">
        <f t="shared" si="14"/>
        <v>100</v>
      </c>
      <c r="X33" s="1813"/>
      <c r="Y33" s="3291"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9"/>
      <c r="Q34" s="774" t="str">
        <f t="shared" si="11"/>
        <v>项目建筑规模</v>
      </c>
      <c r="R34" s="775" t="s">
        <v>17</v>
      </c>
      <c r="S34" s="776">
        <f t="shared" si="12"/>
        <v>100</v>
      </c>
      <c r="T34" s="775" t="s">
        <v>17</v>
      </c>
      <c r="U34" s="776">
        <f t="shared" si="13"/>
        <v>100</v>
      </c>
      <c r="V34" s="775" t="s">
        <v>17</v>
      </c>
      <c r="W34" s="776">
        <f t="shared" si="14"/>
        <v>100</v>
      </c>
      <c r="X34" s="777"/>
      <c r="Y34" s="3291"/>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289"/>
      <c r="Q35" s="1810" t="str">
        <f t="shared" si="11"/>
        <v>建筑结构</v>
      </c>
      <c r="R35" s="772" t="s">
        <v>17</v>
      </c>
      <c r="S35" s="773">
        <f t="shared" si="12"/>
        <v>100</v>
      </c>
      <c r="T35" s="772" t="s">
        <v>17</v>
      </c>
      <c r="U35" s="773">
        <f t="shared" si="13"/>
        <v>100</v>
      </c>
      <c r="V35" s="772" t="s">
        <v>17</v>
      </c>
      <c r="W35" s="773">
        <f t="shared" si="14"/>
        <v>100</v>
      </c>
      <c r="X35" s="1813"/>
      <c r="Y35" s="3291"/>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289"/>
      <c r="Q36" s="1810" t="str">
        <f t="shared" si="11"/>
        <v>公共部分装修</v>
      </c>
      <c r="R36" s="772" t="s">
        <v>17</v>
      </c>
      <c r="S36" s="773">
        <f t="shared" si="12"/>
        <v>100</v>
      </c>
      <c r="T36" s="772" t="s">
        <v>17</v>
      </c>
      <c r="U36" s="773">
        <f t="shared" si="13"/>
        <v>100</v>
      </c>
      <c r="V36" s="772" t="s">
        <v>17</v>
      </c>
      <c r="W36" s="773">
        <f t="shared" si="14"/>
        <v>100</v>
      </c>
      <c r="X36" s="1813"/>
      <c r="Y36" s="3291"/>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9"/>
      <c r="Q37" s="1810" t="str">
        <f t="shared" si="11"/>
        <v>成新度</v>
      </c>
      <c r="R37" s="772" t="s">
        <v>17</v>
      </c>
      <c r="S37" s="773">
        <f t="shared" si="12"/>
        <v>100</v>
      </c>
      <c r="T37" s="772" t="s">
        <v>17</v>
      </c>
      <c r="U37" s="773">
        <f t="shared" si="13"/>
        <v>100</v>
      </c>
      <c r="V37" s="772" t="s">
        <v>17</v>
      </c>
      <c r="W37" s="773">
        <f t="shared" si="14"/>
        <v>100</v>
      </c>
      <c r="X37" s="1813"/>
      <c r="Y37" s="3291"/>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289"/>
      <c r="Q38" s="1795" t="str">
        <f t="shared" si="11"/>
        <v>写字楼等级</v>
      </c>
      <c r="R38" s="768" t="s">
        <v>17</v>
      </c>
      <c r="S38" s="769">
        <f t="shared" si="12"/>
        <v>100</v>
      </c>
      <c r="T38" s="768" t="s">
        <v>17</v>
      </c>
      <c r="U38" s="769">
        <f t="shared" si="13"/>
        <v>100</v>
      </c>
      <c r="V38" s="768" t="s">
        <v>17</v>
      </c>
      <c r="W38" s="769">
        <f t="shared" si="14"/>
        <v>100</v>
      </c>
      <c r="X38" s="770"/>
      <c r="Y38" s="3291"/>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289" t="s">
        <v>2563</v>
      </c>
      <c r="Q39" s="1810" t="str">
        <f t="shared" si="11"/>
        <v>物业管理</v>
      </c>
      <c r="R39" s="772" t="s">
        <v>17</v>
      </c>
      <c r="S39" s="773">
        <f t="shared" si="12"/>
        <v>100</v>
      </c>
      <c r="T39" s="772" t="s">
        <v>17</v>
      </c>
      <c r="U39" s="773">
        <f t="shared" si="13"/>
        <v>100</v>
      </c>
      <c r="V39" s="772" t="s">
        <v>17</v>
      </c>
      <c r="W39" s="773">
        <f t="shared" si="14"/>
        <v>100</v>
      </c>
      <c r="X39" s="1813"/>
      <c r="Y39" s="3291"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289"/>
      <c r="Q40" s="1810" t="str">
        <f t="shared" si="11"/>
        <v>市政基础设施</v>
      </c>
      <c r="R40" s="772" t="s">
        <v>17</v>
      </c>
      <c r="S40" s="773">
        <f t="shared" si="12"/>
        <v>100</v>
      </c>
      <c r="T40" s="772" t="s">
        <v>17</v>
      </c>
      <c r="U40" s="773">
        <f t="shared" si="13"/>
        <v>100</v>
      </c>
      <c r="V40" s="772" t="s">
        <v>17</v>
      </c>
      <c r="W40" s="773">
        <f t="shared" si="14"/>
        <v>100</v>
      </c>
      <c r="X40" s="1813"/>
      <c r="Y40" s="3291"/>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89"/>
      <c r="Q41" s="1810" t="str">
        <f t="shared" si="11"/>
        <v>层高</v>
      </c>
      <c r="R41" s="772" t="s">
        <v>17</v>
      </c>
      <c r="S41" s="773">
        <f t="shared" si="12"/>
        <v>100</v>
      </c>
      <c r="T41" s="772" t="s">
        <v>17</v>
      </c>
      <c r="U41" s="773">
        <f t="shared" si="13"/>
        <v>100</v>
      </c>
      <c r="V41" s="772" t="s">
        <v>17</v>
      </c>
      <c r="W41" s="773">
        <f t="shared" si="14"/>
        <v>100</v>
      </c>
      <c r="X41" s="1813"/>
      <c r="Y41" s="3291"/>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3180</v>
      </c>
      <c r="F42" s="461">
        <f>SUMIF(121:121,E42,122:122)-SUMIF(121:121,C42,122:122)+100</f>
        <v>91</v>
      </c>
      <c r="G42" s="434" t="s">
        <v>3177</v>
      </c>
      <c r="H42" s="435">
        <f>SUMIF(121:121,G42,122:122)-SUMIF(121:121,C42,122:122)+100</f>
        <v>94</v>
      </c>
      <c r="I42" s="434" t="s">
        <v>3103</v>
      </c>
      <c r="J42" s="435">
        <f>SUMIF(121:121,I42,122:122)-SUMIF(121:121,C42,122:122)+100</f>
        <v>100</v>
      </c>
      <c r="K42" s="613"/>
      <c r="L42" s="1139"/>
      <c r="M42" s="1142"/>
      <c r="N42" s="1142"/>
      <c r="O42" s="1142"/>
      <c r="P42" s="3289"/>
      <c r="Q42" s="774" t="str">
        <f t="shared" si="11"/>
        <v>单套建筑面积</v>
      </c>
      <c r="R42" s="775" t="s">
        <v>17</v>
      </c>
      <c r="S42" s="776">
        <f t="shared" si="12"/>
        <v>91</v>
      </c>
      <c r="T42" s="775" t="s">
        <v>17</v>
      </c>
      <c r="U42" s="776">
        <f t="shared" si="13"/>
        <v>94</v>
      </c>
      <c r="V42" s="775" t="s">
        <v>17</v>
      </c>
      <c r="W42" s="776">
        <f t="shared" si="14"/>
        <v>100</v>
      </c>
      <c r="X42" s="777"/>
      <c r="Y42" s="3291"/>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289"/>
      <c r="Q43" s="1810" t="str">
        <f t="shared" si="11"/>
        <v>内部装修</v>
      </c>
      <c r="R43" s="772" t="s">
        <v>17</v>
      </c>
      <c r="S43" s="773">
        <f t="shared" si="12"/>
        <v>100</v>
      </c>
      <c r="T43" s="772" t="s">
        <v>17</v>
      </c>
      <c r="U43" s="773">
        <f t="shared" si="13"/>
        <v>100</v>
      </c>
      <c r="V43" s="772" t="s">
        <v>17</v>
      </c>
      <c r="W43" s="773">
        <f t="shared" si="14"/>
        <v>100</v>
      </c>
      <c r="X43" s="1813"/>
      <c r="Y43" s="3291"/>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289"/>
      <c r="Q44" s="1810" t="str">
        <f t="shared" si="11"/>
        <v>内部装修维护情况</v>
      </c>
      <c r="R44" s="772" t="s">
        <v>17</v>
      </c>
      <c r="S44" s="773">
        <f t="shared" si="12"/>
        <v>100</v>
      </c>
      <c r="T44" s="772" t="s">
        <v>17</v>
      </c>
      <c r="U44" s="773">
        <f t="shared" si="13"/>
        <v>100</v>
      </c>
      <c r="V44" s="772" t="s">
        <v>17</v>
      </c>
      <c r="W44" s="773">
        <f t="shared" si="14"/>
        <v>100</v>
      </c>
      <c r="X44" s="1813"/>
      <c r="Y44" s="3291"/>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9"/>
      <c r="Q45" s="1795">
        <f t="shared" si="11"/>
        <v>111</v>
      </c>
      <c r="R45" s="768" t="s">
        <v>17</v>
      </c>
      <c r="S45" s="769">
        <f t="shared" si="12"/>
        <v>100</v>
      </c>
      <c r="T45" s="768" t="s">
        <v>17</v>
      </c>
      <c r="U45" s="769">
        <f t="shared" si="13"/>
        <v>100</v>
      </c>
      <c r="V45" s="768" t="s">
        <v>17</v>
      </c>
      <c r="W45" s="769">
        <f t="shared" si="14"/>
        <v>100</v>
      </c>
      <c r="X45" s="770"/>
      <c r="Y45" s="3291"/>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9"/>
      <c r="Q46" s="1810">
        <f t="shared" si="11"/>
        <v>111</v>
      </c>
      <c r="R46" s="772" t="s">
        <v>17</v>
      </c>
      <c r="S46" s="773">
        <f t="shared" si="12"/>
        <v>100</v>
      </c>
      <c r="T46" s="772" t="s">
        <v>17</v>
      </c>
      <c r="U46" s="773">
        <f t="shared" si="13"/>
        <v>100</v>
      </c>
      <c r="V46" s="772" t="s">
        <v>17</v>
      </c>
      <c r="W46" s="773">
        <f t="shared" si="14"/>
        <v>100</v>
      </c>
      <c r="X46" s="1813"/>
      <c r="Y46" s="3291"/>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90"/>
      <c r="Q47" s="1810">
        <f t="shared" si="11"/>
        <v>111</v>
      </c>
      <c r="R47" s="772" t="s">
        <v>17</v>
      </c>
      <c r="S47" s="773">
        <f t="shared" si="12"/>
        <v>100</v>
      </c>
      <c r="T47" s="772" t="s">
        <v>17</v>
      </c>
      <c r="U47" s="773">
        <f t="shared" si="13"/>
        <v>100</v>
      </c>
      <c r="V47" s="772" t="s">
        <v>17</v>
      </c>
      <c r="W47" s="773">
        <f t="shared" si="14"/>
        <v>100</v>
      </c>
      <c r="X47" s="1813"/>
      <c r="Y47" s="3292"/>
      <c r="Z47" s="1814">
        <f t="shared" si="15"/>
        <v>111</v>
      </c>
      <c r="AA47" s="1811">
        <f t="shared" si="3"/>
        <v>1</v>
      </c>
      <c r="AB47" s="1811">
        <f t="shared" si="4"/>
        <v>1</v>
      </c>
      <c r="AC47" s="2672">
        <f t="shared" si="5"/>
        <v>1</v>
      </c>
    </row>
    <row r="48" spans="1:29" ht="15">
      <c r="A48" s="479" t="s">
        <v>2575</v>
      </c>
      <c r="B48" s="480"/>
      <c r="C48" s="1407" t="s">
        <v>1</v>
      </c>
      <c r="D48" s="1408"/>
      <c r="E48" s="1409">
        <v>50500</v>
      </c>
      <c r="F48" s="1410"/>
      <c r="G48" s="1411">
        <v>59000</v>
      </c>
      <c r="H48" s="1412"/>
      <c r="I48" s="1409">
        <v>55000</v>
      </c>
      <c r="J48" s="485"/>
      <c r="K48" s="781"/>
      <c r="L48" s="1144"/>
      <c r="M48" s="1132"/>
      <c r="N48" s="1132"/>
      <c r="O48" s="1132"/>
      <c r="P48" s="3264" t="str">
        <f>A48</f>
        <v>成交单价（元/平方米）</v>
      </c>
      <c r="Q48" s="3293"/>
      <c r="R48" s="3294">
        <f>E48</f>
        <v>50500</v>
      </c>
      <c r="S48" s="3294"/>
      <c r="T48" s="3294">
        <f>G48</f>
        <v>59000</v>
      </c>
      <c r="U48" s="3294"/>
      <c r="V48" s="3294">
        <f>I48</f>
        <v>55000</v>
      </c>
      <c r="W48" s="3294"/>
      <c r="X48" s="446"/>
      <c r="Y48" s="779"/>
      <c r="Z48" s="446"/>
      <c r="AA48" s="446"/>
      <c r="AB48" s="446"/>
      <c r="AC48" s="630"/>
    </row>
    <row r="49" spans="1:29" ht="15.75" thickBot="1">
      <c r="A49" s="486" t="s">
        <v>2667</v>
      </c>
      <c r="B49" s="487"/>
      <c r="C49" s="1413">
        <f>R50</f>
        <v>58976</v>
      </c>
      <c r="D49" s="1414"/>
      <c r="E49" s="1415">
        <f>R49</f>
        <v>56627</v>
      </c>
      <c r="F49" s="1415"/>
      <c r="G49" s="1413">
        <f>T49</f>
        <v>64734</v>
      </c>
      <c r="H49" s="1414"/>
      <c r="I49" s="1415">
        <f>V49</f>
        <v>55567</v>
      </c>
      <c r="J49" s="489"/>
      <c r="K49" s="782"/>
      <c r="L49" s="1144"/>
      <c r="M49" s="1132"/>
      <c r="N49" s="1132"/>
      <c r="O49" s="1132"/>
      <c r="P49" s="3264" t="str">
        <f>A49</f>
        <v>比较价值（元/平方米）</v>
      </c>
      <c r="Q49" s="3293"/>
      <c r="R49" s="3294">
        <f>IF(F1="售价",ROUND(PRODUCT(R48,AA7:AA47),0),ROUND(PRODUCT(R48,AA7:AA47),1))</f>
        <v>56627</v>
      </c>
      <c r="S49" s="3294"/>
      <c r="T49" s="3294">
        <f>IF(F1="售价",ROUND(PRODUCT(T48,AB7:AB47),0),ROUND(PRODUCT(T48,AB7:AB47),1))</f>
        <v>64734</v>
      </c>
      <c r="U49" s="3294"/>
      <c r="V49" s="3294">
        <f>IF(F1="售价",ROUND(PRODUCT(V48,AC7:AC47),0),ROUND(PRODUCT(V48,AC7:AC47),1))</f>
        <v>55567</v>
      </c>
      <c r="W49" s="3294"/>
      <c r="X49" s="446"/>
      <c r="Y49" s="446"/>
      <c r="Z49" s="446"/>
      <c r="AA49" s="446"/>
      <c r="AB49" s="446"/>
      <c r="AC49" s="630"/>
    </row>
    <row r="50" spans="1:29" ht="15.75" thickBot="1">
      <c r="A50" s="492" t="s">
        <v>2668</v>
      </c>
      <c r="B50" s="493"/>
      <c r="C50" s="1417">
        <f>R50</f>
        <v>58976</v>
      </c>
      <c r="D50" s="1417"/>
      <c r="E50" s="1417"/>
      <c r="F50" s="1417"/>
      <c r="G50" s="1417"/>
      <c r="H50" s="1417"/>
      <c r="I50" s="1417"/>
      <c r="J50" s="494"/>
      <c r="K50" s="783"/>
      <c r="L50" s="1144"/>
      <c r="M50" s="1132"/>
      <c r="N50" s="1132"/>
      <c r="O50" s="1132"/>
      <c r="P50" s="3295" t="str">
        <f>A50</f>
        <v>估价对象XX用房的比较价值（楼面单价，元/平方米）</v>
      </c>
      <c r="Q50" s="3296"/>
      <c r="R50" s="3297">
        <f>IF(F1="售价",ROUND(AVERAGE(R49:V49),0),ROUND(AVERAGE(R49:V49),1))</f>
        <v>58976</v>
      </c>
      <c r="S50" s="3297"/>
      <c r="T50" s="3297"/>
      <c r="U50" s="3297"/>
      <c r="V50" s="3297"/>
      <c r="W50" s="329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0.12132673267326743</v>
      </c>
      <c r="F53" s="500" t="str">
        <f>IF(OR(E53&gt;=0.3,E53&lt;=-0.3),"超过30%","")</f>
        <v/>
      </c>
      <c r="G53" s="499">
        <f>IF(G48&lt;G49,G49/G48-1,G48/G49-1)</f>
        <v>9.7186440677966113E-2</v>
      </c>
      <c r="H53" s="500" t="str">
        <f>IF(OR(G53&gt;=0.3,G53&lt;=-0.3),"超过30%","")</f>
        <v/>
      </c>
      <c r="I53" s="499">
        <f>IF(I48&lt;I49,I49/I48-1,I48/I49-1)</f>
        <v>1.0309090909090823E-2</v>
      </c>
      <c r="J53" s="500" t="str">
        <f>IF(OR(I53&gt;=0.3,I53&lt;=-0.3),"超过30%","")</f>
        <v/>
      </c>
      <c r="K53" s="1106"/>
      <c r="L53" s="1107"/>
      <c r="M53" s="1145"/>
      <c r="N53" s="1145"/>
      <c r="O53" s="1145"/>
    </row>
    <row r="54" spans="1:29" ht="13.5" customHeight="1">
      <c r="A54" s="1145"/>
      <c r="B54" s="1145"/>
      <c r="C54" s="497" t="s">
        <v>2670</v>
      </c>
      <c r="D54" s="501"/>
      <c r="E54" s="499">
        <f>IF(E49&lt;G49,G49/E49-1,E49/G49-1)</f>
        <v>0.14316492132728209</v>
      </c>
      <c r="F54" s="500" t="str">
        <f>IF(OR(E54&gt;=0.2,E54&lt;=-0.2),"超过20%","")</f>
        <v/>
      </c>
      <c r="G54" s="499">
        <f>IF(G49&lt;I49,I49/G49-1,G49/I49-1)</f>
        <v>0.16497201576475251</v>
      </c>
      <c r="H54" s="500" t="str">
        <f>IF(OR(G54&gt;=0.2,G54&lt;=-0.2),"超过20%","")</f>
        <v/>
      </c>
      <c r="I54" s="499">
        <f>IF(I49&lt;E49,E49/I49-1,I49/E49-1)</f>
        <v>1.9076070329512085E-2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0.16831683168316824</v>
      </c>
      <c r="F55" s="500" t="str">
        <f>IF(OR(E55&gt;=0.3,E55&lt;=-0.3),"超过30%","")</f>
        <v/>
      </c>
      <c r="G55" s="499">
        <f>IF(G48&lt;I48,I48/G48-1,G48/I48-1)</f>
        <v>7.2727272727272751E-2</v>
      </c>
      <c r="H55" s="500" t="str">
        <f>IF(OR(G55&gt;=0.3,G55&lt;=-0.3),"超过30%","")</f>
        <v/>
      </c>
      <c r="I55" s="499">
        <f>IF(I48&lt;E48,E48/I48-1,I48/E48-1)</f>
        <v>8.9108910891089188E-2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0（含）-0</v>
      </c>
      <c r="D68" s="547" t="str">
        <f t="shared" ref="D68:L68" si="17">D69&amp;"（含）"&amp;"-"&amp;E69</f>
        <v>0（含）-0</v>
      </c>
      <c r="E68" s="547" t="str">
        <f t="shared" si="17"/>
        <v>0（含）-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v>0</v>
      </c>
      <c r="E69" s="549">
        <v>0</v>
      </c>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0</v>
      </c>
      <c r="D105" s="536">
        <v>0</v>
      </c>
      <c r="E105" s="536">
        <v>0</v>
      </c>
      <c r="F105" s="536">
        <v>0</v>
      </c>
      <c r="G105" s="536">
        <v>0</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3176</v>
      </c>
      <c r="G121" s="555" t="s">
        <v>3175</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K41" sqref="K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36.35</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1865</v>
      </c>
      <c r="C2" s="1845" t="s">
        <v>1515</v>
      </c>
      <c r="D2" s="1845"/>
      <c r="E2" s="1846"/>
      <c r="F2" s="1847"/>
      <c r="G2" s="1848"/>
      <c r="H2" s="1840"/>
      <c r="I2" s="1840"/>
      <c r="J2" s="1840"/>
      <c r="K2" s="1841"/>
      <c r="L2" s="1840"/>
      <c r="M2" s="1840"/>
    </row>
    <row r="3" spans="1:37" ht="18" customHeight="1" thickBot="1">
      <c r="A3" s="1849" t="s">
        <v>1516</v>
      </c>
      <c r="B3" s="1850">
        <f ca="1">IF(ISERROR(B2*10000/F43),0,ROUND(B2*10000/F43,0))</f>
        <v>58683</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300" t="s">
        <v>1403</v>
      </c>
      <c r="C6" s="1296">
        <f ca="1">ROUND(F6*F8*F7*(1-F9)/10000,0)</f>
        <v>91</v>
      </c>
      <c r="D6" s="164" t="s">
        <v>3030</v>
      </c>
      <c r="E6" s="347" t="s">
        <v>1405</v>
      </c>
      <c r="F6" s="348">
        <f ca="1">INDIRECT("'数据-取费表'!u"&amp;$G$1)</f>
        <v>8.6999999999999993</v>
      </c>
      <c r="G6" s="1851"/>
      <c r="H6" s="1291" t="s">
        <v>1035</v>
      </c>
      <c r="I6" s="3300" t="s">
        <v>1403</v>
      </c>
      <c r="J6" s="346">
        <f ca="1">ROUND(M6*M8*M7*(1-M9)/10000,0)</f>
        <v>0</v>
      </c>
      <c r="K6" s="164" t="s">
        <v>3029</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317.81</v>
      </c>
      <c r="G7" s="1851"/>
      <c r="H7" s="349"/>
      <c r="I7" s="3301"/>
      <c r="J7" s="351"/>
      <c r="K7" s="352"/>
      <c r="L7" s="347" t="s">
        <v>1406</v>
      </c>
      <c r="M7" s="348">
        <f ca="1">F7</f>
        <v>317.81</v>
      </c>
    </row>
    <row r="8" spans="1:37" ht="18" customHeight="1">
      <c r="A8" s="349"/>
      <c r="B8" s="3301"/>
      <c r="C8" s="351"/>
      <c r="D8" s="352"/>
      <c r="E8" s="347" t="s">
        <v>1407</v>
      </c>
      <c r="F8" s="348">
        <f ca="1">INDIRECT("'数据-取费表'!ai"&amp;$G$1)</f>
        <v>365</v>
      </c>
      <c r="G8" s="1851"/>
      <c r="H8" s="349"/>
      <c r="I8" s="3301"/>
      <c r="J8" s="351"/>
      <c r="K8" s="352"/>
      <c r="L8" s="347" t="s">
        <v>1407</v>
      </c>
      <c r="M8" s="348">
        <f ca="1">INDIRECT("'数据-取费表'!ai"&amp;$G$1)</f>
        <v>365</v>
      </c>
    </row>
    <row r="9" spans="1:37" ht="18" customHeight="1">
      <c r="A9" s="349"/>
      <c r="B9" s="3302"/>
      <c r="C9" s="351"/>
      <c r="D9" s="352"/>
      <c r="E9" s="347" t="s">
        <v>1408</v>
      </c>
      <c r="F9" s="357">
        <f ca="1">INDIRECT("'数据-取费表'!w"&amp;$G$1)</f>
        <v>0.1</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133</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0.93333333333333335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2.8</v>
      </c>
      <c r="K22" s="1798" t="s">
        <v>1449</v>
      </c>
      <c r="L22" s="347" t="s">
        <v>1421</v>
      </c>
      <c r="M22" s="374">
        <f ca="1">INDIRECT("'数据-取费表'!Ak"&amp;$G$1)</f>
        <v>0.02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0.3</v>
      </c>
      <c r="K23" s="1798" t="s">
        <v>1453</v>
      </c>
      <c r="L23" s="347" t="s">
        <v>1454</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-4</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11</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1184" t="s">
        <v>3194</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2.8</v>
      </c>
      <c r="D36" s="1798" t="s">
        <v>1481</v>
      </c>
      <c r="E36" s="347" t="s">
        <v>1421</v>
      </c>
      <c r="F36" s="374">
        <f ca="1">INDIRECT("'数据-取费表'!Ak"&amp;$G$1)</f>
        <v>0.02</v>
      </c>
      <c r="G36" s="1851"/>
      <c r="H36" s="1859"/>
      <c r="I36" s="1860"/>
      <c r="J36" s="1861"/>
      <c r="K36" s="749"/>
      <c r="L36" s="1859"/>
      <c r="M36" s="1859"/>
    </row>
    <row r="37" spans="1:18" ht="18" customHeight="1">
      <c r="A37" s="1202" t="s">
        <v>1075</v>
      </c>
      <c r="B37" s="347" t="s">
        <v>1452</v>
      </c>
      <c r="C37" s="24">
        <f ca="1">ROUND(C13*F37,1)</f>
        <v>0.3</v>
      </c>
      <c r="D37" s="1798" t="s">
        <v>1453</v>
      </c>
      <c r="E37" s="347" t="s">
        <v>1454</v>
      </c>
      <c r="F37" s="376">
        <f ca="1">INDIRECT("'数据-取费表'!Al"&amp;$G$1)</f>
        <v>2E-3</v>
      </c>
      <c r="G37" s="1851"/>
      <c r="H37" s="1859"/>
      <c r="I37" s="1860"/>
      <c r="J37" s="1861"/>
      <c r="K37" s="749"/>
      <c r="L37" s="1859"/>
      <c r="M37" s="1859"/>
    </row>
    <row r="38" spans="1:18" ht="18" customHeight="1" thickBot="1">
      <c r="A38" s="1339" t="s">
        <v>1393</v>
      </c>
      <c r="B38" s="1340" t="s">
        <v>1438</v>
      </c>
      <c r="C38" s="1341">
        <f ca="1">ROUND(C5*F38,1)</f>
        <v>1.8</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80</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1862</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36.35</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58588</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-1924</v>
      </c>
      <c r="D46" s="1872" t="str">
        <f>C2</f>
        <v>万元</v>
      </c>
      <c r="E46" s="1866"/>
      <c r="F46" s="1866"/>
      <c r="I46" s="1873" t="s">
        <v>1520</v>
      </c>
      <c r="J46" s="1874"/>
      <c r="K46" s="1875"/>
      <c r="L46" s="1876">
        <f ca="1">IF(M47="住宅",0,IF(L48&gt;J51,L60,J60))</f>
        <v>3</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1862</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36.35</v>
      </c>
      <c r="O48" s="1884" t="s">
        <v>1041</v>
      </c>
      <c r="P48" s="1885" t="s">
        <v>1531</v>
      </c>
      <c r="Q48" s="1886">
        <f ca="1">J60</f>
        <v>3</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1127</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36.35</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36.35</v>
      </c>
      <c r="K53" s="3298" t="s">
        <v>1547</v>
      </c>
      <c r="L53" s="3299"/>
      <c r="O53" s="1884" t="s">
        <v>1046</v>
      </c>
      <c r="P53" s="1885" t="s">
        <v>1548</v>
      </c>
      <c r="Q53" s="1886">
        <f ca="1">Q47+Q48</f>
        <v>1865</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f ca="1">ROUND(IF(J47="钢混",J57/J50,1-(1-2%)*(J50-J57)/J50),3)</f>
        <v>0.32800000000000001</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3080</v>
      </c>
      <c r="K56" s="1887" t="s">
        <v>1554</v>
      </c>
      <c r="L56" s="1890" t="str">
        <f ca="1">IF(L48&lt;J51,"——",L48-J53)</f>
        <v>——</v>
      </c>
      <c r="O56" s="1884" t="s">
        <v>1040</v>
      </c>
      <c r="P56" s="1885" t="s">
        <v>1527</v>
      </c>
      <c r="Q56" s="1886">
        <f ca="1">C40+J29</f>
        <v>1862</v>
      </c>
      <c r="R56" s="1886" t="s">
        <v>1528</v>
      </c>
    </row>
    <row r="57" spans="1:18" s="1842" customFormat="1" ht="24.75" thickBot="1">
      <c r="A57" s="1918"/>
      <c r="B57" s="1170" t="s">
        <v>1477</v>
      </c>
      <c r="C57" s="282">
        <f ca="1">C29</f>
        <v>142</v>
      </c>
      <c r="D57" s="1919"/>
      <c r="E57" s="1920"/>
      <c r="F57" s="1921"/>
      <c r="I57" s="1922" t="s">
        <v>1555</v>
      </c>
      <c r="J57" s="1923">
        <f ca="1">IF(OR(M47="住宅",J51&lt;L48,J56="是"),"——",J51-L48)</f>
        <v>19.649999999999999</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4</v>
      </c>
      <c r="D58" s="1180" t="s">
        <v>1424</v>
      </c>
      <c r="E58" s="1181"/>
      <c r="F58" s="1182"/>
      <c r="I58" s="1922" t="s">
        <v>1559</v>
      </c>
      <c r="J58" s="1924">
        <f ca="1">IF(J55&lt;0.4,0.4,J55)</f>
        <v>0.4</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f ca="1">IF(OR(M47="住宅",J51&lt;L48,J56="是"),"——",ROUND(C29*J58,0))</f>
        <v>57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f ca="1">IF(OR(M47="住宅",J51&lt;L48,J56="是"),"0",ROUND(J59/(1+J52)^J53,0))</f>
        <v>3</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1862</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2.8</v>
      </c>
      <c r="D64" s="1184" t="s">
        <v>1501</v>
      </c>
      <c r="E64" s="1170" t="s">
        <v>1493</v>
      </c>
      <c r="F64" s="374">
        <f t="shared" ca="1" si="0"/>
        <v>0.02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0.3</v>
      </c>
      <c r="D65" s="1184" t="s">
        <v>1453</v>
      </c>
      <c r="E65" s="1170" t="s">
        <v>1454</v>
      </c>
      <c r="F65" s="376">
        <f t="shared" ca="1" si="0"/>
        <v>2E-3</v>
      </c>
      <c r="I65" s="1929" t="s">
        <v>1578</v>
      </c>
      <c r="J65" s="1930">
        <v>40</v>
      </c>
      <c r="K65" s="1930">
        <v>30</v>
      </c>
      <c r="L65" s="1930">
        <v>50</v>
      </c>
      <c r="M65" s="1932">
        <v>0.02</v>
      </c>
      <c r="O65" s="1884" t="s">
        <v>1040</v>
      </c>
      <c r="P65" s="1885" t="s">
        <v>1579</v>
      </c>
      <c r="Q65" s="1886">
        <f ca="1">C40+J29</f>
        <v>1862</v>
      </c>
      <c r="R65" s="1886" t="s">
        <v>1528</v>
      </c>
    </row>
    <row r="66" spans="1:18" s="1842" customFormat="1" ht="16.5" thickBot="1">
      <c r="A66" s="1202" t="s">
        <v>1503</v>
      </c>
      <c r="B66" s="1170" t="s">
        <v>1438</v>
      </c>
      <c r="C66" s="24">
        <f ca="1">ROUND(C48*F66,1)</f>
        <v>0</v>
      </c>
      <c r="D66" s="1184" t="s">
        <v>1504</v>
      </c>
      <c r="E66" s="1170" t="s">
        <v>1421</v>
      </c>
      <c r="F66" s="357">
        <f t="shared" ca="1" si="0"/>
        <v>0.02</v>
      </c>
      <c r="O66" s="1884" t="s">
        <v>1041</v>
      </c>
      <c r="P66" s="1885" t="s">
        <v>1557</v>
      </c>
      <c r="Q66" s="1886">
        <f ca="1">L60</f>
        <v>0</v>
      </c>
      <c r="R66" s="1886" t="s">
        <v>1580</v>
      </c>
    </row>
    <row r="67" spans="1:18" s="1842" customFormat="1" ht="16.5" thickBot="1">
      <c r="A67" s="1177" t="s">
        <v>1031</v>
      </c>
      <c r="B67" s="1187" t="s">
        <v>1462</v>
      </c>
      <c r="C67" s="361">
        <f ca="1">C48-C58</f>
        <v>-4</v>
      </c>
      <c r="D67" s="1183" t="s">
        <v>1463</v>
      </c>
      <c r="E67" s="1188"/>
      <c r="F67" s="1189"/>
      <c r="O67" s="1894" t="s">
        <v>1042</v>
      </c>
      <c r="P67" s="1885" t="s">
        <v>1561</v>
      </c>
      <c r="Q67" s="1933">
        <f ca="1">L51</f>
        <v>1127</v>
      </c>
      <c r="R67" s="1886" t="s">
        <v>1581</v>
      </c>
    </row>
    <row r="68" spans="1:18" s="1842" customFormat="1" ht="16.5" thickBot="1">
      <c r="A68" s="1167" t="s">
        <v>1032</v>
      </c>
      <c r="B68" s="1168" t="s">
        <v>1484</v>
      </c>
      <c r="C68" s="346">
        <f ca="1">ROUND(C67*(1-((1+F70)/(1+F68))^F69)/(F68-F70),0)</f>
        <v>-62</v>
      </c>
      <c r="D68" s="1185" t="s">
        <v>1468</v>
      </c>
      <c r="E68" s="1170" t="s">
        <v>1469</v>
      </c>
      <c r="F68" s="357">
        <f ca="1">F40</f>
        <v>5.5E-2</v>
      </c>
      <c r="O68" s="1894" t="s">
        <v>1043</v>
      </c>
      <c r="P68" s="1934" t="s">
        <v>1582</v>
      </c>
      <c r="Q68" s="1886">
        <f ca="1">ROUND(Q69-Q70*Q71,0)</f>
        <v>68</v>
      </c>
      <c r="R68" s="1886" t="s">
        <v>1051</v>
      </c>
    </row>
    <row r="69" spans="1:18" s="1842" customFormat="1" ht="13.5" thickBot="1">
      <c r="A69" s="1171"/>
      <c r="B69" s="1172"/>
      <c r="C69" s="351"/>
      <c r="D69" s="1190" t="s">
        <v>1472</v>
      </c>
      <c r="E69" s="1170" t="s">
        <v>1473</v>
      </c>
      <c r="F69" s="379">
        <f ca="1">F41</f>
        <v>36.35</v>
      </c>
      <c r="O69" s="1894" t="s">
        <v>1048</v>
      </c>
      <c r="P69" s="1934" t="s">
        <v>1583</v>
      </c>
      <c r="Q69" s="1886">
        <f ca="1">C39</f>
        <v>80</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-1951</v>
      </c>
      <c r="D71" s="1193" t="s">
        <v>1487</v>
      </c>
      <c r="E71" s="1194" t="s">
        <v>1488</v>
      </c>
      <c r="F71" s="385">
        <f ca="1">F43</f>
        <v>317.81</v>
      </c>
      <c r="O71" s="1894" t="s">
        <v>1050</v>
      </c>
      <c r="P71" s="1934" t="s">
        <v>1585</v>
      </c>
      <c r="Q71" s="1897">
        <f ca="1">C76</f>
        <v>0.09</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12</v>
      </c>
      <c r="D75" s="1842"/>
      <c r="E75" s="1842"/>
      <c r="F75" s="1842"/>
      <c r="K75" s="1868"/>
      <c r="L75" s="1842"/>
      <c r="O75" s="1884" t="s">
        <v>1046</v>
      </c>
      <c r="P75" s="1885" t="s">
        <v>1548</v>
      </c>
      <c r="Q75" s="1886">
        <f ca="1">Q65+Q66</f>
        <v>1862</v>
      </c>
      <c r="R75" s="1886" t="s">
        <v>1047</v>
      </c>
    </row>
    <row r="76" spans="1:18">
      <c r="B76" s="388" t="s">
        <v>1506</v>
      </c>
      <c r="C76" s="389">
        <f ca="1">INDIRECT("'数据-取费表'!j"&amp;$G$1)</f>
        <v>0.09</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0.85</v>
      </c>
    </row>
    <row r="80" spans="1:18">
      <c r="B80" s="386" t="s">
        <v>1510</v>
      </c>
      <c r="C80" s="318">
        <f ca="1">ROUND(C75/C39,3)</f>
        <v>0.15</v>
      </c>
    </row>
    <row r="81" spans="2:3">
      <c r="B81" s="314" t="s">
        <v>1511</v>
      </c>
      <c r="C81" s="282"/>
    </row>
    <row r="82" spans="2:3">
      <c r="B82" s="317" t="s">
        <v>1512</v>
      </c>
      <c r="C82" s="319">
        <f ca="1">1-C83</f>
        <v>0.92700000000000005</v>
      </c>
    </row>
    <row r="83" spans="2:3">
      <c r="B83" s="317" t="s">
        <v>1513</v>
      </c>
      <c r="C83" s="318">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300" t="s">
        <v>1403</v>
      </c>
      <c r="C6" s="1296">
        <f ca="1">ROUND(F6*F8*F7*(1-F9),0)</f>
        <v>0</v>
      </c>
      <c r="D6" s="164" t="s">
        <v>3027</v>
      </c>
      <c r="E6" s="347" t="s">
        <v>1405</v>
      </c>
      <c r="F6" s="348">
        <f ca="1">INDIRECT("'数据-取费表'!u"&amp;$G$1)</f>
        <v>0</v>
      </c>
      <c r="G6" s="1851"/>
      <c r="H6" s="1291" t="s">
        <v>1035</v>
      </c>
      <c r="I6" s="3300" t="s">
        <v>1403</v>
      </c>
      <c r="J6" s="346">
        <f ca="1">ROUND(M6*M8*M7*(1-M9),0)</f>
        <v>0</v>
      </c>
      <c r="K6" s="1834" t="s">
        <v>3028</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0</v>
      </c>
      <c r="G7" s="1851"/>
      <c r="H7" s="349"/>
      <c r="I7" s="3301"/>
      <c r="J7" s="351"/>
      <c r="K7" s="352"/>
      <c r="L7" s="347" t="s">
        <v>1406</v>
      </c>
      <c r="M7" s="348">
        <f ca="1">F7</f>
        <v>0</v>
      </c>
    </row>
    <row r="8" spans="1:37" ht="18" customHeight="1">
      <c r="A8" s="349"/>
      <c r="B8" s="3301"/>
      <c r="C8" s="351"/>
      <c r="D8" s="352"/>
      <c r="E8" s="347" t="s">
        <v>1407</v>
      </c>
      <c r="F8" s="348">
        <f ca="1">INDIRECT("'数据-取费表'!ai"&amp;$G$1)</f>
        <v>0</v>
      </c>
      <c r="G8" s="1851"/>
      <c r="H8" s="349"/>
      <c r="I8" s="3301"/>
      <c r="J8" s="351"/>
      <c r="K8" s="352"/>
      <c r="L8" s="347" t="s">
        <v>1407</v>
      </c>
      <c r="M8" s="348">
        <f ca="1">INDIRECT("'数据-取费表'!ai"&amp;$G$1)</f>
        <v>0</v>
      </c>
    </row>
    <row r="9" spans="1:37" ht="18" customHeight="1">
      <c r="A9" s="349"/>
      <c r="B9" s="3302"/>
      <c r="C9" s="351"/>
      <c r="D9" s="352"/>
      <c r="E9" s="347" t="s">
        <v>1408</v>
      </c>
      <c r="F9" s="357">
        <f ca="1">INDIRECT("'数据-取费表'!w"&amp;$G$1)</f>
        <v>0</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98" t="s">
        <v>1547</v>
      </c>
      <c r="L53" s="3299"/>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1865</v>
      </c>
      <c r="C2" s="2564" t="s">
        <v>2517</v>
      </c>
      <c r="D2" s="2565" t="s">
        <v>2518</v>
      </c>
      <c r="E2" s="2566">
        <f>SUM(E6:E13)</f>
        <v>317.81</v>
      </c>
    </row>
    <row r="3" spans="1:6" ht="15.75">
      <c r="A3" s="2562" t="s">
        <v>1395</v>
      </c>
      <c r="B3" s="2563">
        <f ca="1">ROUND(B2*10000/E2,0)</f>
        <v>58683</v>
      </c>
      <c r="C3" s="2564" t="s">
        <v>2525</v>
      </c>
      <c r="D3" s="2567"/>
      <c r="E3" s="2568"/>
    </row>
    <row r="4" spans="1:6" ht="15.75">
      <c r="A4" s="2569"/>
      <c r="B4" s="2567"/>
      <c r="C4" s="2567"/>
      <c r="D4" s="2567"/>
      <c r="E4" s="2568"/>
    </row>
    <row r="5" spans="1:6" ht="15">
      <c r="A5" s="2570" t="s">
        <v>2519</v>
      </c>
      <c r="B5" s="3303" t="s">
        <v>2520</v>
      </c>
      <c r="C5" s="3303"/>
      <c r="D5" s="2571"/>
      <c r="E5" s="2572" t="s">
        <v>2521</v>
      </c>
      <c r="F5" s="2573" t="s">
        <v>2522</v>
      </c>
    </row>
    <row r="6" spans="1:6">
      <c r="A6" s="2574" t="str">
        <f>'数据-取费表'!AN6</f>
        <v>收益法</v>
      </c>
      <c r="B6" s="2573">
        <f ca="1">IF(F6="是",'数据-取费表'!AO6,0)</f>
        <v>1865</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4" t="s">
        <v>1076</v>
      </c>
      <c r="B1" s="3305"/>
      <c r="C1" s="3306"/>
      <c r="D1" s="3307">
        <f>SUM(I10,I15,I20,I21,I23)</f>
        <v>0</v>
      </c>
      <c r="E1" s="3307"/>
      <c r="F1" s="3307"/>
      <c r="G1" s="3307"/>
      <c r="H1" s="3307"/>
      <c r="I1" s="3308"/>
    </row>
    <row r="2" spans="1:9">
      <c r="A2" s="3309" t="s">
        <v>1077</v>
      </c>
      <c r="B2" s="3310" t="s">
        <v>1078</v>
      </c>
      <c r="C2" s="3310"/>
      <c r="D2" s="1301" t="s">
        <v>1079</v>
      </c>
      <c r="E2" s="1301" t="s">
        <v>1080</v>
      </c>
      <c r="F2" s="1301" t="s">
        <v>1081</v>
      </c>
      <c r="G2" s="1301" t="s">
        <v>1082</v>
      </c>
      <c r="H2" s="1301" t="s">
        <v>1083</v>
      </c>
      <c r="I2" s="1302" t="s">
        <v>1084</v>
      </c>
    </row>
    <row r="3" spans="1:9">
      <c r="A3" s="3309"/>
      <c r="B3" s="3310" t="s">
        <v>1085</v>
      </c>
      <c r="C3" s="3310"/>
      <c r="D3" s="1303"/>
      <c r="E3" s="1301"/>
      <c r="F3" s="1304"/>
      <c r="G3" s="1304"/>
      <c r="H3" s="1305"/>
      <c r="I3" s="1306">
        <f>ROUND(D3*E3*F3*G3*H3/10000,0)</f>
        <v>0</v>
      </c>
    </row>
    <row r="4" spans="1:9">
      <c r="A4" s="3309"/>
      <c r="B4" s="3310" t="s">
        <v>1086</v>
      </c>
      <c r="C4" s="3310"/>
      <c r="D4" s="1303"/>
      <c r="E4" s="1301"/>
      <c r="F4" s="1304"/>
      <c r="G4" s="1304"/>
      <c r="H4" s="1305"/>
      <c r="I4" s="1306">
        <f t="shared" ref="I4:I9" si="0">ROUND(D4*E4*F4*G4*H4/10000,0)</f>
        <v>0</v>
      </c>
    </row>
    <row r="5" spans="1:9">
      <c r="A5" s="3309"/>
      <c r="B5" s="3310" t="s">
        <v>1087</v>
      </c>
      <c r="C5" s="3310"/>
      <c r="D5" s="1303"/>
      <c r="E5" s="1301"/>
      <c r="F5" s="1304"/>
      <c r="G5" s="1304"/>
      <c r="H5" s="1305"/>
      <c r="I5" s="1306">
        <f t="shared" si="0"/>
        <v>0</v>
      </c>
    </row>
    <row r="6" spans="1:9">
      <c r="A6" s="3309"/>
      <c r="B6" s="3310" t="s">
        <v>1088</v>
      </c>
      <c r="C6" s="3310"/>
      <c r="D6" s="1303"/>
      <c r="E6" s="1301"/>
      <c r="F6" s="1304"/>
      <c r="G6" s="1304"/>
      <c r="H6" s="1305"/>
      <c r="I6" s="1306">
        <f t="shared" si="0"/>
        <v>0</v>
      </c>
    </row>
    <row r="7" spans="1:9">
      <c r="A7" s="3309"/>
      <c r="B7" s="3310" t="s">
        <v>1089</v>
      </c>
      <c r="C7" s="3310"/>
      <c r="D7" s="1303"/>
      <c r="E7" s="1301"/>
      <c r="F7" s="1304"/>
      <c r="G7" s="1304"/>
      <c r="H7" s="1305"/>
      <c r="I7" s="1306">
        <f t="shared" si="0"/>
        <v>0</v>
      </c>
    </row>
    <row r="8" spans="1:9">
      <c r="A8" s="3309"/>
      <c r="B8" s="3310" t="s">
        <v>1090</v>
      </c>
      <c r="C8" s="3310"/>
      <c r="D8" s="1303"/>
      <c r="E8" s="1301"/>
      <c r="F8" s="1304"/>
      <c r="G8" s="1304"/>
      <c r="H8" s="1305"/>
      <c r="I8" s="1306">
        <f t="shared" si="0"/>
        <v>0</v>
      </c>
    </row>
    <row r="9" spans="1:9">
      <c r="A9" s="3309"/>
      <c r="B9" s="3310" t="s">
        <v>1091</v>
      </c>
      <c r="C9" s="3310"/>
      <c r="D9" s="1303"/>
      <c r="E9" s="1301"/>
      <c r="F9" s="1304"/>
      <c r="G9" s="1304"/>
      <c r="H9" s="1305"/>
      <c r="I9" s="1306">
        <f t="shared" si="0"/>
        <v>0</v>
      </c>
    </row>
    <row r="10" spans="1:9">
      <c r="A10" s="3309"/>
      <c r="B10" s="3311" t="s">
        <v>1092</v>
      </c>
      <c r="C10" s="3311"/>
      <c r="D10" s="1307"/>
      <c r="E10" s="1307" t="e">
        <f>ROUND(D1*10000/D10/H9,0)</f>
        <v>#DIV/0!</v>
      </c>
      <c r="F10" s="1308"/>
      <c r="G10" s="1308"/>
      <c r="H10" s="1309"/>
      <c r="I10" s="1310">
        <f>SUM(I3:I9)</f>
        <v>0</v>
      </c>
    </row>
    <row r="11" spans="1:9" ht="14.25">
      <c r="A11" s="3309" t="s">
        <v>1093</v>
      </c>
      <c r="B11" s="3310" t="s">
        <v>1094</v>
      </c>
      <c r="C11" s="3310"/>
      <c r="D11" s="1303" t="s">
        <v>1095</v>
      </c>
      <c r="E11" s="1303" t="s">
        <v>1096</v>
      </c>
      <c r="F11" s="1304" t="s">
        <v>1097</v>
      </c>
      <c r="G11" s="1304" t="s">
        <v>1083</v>
      </c>
      <c r="H11" s="1311" t="s">
        <v>1098</v>
      </c>
      <c r="I11" s="1302" t="s">
        <v>1084</v>
      </c>
    </row>
    <row r="12" spans="1:9">
      <c r="A12" s="3309"/>
      <c r="B12" s="3310" t="s">
        <v>1099</v>
      </c>
      <c r="C12" s="3310"/>
      <c r="D12" s="1303"/>
      <c r="E12" s="1303"/>
      <c r="F12" s="1304"/>
      <c r="G12" s="1305"/>
      <c r="H12" s="1312"/>
      <c r="I12" s="1302">
        <f>ROUND(D12*E12*F12*G12/10000,0)</f>
        <v>0</v>
      </c>
    </row>
    <row r="13" spans="1:9">
      <c r="A13" s="3309"/>
      <c r="B13" s="3310" t="s">
        <v>1100</v>
      </c>
      <c r="C13" s="3310"/>
      <c r="D13" s="1303"/>
      <c r="E13" s="1303"/>
      <c r="F13" s="1304"/>
      <c r="G13" s="1305"/>
      <c r="H13" s="1312"/>
      <c r="I13" s="1302">
        <f>ROUND(D13*E13*F13*G13/10000,0)</f>
        <v>0</v>
      </c>
    </row>
    <row r="14" spans="1:9">
      <c r="A14" s="3309"/>
      <c r="B14" s="3310" t="s">
        <v>1101</v>
      </c>
      <c r="C14" s="3310"/>
      <c r="D14" s="1303"/>
      <c r="E14" s="1303"/>
      <c r="F14" s="1304"/>
      <c r="G14" s="1305"/>
      <c r="H14" s="1312"/>
      <c r="I14" s="1302">
        <f>ROUND(D14*E14*F14*G14/10000,0)</f>
        <v>0</v>
      </c>
    </row>
    <row r="15" spans="1:9">
      <c r="A15" s="3309"/>
      <c r="B15" s="3311" t="s">
        <v>1092</v>
      </c>
      <c r="C15" s="3311"/>
      <c r="D15" s="1307"/>
      <c r="E15" s="1307">
        <f>SUM(E12:E14)</f>
        <v>0</v>
      </c>
      <c r="F15" s="1308"/>
      <c r="G15" s="1305"/>
      <c r="H15" s="1312"/>
      <c r="I15" s="1313">
        <f>SUM(I12:I14)</f>
        <v>0</v>
      </c>
    </row>
    <row r="16" spans="1:9" ht="24">
      <c r="A16" s="3309" t="s">
        <v>1102</v>
      </c>
      <c r="B16" s="3310" t="s">
        <v>1103</v>
      </c>
      <c r="C16" s="3310"/>
      <c r="D16" s="1303" t="s">
        <v>1079</v>
      </c>
      <c r="E16" s="1314" t="s">
        <v>1104</v>
      </c>
      <c r="F16" s="1304" t="s">
        <v>1105</v>
      </c>
      <c r="G16" s="1305" t="s">
        <v>1083</v>
      </c>
      <c r="H16" s="1311" t="s">
        <v>1098</v>
      </c>
      <c r="I16" s="1302" t="s">
        <v>1084</v>
      </c>
    </row>
    <row r="17" spans="1:9" ht="14.25">
      <c r="A17" s="3309"/>
      <c r="B17" s="3310" t="s">
        <v>1106</v>
      </c>
      <c r="C17" s="3310"/>
      <c r="D17" s="1303"/>
      <c r="E17" s="1303"/>
      <c r="F17" s="1304"/>
      <c r="G17" s="1305"/>
      <c r="H17" s="1315"/>
      <c r="I17" s="1316">
        <f>ROUND(D17*E17*F17*G17/10000,0)</f>
        <v>0</v>
      </c>
    </row>
    <row r="18" spans="1:9" ht="14.25">
      <c r="A18" s="3309"/>
      <c r="B18" s="3310" t="s">
        <v>1107</v>
      </c>
      <c r="C18" s="3310"/>
      <c r="D18" s="1303"/>
      <c r="E18" s="1303"/>
      <c r="F18" s="1304"/>
      <c r="G18" s="1305"/>
      <c r="H18" s="1315"/>
      <c r="I18" s="1316">
        <f>ROUND(D18*E18*F18*G18/10000,0)</f>
        <v>0</v>
      </c>
    </row>
    <row r="19" spans="1:9" ht="14.25">
      <c r="A19" s="3309"/>
      <c r="B19" s="3310" t="s">
        <v>1108</v>
      </c>
      <c r="C19" s="3310"/>
      <c r="D19" s="1303"/>
      <c r="E19" s="1303"/>
      <c r="F19" s="1304"/>
      <c r="G19" s="1305"/>
      <c r="H19" s="1315"/>
      <c r="I19" s="1316">
        <f>ROUND(D19*E19*F19*G19/10000,0)</f>
        <v>0</v>
      </c>
    </row>
    <row r="20" spans="1:9">
      <c r="A20" s="3309"/>
      <c r="B20" s="3311" t="s">
        <v>1092</v>
      </c>
      <c r="C20" s="3311"/>
      <c r="D20" s="1307">
        <f>SUM(D17:D19)</f>
        <v>0</v>
      </c>
      <c r="E20" s="1307"/>
      <c r="F20" s="1308"/>
      <c r="G20" s="1305"/>
      <c r="H20" s="1312"/>
      <c r="I20" s="1313">
        <f>SUM(I17:I19)</f>
        <v>0</v>
      </c>
    </row>
    <row r="21" spans="1:9">
      <c r="A21" s="3309" t="s">
        <v>1109</v>
      </c>
      <c r="B21" s="3313"/>
      <c r="C21" s="3313"/>
      <c r="D21" s="3313"/>
      <c r="E21" s="3313"/>
      <c r="F21" s="3313"/>
      <c r="G21" s="3313"/>
      <c r="H21" s="1765">
        <v>0.1</v>
      </c>
      <c r="I21" s="1310">
        <f>ROUND(I10*H21,0)</f>
        <v>0</v>
      </c>
    </row>
    <row r="22" spans="1:9" ht="14.25">
      <c r="A22" s="3314" t="s">
        <v>1110</v>
      </c>
      <c r="B22" s="3315"/>
      <c r="C22" s="3316"/>
      <c r="D22" s="1317" t="s">
        <v>1111</v>
      </c>
      <c r="E22" s="1317" t="s">
        <v>1112</v>
      </c>
      <c r="F22" s="1318" t="s">
        <v>1113</v>
      </c>
      <c r="G22" s="1318" t="s">
        <v>1114</v>
      </c>
      <c r="H22" s="1311" t="s">
        <v>1115</v>
      </c>
      <c r="I22" s="1302" t="s">
        <v>1116</v>
      </c>
    </row>
    <row r="23" spans="1:9" ht="14.25" thickBot="1">
      <c r="A23" s="3317"/>
      <c r="B23" s="3318"/>
      <c r="C23" s="3319"/>
      <c r="D23" s="1319"/>
      <c r="E23" s="1319"/>
      <c r="F23" s="1319"/>
      <c r="G23" s="1320"/>
      <c r="H23" s="1321"/>
      <c r="I23" s="1322">
        <f>ROUND(E23*D23*F23*(1-G23)/10000,0)</f>
        <v>0</v>
      </c>
    </row>
    <row r="26" spans="1:9">
      <c r="A26" s="1323" t="s">
        <v>1117</v>
      </c>
      <c r="B26" s="1323"/>
      <c r="C26" s="1323"/>
      <c r="D26" s="1323"/>
      <c r="E26" s="3320">
        <f>C27-C30-C31-C32</f>
        <v>0</v>
      </c>
      <c r="F26" s="3320"/>
      <c r="G26" s="3320"/>
      <c r="H26" s="1737" t="s">
        <v>1340</v>
      </c>
    </row>
    <row r="27" spans="1:9">
      <c r="A27" s="1324">
        <v>1</v>
      </c>
      <c r="B27" s="1325" t="s">
        <v>1118</v>
      </c>
      <c r="C27" s="1325">
        <f>C28+C29</f>
        <v>0</v>
      </c>
      <c r="D27" s="1325"/>
      <c r="E27" s="3321"/>
      <c r="F27" s="3321"/>
      <c r="G27" s="3321"/>
    </row>
    <row r="28" spans="1:9">
      <c r="A28" s="1326" t="s">
        <v>1119</v>
      </c>
      <c r="B28" s="1325" t="s">
        <v>1120</v>
      </c>
      <c r="C28" s="1325"/>
      <c r="D28" s="1325"/>
      <c r="E28" s="3321"/>
      <c r="F28" s="3321"/>
      <c r="G28" s="332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12"/>
      <c r="F32" s="3312"/>
      <c r="G32" s="3312"/>
    </row>
    <row r="33" spans="1:7" hidden="1">
      <c r="A33" s="3322" t="s">
        <v>1129</v>
      </c>
      <c r="B33" s="3323"/>
      <c r="C33" s="3323"/>
      <c r="D33" s="3324"/>
      <c r="E33" s="3320"/>
      <c r="F33" s="3320"/>
      <c r="G33" s="3320"/>
    </row>
    <row r="34" spans="1:7" hidden="1">
      <c r="A34" s="1328">
        <v>1</v>
      </c>
      <c r="B34" s="1325" t="s">
        <v>1130</v>
      </c>
      <c r="C34" s="1325"/>
      <c r="D34" s="1325"/>
      <c r="E34" s="3321"/>
      <c r="F34" s="3321"/>
      <c r="G34" s="3321"/>
    </row>
    <row r="35" spans="1:7" hidden="1">
      <c r="A35" s="1328">
        <v>2</v>
      </c>
      <c r="B35" s="1325" t="s">
        <v>1131</v>
      </c>
      <c r="C35" s="1325"/>
      <c r="D35" s="1325"/>
      <c r="E35" s="3321"/>
      <c r="F35" s="3321"/>
      <c r="G35" s="3321"/>
    </row>
    <row r="36" spans="1:7" hidden="1">
      <c r="A36" s="1328">
        <v>3</v>
      </c>
      <c r="B36" s="1325" t="s">
        <v>1132</v>
      </c>
      <c r="C36" s="1325"/>
      <c r="D36" s="1325"/>
      <c r="E36" s="3321"/>
      <c r="F36" s="3321"/>
      <c r="G36" s="3321"/>
    </row>
    <row r="37" spans="1:7" hidden="1">
      <c r="A37" s="1328">
        <v>4</v>
      </c>
      <c r="B37" s="1325" t="s">
        <v>1133</v>
      </c>
      <c r="C37" s="1325"/>
      <c r="D37" s="1325"/>
      <c r="E37" s="3321"/>
      <c r="F37" s="3321"/>
      <c r="G37" s="3321"/>
    </row>
    <row r="38" spans="1:7" hidden="1">
      <c r="A38" s="3322" t="s">
        <v>1134</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68" t="s">
        <v>2534</v>
      </c>
      <c r="D4" s="3269"/>
      <c r="E4" s="3270" t="s">
        <v>2535</v>
      </c>
      <c r="F4" s="3271"/>
      <c r="G4" s="3268" t="s">
        <v>2536</v>
      </c>
      <c r="H4" s="3269"/>
      <c r="I4" s="3268" t="s">
        <v>2537</v>
      </c>
      <c r="J4" s="3269"/>
      <c r="K4" s="2594" t="s">
        <v>2538</v>
      </c>
      <c r="L4" s="1131"/>
      <c r="M4" s="1132"/>
      <c r="N4" s="1132"/>
      <c r="O4" s="1132"/>
      <c r="P4" s="3330" t="s">
        <v>2539</v>
      </c>
      <c r="Q4" s="3331"/>
      <c r="R4" s="3326" t="s">
        <v>2535</v>
      </c>
      <c r="S4" s="3327"/>
      <c r="T4" s="3326" t="s">
        <v>2536</v>
      </c>
      <c r="U4" s="3327"/>
      <c r="V4" s="3281" t="s">
        <v>2537</v>
      </c>
      <c r="W4" s="3281"/>
      <c r="X4" s="1813"/>
      <c r="Y4" s="3326" t="s">
        <v>2539</v>
      </c>
      <c r="Z4" s="3327"/>
      <c r="AA4" s="3325" t="s">
        <v>2535</v>
      </c>
      <c r="AB4" s="3325" t="s">
        <v>2536</v>
      </c>
      <c r="AC4" s="3325" t="s">
        <v>2537</v>
      </c>
    </row>
    <row r="5" spans="1:29" ht="15">
      <c r="A5" s="404"/>
      <c r="B5" s="405"/>
      <c r="C5" s="3329" t="s">
        <v>2540</v>
      </c>
      <c r="D5" s="3259"/>
      <c r="E5" s="3328" t="s">
        <v>2541</v>
      </c>
      <c r="F5" s="3257"/>
      <c r="G5" s="3329" t="s">
        <v>2542</v>
      </c>
      <c r="H5" s="3259"/>
      <c r="I5" s="3329" t="s">
        <v>2543</v>
      </c>
      <c r="J5" s="3259"/>
      <c r="K5" s="2595"/>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2595"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50" t="s">
        <v>2547</v>
      </c>
      <c r="Q7" s="3283"/>
      <c r="R7" s="768" t="s">
        <v>23</v>
      </c>
      <c r="S7" s="769">
        <f t="shared" ref="S7:S15" si="0">F7</f>
        <v>0</v>
      </c>
      <c r="T7" s="768" t="s">
        <v>23</v>
      </c>
      <c r="U7" s="769">
        <f t="shared" ref="U7:U15" si="1">H7</f>
        <v>0</v>
      </c>
      <c r="V7" s="768" t="s">
        <v>23</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50" t="s">
        <v>2550</v>
      </c>
      <c r="Q8" s="3251"/>
      <c r="R8" s="768" t="s">
        <v>23</v>
      </c>
      <c r="S8" s="769">
        <f t="shared" si="0"/>
        <v>0</v>
      </c>
      <c r="T8" s="768" t="s">
        <v>23</v>
      </c>
      <c r="U8" s="769">
        <f t="shared" si="1"/>
        <v>0</v>
      </c>
      <c r="V8" s="768" t="s">
        <v>23</v>
      </c>
      <c r="W8" s="769">
        <f t="shared" si="2"/>
        <v>0</v>
      </c>
      <c r="X8" s="770"/>
      <c r="Y8" s="3250" t="s">
        <v>2550</v>
      </c>
      <c r="Z8" s="3251"/>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64"/>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64"/>
      <c r="Q11" s="1795" t="str">
        <f t="shared" si="6"/>
        <v>容积率</v>
      </c>
      <c r="R11" s="768" t="s">
        <v>21</v>
      </c>
      <c r="S11" s="769" t="e">
        <f t="shared" si="0"/>
        <v>#N/A</v>
      </c>
      <c r="T11" s="768" t="s">
        <v>21</v>
      </c>
      <c r="U11" s="769" t="e">
        <f t="shared" si="1"/>
        <v>#N/A</v>
      </c>
      <c r="V11" s="768" t="s">
        <v>21</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64"/>
      <c r="Q12" s="1795">
        <f t="shared" si="6"/>
        <v>111</v>
      </c>
      <c r="R12" s="768" t="s">
        <v>21</v>
      </c>
      <c r="S12" s="769">
        <f t="shared" si="0"/>
        <v>100</v>
      </c>
      <c r="T12" s="768" t="s">
        <v>21</v>
      </c>
      <c r="U12" s="769">
        <f t="shared" si="1"/>
        <v>100</v>
      </c>
      <c r="V12" s="768" t="s">
        <v>21</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64"/>
      <c r="Q13" s="1795">
        <f t="shared" si="6"/>
        <v>111</v>
      </c>
      <c r="R13" s="768" t="s">
        <v>21</v>
      </c>
      <c r="S13" s="769">
        <f t="shared" si="0"/>
        <v>100</v>
      </c>
      <c r="T13" s="768" t="s">
        <v>21</v>
      </c>
      <c r="U13" s="769">
        <f t="shared" si="1"/>
        <v>100</v>
      </c>
      <c r="V13" s="768" t="s">
        <v>21</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64"/>
      <c r="Q14" s="1795">
        <f t="shared" si="6"/>
        <v>111</v>
      </c>
      <c r="R14" s="768" t="s">
        <v>21</v>
      </c>
      <c r="S14" s="769">
        <f t="shared" si="0"/>
        <v>100</v>
      </c>
      <c r="T14" s="768" t="s">
        <v>21</v>
      </c>
      <c r="U14" s="769">
        <f t="shared" si="1"/>
        <v>100</v>
      </c>
      <c r="V14" s="768" t="s">
        <v>21</v>
      </c>
      <c r="W14" s="769">
        <f t="shared" si="2"/>
        <v>100</v>
      </c>
      <c r="X14" s="770"/>
      <c r="Y14" s="3124"/>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4" t="s">
        <v>2558</v>
      </c>
      <c r="Q15" s="1810" t="str">
        <f t="shared" si="6"/>
        <v>居住社区成熟度</v>
      </c>
      <c r="R15" s="772" t="s">
        <v>21</v>
      </c>
      <c r="S15" s="773">
        <f t="shared" si="0"/>
        <v>100</v>
      </c>
      <c r="T15" s="772" t="s">
        <v>21</v>
      </c>
      <c r="U15" s="773">
        <f t="shared" si="1"/>
        <v>100</v>
      </c>
      <c r="V15" s="772" t="s">
        <v>21</v>
      </c>
      <c r="W15" s="773">
        <f t="shared" si="2"/>
        <v>100</v>
      </c>
      <c r="X15" s="1813"/>
      <c r="Y15" s="3286"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285"/>
      <c r="Q16" s="1810"/>
      <c r="R16" s="772"/>
      <c r="S16" s="773"/>
      <c r="T16" s="772"/>
      <c r="U16" s="773"/>
      <c r="V16" s="772"/>
      <c r="W16" s="773"/>
      <c r="X16" s="1813"/>
      <c r="Y16" s="3287"/>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85"/>
      <c r="Q17" s="1810" t="str">
        <f>B17</f>
        <v>交通便捷度</v>
      </c>
      <c r="R17" s="772" t="s">
        <v>21</v>
      </c>
      <c r="S17" s="773">
        <f>F17</f>
        <v>100</v>
      </c>
      <c r="T17" s="772" t="s">
        <v>21</v>
      </c>
      <c r="U17" s="773">
        <f>H17</f>
        <v>100</v>
      </c>
      <c r="V17" s="772" t="s">
        <v>21</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285"/>
      <c r="Q18" s="1810"/>
      <c r="R18" s="772"/>
      <c r="S18" s="773"/>
      <c r="T18" s="772"/>
      <c r="U18" s="773"/>
      <c r="V18" s="772"/>
      <c r="W18" s="773"/>
      <c r="X18" s="1813"/>
      <c r="Y18" s="3287"/>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85"/>
      <c r="Q19" s="1810" t="str">
        <f>B19</f>
        <v>公共配套设施</v>
      </c>
      <c r="R19" s="772" t="s">
        <v>21</v>
      </c>
      <c r="S19" s="773">
        <f>F19</f>
        <v>100</v>
      </c>
      <c r="T19" s="772" t="s">
        <v>21</v>
      </c>
      <c r="U19" s="773">
        <f>H19</f>
        <v>100</v>
      </c>
      <c r="V19" s="772" t="s">
        <v>21</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285"/>
      <c r="Q20" s="1810"/>
      <c r="R20" s="772"/>
      <c r="S20" s="773"/>
      <c r="T20" s="772"/>
      <c r="U20" s="773"/>
      <c r="V20" s="772"/>
      <c r="W20" s="773"/>
      <c r="X20" s="1813"/>
      <c r="Y20" s="3287"/>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285"/>
      <c r="Q22" s="1810"/>
      <c r="R22" s="772"/>
      <c r="S22" s="773"/>
      <c r="T22" s="772"/>
      <c r="U22" s="773"/>
      <c r="V22" s="772"/>
      <c r="W22" s="773"/>
      <c r="X22" s="1813"/>
      <c r="Y22" s="3287"/>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85"/>
      <c r="Q23" s="1810" t="str">
        <f>B23</f>
        <v>自然及人文环境</v>
      </c>
      <c r="R23" s="772" t="s">
        <v>21</v>
      </c>
      <c r="S23" s="773">
        <f>F23</f>
        <v>100</v>
      </c>
      <c r="T23" s="772" t="s">
        <v>21</v>
      </c>
      <c r="U23" s="773">
        <f>H23</f>
        <v>100</v>
      </c>
      <c r="V23" s="772" t="s">
        <v>21</v>
      </c>
      <c r="W23" s="773">
        <f>J23</f>
        <v>100</v>
      </c>
      <c r="X23" s="1813"/>
      <c r="Y23" s="3287"/>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285"/>
      <c r="Q24" s="1810"/>
      <c r="R24" s="772"/>
      <c r="S24" s="773"/>
      <c r="T24" s="772"/>
      <c r="U24" s="773"/>
      <c r="V24" s="772"/>
      <c r="W24" s="773"/>
      <c r="X24" s="1813"/>
      <c r="Y24" s="3287"/>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85"/>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87"/>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85"/>
      <c r="Q26" s="1810" t="str">
        <f t="shared" si="11"/>
        <v>朝向</v>
      </c>
      <c r="R26" s="772" t="s">
        <v>21</v>
      </c>
      <c r="S26" s="773">
        <f t="shared" si="12"/>
        <v>100</v>
      </c>
      <c r="T26" s="772" t="s">
        <v>21</v>
      </c>
      <c r="U26" s="773">
        <f t="shared" si="13"/>
        <v>100</v>
      </c>
      <c r="V26" s="772" t="s">
        <v>21</v>
      </c>
      <c r="W26" s="773">
        <f t="shared" si="14"/>
        <v>100</v>
      </c>
      <c r="X26" s="1813"/>
      <c r="Y26" s="328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285"/>
      <c r="Q27" s="1795">
        <f t="shared" si="11"/>
        <v>111</v>
      </c>
      <c r="R27" s="768" t="s">
        <v>21</v>
      </c>
      <c r="S27" s="769">
        <f t="shared" si="12"/>
        <v>100</v>
      </c>
      <c r="T27" s="768" t="s">
        <v>21</v>
      </c>
      <c r="U27" s="769">
        <f t="shared" si="13"/>
        <v>100</v>
      </c>
      <c r="V27" s="768" t="s">
        <v>21</v>
      </c>
      <c r="W27" s="769">
        <f t="shared" si="14"/>
        <v>100</v>
      </c>
      <c r="X27" s="770"/>
      <c r="Y27" s="328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285"/>
      <c r="Q28" s="1810">
        <f t="shared" si="11"/>
        <v>111</v>
      </c>
      <c r="R28" s="772" t="s">
        <v>21</v>
      </c>
      <c r="S28" s="773">
        <f t="shared" si="12"/>
        <v>100</v>
      </c>
      <c r="T28" s="772" t="s">
        <v>21</v>
      </c>
      <c r="U28" s="773">
        <f t="shared" si="13"/>
        <v>100</v>
      </c>
      <c r="V28" s="772" t="s">
        <v>21</v>
      </c>
      <c r="W28" s="773">
        <f t="shared" si="14"/>
        <v>100</v>
      </c>
      <c r="X28" s="1813"/>
      <c r="Y28" s="328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85"/>
      <c r="Q29" s="1810">
        <f t="shared" si="11"/>
        <v>111</v>
      </c>
      <c r="R29" s="772" t="s">
        <v>21</v>
      </c>
      <c r="S29" s="773">
        <f t="shared" si="12"/>
        <v>100</v>
      </c>
      <c r="T29" s="772" t="s">
        <v>21</v>
      </c>
      <c r="U29" s="773">
        <f t="shared" si="13"/>
        <v>100</v>
      </c>
      <c r="V29" s="772" t="s">
        <v>21</v>
      </c>
      <c r="W29" s="773">
        <f t="shared" si="14"/>
        <v>100</v>
      </c>
      <c r="X29" s="1813"/>
      <c r="Y29" s="328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85"/>
      <c r="Q30" s="1810">
        <f t="shared" si="11"/>
        <v>111</v>
      </c>
      <c r="R30" s="772" t="s">
        <v>21</v>
      </c>
      <c r="S30" s="773">
        <f t="shared" si="12"/>
        <v>100</v>
      </c>
      <c r="T30" s="772" t="s">
        <v>21</v>
      </c>
      <c r="U30" s="773">
        <f t="shared" si="13"/>
        <v>100</v>
      </c>
      <c r="V30" s="772" t="s">
        <v>21</v>
      </c>
      <c r="W30" s="773">
        <f t="shared" si="14"/>
        <v>100</v>
      </c>
      <c r="X30" s="1813"/>
      <c r="Y30" s="328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85"/>
      <c r="Q31" s="1810">
        <f t="shared" si="11"/>
        <v>111</v>
      </c>
      <c r="R31" s="772" t="s">
        <v>21</v>
      </c>
      <c r="S31" s="773">
        <f t="shared" si="12"/>
        <v>100</v>
      </c>
      <c r="T31" s="772" t="s">
        <v>21</v>
      </c>
      <c r="U31" s="773">
        <f t="shared" si="13"/>
        <v>100</v>
      </c>
      <c r="V31" s="772" t="s">
        <v>21</v>
      </c>
      <c r="W31" s="773">
        <f t="shared" si="14"/>
        <v>100</v>
      </c>
      <c r="X31" s="1813"/>
      <c r="Y31" s="3287"/>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288" t="s">
        <v>2563</v>
      </c>
      <c r="Q32" s="1810" t="str">
        <f t="shared" si="11"/>
        <v>建筑类型</v>
      </c>
      <c r="R32" s="772" t="s">
        <v>21</v>
      </c>
      <c r="S32" s="773">
        <f t="shared" si="12"/>
        <v>100</v>
      </c>
      <c r="T32" s="772" t="s">
        <v>21</v>
      </c>
      <c r="U32" s="773">
        <f t="shared" si="13"/>
        <v>100</v>
      </c>
      <c r="V32" s="772" t="s">
        <v>21</v>
      </c>
      <c r="W32" s="773">
        <f t="shared" si="14"/>
        <v>100</v>
      </c>
      <c r="X32" s="1813"/>
      <c r="Y32" s="3291"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289"/>
      <c r="Q33" s="774" t="str">
        <f t="shared" si="11"/>
        <v>项目建筑规模</v>
      </c>
      <c r="R33" s="775" t="s">
        <v>21</v>
      </c>
      <c r="S33" s="776" t="e">
        <f t="shared" si="12"/>
        <v>#N/A</v>
      </c>
      <c r="T33" s="775" t="s">
        <v>21</v>
      </c>
      <c r="U33" s="776" t="e">
        <f t="shared" si="13"/>
        <v>#N/A</v>
      </c>
      <c r="V33" s="775" t="s">
        <v>21</v>
      </c>
      <c r="W33" s="776" t="e">
        <f t="shared" si="14"/>
        <v>#N/A</v>
      </c>
      <c r="X33" s="777"/>
      <c r="Y33" s="3291"/>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289"/>
      <c r="Q34" s="1810" t="str">
        <f t="shared" si="11"/>
        <v>建筑结构</v>
      </c>
      <c r="R34" s="772" t="s">
        <v>21</v>
      </c>
      <c r="S34" s="773">
        <f t="shared" si="12"/>
        <v>100</v>
      </c>
      <c r="T34" s="772" t="s">
        <v>21</v>
      </c>
      <c r="U34" s="773">
        <f t="shared" si="13"/>
        <v>100</v>
      </c>
      <c r="V34" s="772" t="s">
        <v>21</v>
      </c>
      <c r="W34" s="773">
        <f t="shared" si="14"/>
        <v>100</v>
      </c>
      <c r="X34" s="1813"/>
      <c r="Y34" s="3291"/>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89"/>
      <c r="Q35" s="1810" t="str">
        <f t="shared" si="11"/>
        <v>建筑品质</v>
      </c>
      <c r="R35" s="772" t="s">
        <v>21</v>
      </c>
      <c r="S35" s="773">
        <f t="shared" si="12"/>
        <v>100</v>
      </c>
      <c r="T35" s="772" t="s">
        <v>21</v>
      </c>
      <c r="U35" s="773">
        <f t="shared" si="13"/>
        <v>100</v>
      </c>
      <c r="V35" s="772" t="s">
        <v>21</v>
      </c>
      <c r="W35" s="773">
        <f t="shared" si="14"/>
        <v>100</v>
      </c>
      <c r="X35" s="1813"/>
      <c r="Y35" s="3291"/>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289"/>
      <c r="Q36" s="1810" t="str">
        <f t="shared" si="11"/>
        <v>公共部分装修</v>
      </c>
      <c r="R36" s="772" t="s">
        <v>21</v>
      </c>
      <c r="S36" s="773">
        <f t="shared" si="12"/>
        <v>100</v>
      </c>
      <c r="T36" s="772" t="s">
        <v>21</v>
      </c>
      <c r="U36" s="773">
        <f t="shared" si="13"/>
        <v>100</v>
      </c>
      <c r="V36" s="772" t="s">
        <v>21</v>
      </c>
      <c r="W36" s="773">
        <f t="shared" si="14"/>
        <v>100</v>
      </c>
      <c r="X36" s="1813"/>
      <c r="Y36" s="3291"/>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89"/>
      <c r="Q37" s="1795" t="str">
        <f t="shared" si="11"/>
        <v>成新度</v>
      </c>
      <c r="R37" s="768" t="s">
        <v>21</v>
      </c>
      <c r="S37" s="769" t="e">
        <f t="shared" si="12"/>
        <v>#N/A</v>
      </c>
      <c r="T37" s="768" t="s">
        <v>21</v>
      </c>
      <c r="U37" s="769" t="e">
        <f t="shared" si="13"/>
        <v>#N/A</v>
      </c>
      <c r="V37" s="768" t="s">
        <v>21</v>
      </c>
      <c r="W37" s="769" t="e">
        <f t="shared" si="14"/>
        <v>#N/A</v>
      </c>
      <c r="X37" s="770"/>
      <c r="Y37" s="3291"/>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289" t="s">
        <v>2563</v>
      </c>
      <c r="Q38" s="1810" t="str">
        <f t="shared" si="11"/>
        <v>物业管理</v>
      </c>
      <c r="R38" s="772" t="s">
        <v>21</v>
      </c>
      <c r="S38" s="773">
        <f t="shared" si="12"/>
        <v>100</v>
      </c>
      <c r="T38" s="772" t="s">
        <v>21</v>
      </c>
      <c r="U38" s="773">
        <f t="shared" si="13"/>
        <v>100</v>
      </c>
      <c r="V38" s="772" t="s">
        <v>21</v>
      </c>
      <c r="W38" s="773">
        <f t="shared" si="14"/>
        <v>100</v>
      </c>
      <c r="X38" s="1813"/>
      <c r="Y38" s="3291"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289"/>
      <c r="Q39" s="1810" t="str">
        <f t="shared" si="11"/>
        <v>市政基础设施</v>
      </c>
      <c r="R39" s="772" t="s">
        <v>21</v>
      </c>
      <c r="S39" s="773">
        <f t="shared" si="12"/>
        <v>100</v>
      </c>
      <c r="T39" s="772" t="s">
        <v>21</v>
      </c>
      <c r="U39" s="773">
        <f t="shared" si="13"/>
        <v>100</v>
      </c>
      <c r="V39" s="772" t="s">
        <v>21</v>
      </c>
      <c r="W39" s="773">
        <f t="shared" si="14"/>
        <v>100</v>
      </c>
      <c r="X39" s="1813"/>
      <c r="Y39" s="3291"/>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89"/>
      <c r="Q40" s="1810" t="str">
        <f t="shared" si="11"/>
        <v>房型</v>
      </c>
      <c r="R40" s="772" t="s">
        <v>21</v>
      </c>
      <c r="S40" s="773">
        <f t="shared" si="12"/>
        <v>100</v>
      </c>
      <c r="T40" s="772" t="s">
        <v>21</v>
      </c>
      <c r="U40" s="773">
        <f t="shared" si="13"/>
        <v>100</v>
      </c>
      <c r="V40" s="772" t="s">
        <v>21</v>
      </c>
      <c r="W40" s="773">
        <f t="shared" si="14"/>
        <v>100</v>
      </c>
      <c r="X40" s="1813"/>
      <c r="Y40" s="3291"/>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89"/>
      <c r="Q41" s="774" t="str">
        <f t="shared" si="11"/>
        <v>单套/主力户型建筑面积</v>
      </c>
      <c r="R41" s="775" t="s">
        <v>21</v>
      </c>
      <c r="S41" s="776">
        <f t="shared" si="12"/>
        <v>100</v>
      </c>
      <c r="T41" s="775" t="s">
        <v>21</v>
      </c>
      <c r="U41" s="776">
        <f t="shared" si="13"/>
        <v>100</v>
      </c>
      <c r="V41" s="775" t="s">
        <v>21</v>
      </c>
      <c r="W41" s="776">
        <f t="shared" si="14"/>
        <v>100</v>
      </c>
      <c r="X41" s="777"/>
      <c r="Y41" s="3291"/>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289"/>
      <c r="Q42" s="1810" t="str">
        <f t="shared" si="11"/>
        <v>内部装修</v>
      </c>
      <c r="R42" s="772" t="s">
        <v>21</v>
      </c>
      <c r="S42" s="773">
        <f t="shared" si="12"/>
        <v>100</v>
      </c>
      <c r="T42" s="772" t="s">
        <v>21</v>
      </c>
      <c r="U42" s="773">
        <f t="shared" si="13"/>
        <v>100</v>
      </c>
      <c r="V42" s="772" t="s">
        <v>21</v>
      </c>
      <c r="W42" s="773">
        <f t="shared" si="14"/>
        <v>100</v>
      </c>
      <c r="X42" s="1813"/>
      <c r="Y42" s="3291"/>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289"/>
      <c r="Q43" s="1810" t="str">
        <f t="shared" si="11"/>
        <v>内部装修维护情况</v>
      </c>
      <c r="R43" s="772" t="s">
        <v>21</v>
      </c>
      <c r="S43" s="773">
        <f t="shared" si="12"/>
        <v>100</v>
      </c>
      <c r="T43" s="772" t="s">
        <v>21</v>
      </c>
      <c r="U43" s="773">
        <f t="shared" si="13"/>
        <v>100</v>
      </c>
      <c r="V43" s="772" t="s">
        <v>21</v>
      </c>
      <c r="W43" s="773">
        <f t="shared" si="14"/>
        <v>100</v>
      </c>
      <c r="X43" s="1813"/>
      <c r="Y43" s="329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289"/>
      <c r="Q44" s="1795">
        <f t="shared" si="11"/>
        <v>111</v>
      </c>
      <c r="R44" s="768" t="s">
        <v>21</v>
      </c>
      <c r="S44" s="769">
        <f t="shared" si="12"/>
        <v>100</v>
      </c>
      <c r="T44" s="768" t="s">
        <v>21</v>
      </c>
      <c r="U44" s="769">
        <f t="shared" si="13"/>
        <v>100</v>
      </c>
      <c r="V44" s="768" t="s">
        <v>21</v>
      </c>
      <c r="W44" s="769">
        <f t="shared" si="14"/>
        <v>100</v>
      </c>
      <c r="X44" s="770"/>
      <c r="Y44" s="3291"/>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89"/>
      <c r="Q45" s="1810">
        <f t="shared" si="11"/>
        <v>111</v>
      </c>
      <c r="R45" s="772" t="s">
        <v>21</v>
      </c>
      <c r="S45" s="773">
        <f t="shared" si="12"/>
        <v>100</v>
      </c>
      <c r="T45" s="772" t="s">
        <v>21</v>
      </c>
      <c r="U45" s="773">
        <f t="shared" si="13"/>
        <v>100</v>
      </c>
      <c r="V45" s="772" t="s">
        <v>21</v>
      </c>
      <c r="W45" s="773">
        <f t="shared" si="14"/>
        <v>100</v>
      </c>
      <c r="X45" s="1813"/>
      <c r="Y45" s="3291"/>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90"/>
      <c r="Q46" s="1810">
        <f t="shared" si="11"/>
        <v>111</v>
      </c>
      <c r="R46" s="772" t="s">
        <v>20</v>
      </c>
      <c r="S46" s="773">
        <f t="shared" si="12"/>
        <v>100</v>
      </c>
      <c r="T46" s="772" t="s">
        <v>20</v>
      </c>
      <c r="U46" s="773">
        <f t="shared" si="13"/>
        <v>100</v>
      </c>
      <c r="V46" s="772" t="s">
        <v>20</v>
      </c>
      <c r="W46" s="773">
        <f t="shared" si="14"/>
        <v>100</v>
      </c>
      <c r="X46" s="1813"/>
      <c r="Y46" s="3292"/>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93" t="str">
        <f>A47</f>
        <v>成交单价（元/平方米）</v>
      </c>
      <c r="Q47" s="3293"/>
      <c r="R47" s="3294">
        <f>E47</f>
        <v>0</v>
      </c>
      <c r="S47" s="3294"/>
      <c r="T47" s="3294">
        <f>G47</f>
        <v>0</v>
      </c>
      <c r="U47" s="3294"/>
      <c r="V47" s="3294">
        <f>I47</f>
        <v>0</v>
      </c>
      <c r="W47" s="3294"/>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334" t="str">
        <f>A49</f>
        <v>估价对象XX用房的比较价值（楼面单价，元/平方米）</v>
      </c>
      <c r="Q49" s="3335"/>
      <c r="R49" s="3336" t="e">
        <f>IF(F1="售价",ROUND(AVERAGE(R48:V48),0),ROUND(AVERAGE(R48:V48),1))</f>
        <v>#DIV/0!</v>
      </c>
      <c r="S49" s="3336"/>
      <c r="T49" s="3336"/>
      <c r="U49" s="3336"/>
      <c r="V49" s="3336"/>
      <c r="W49" s="33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81"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81"/>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81"/>
      <c r="AC6" s="3249"/>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64"/>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64"/>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64"/>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64"/>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64"/>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84" t="s">
        <v>2558</v>
      </c>
      <c r="Q15" s="1810" t="str">
        <f t="shared" si="6"/>
        <v>商业繁华度</v>
      </c>
      <c r="R15" s="772" t="s">
        <v>17</v>
      </c>
      <c r="S15" s="773">
        <f t="shared" si="0"/>
        <v>100</v>
      </c>
      <c r="T15" s="772" t="s">
        <v>17</v>
      </c>
      <c r="U15" s="773">
        <f t="shared" si="1"/>
        <v>100</v>
      </c>
      <c r="V15" s="772" t="s">
        <v>17</v>
      </c>
      <c r="W15" s="773">
        <f t="shared" si="2"/>
        <v>100</v>
      </c>
      <c r="X15" s="1813"/>
      <c r="Y15" s="3286"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85"/>
      <c r="Q16" s="1810"/>
      <c r="R16" s="772"/>
      <c r="S16" s="773"/>
      <c r="T16" s="772"/>
      <c r="U16" s="773"/>
      <c r="V16" s="772"/>
      <c r="W16" s="773"/>
      <c r="X16" s="1813"/>
      <c r="Y16" s="3287"/>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85"/>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285"/>
      <c r="Q18" s="1810"/>
      <c r="R18" s="772"/>
      <c r="S18" s="773"/>
      <c r="T18" s="772"/>
      <c r="U18" s="773"/>
      <c r="V18" s="772"/>
      <c r="W18" s="773"/>
      <c r="X18" s="1813"/>
      <c r="Y18" s="3287"/>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85"/>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285"/>
      <c r="Q20" s="1810"/>
      <c r="R20" s="772"/>
      <c r="S20" s="773"/>
      <c r="T20" s="772"/>
      <c r="U20" s="773"/>
      <c r="V20" s="772"/>
      <c r="W20" s="773"/>
      <c r="X20" s="1813"/>
      <c r="Y20" s="3287"/>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285"/>
      <c r="Q22" s="1810"/>
      <c r="R22" s="772"/>
      <c r="S22" s="773"/>
      <c r="T22" s="772"/>
      <c r="U22" s="773"/>
      <c r="V22" s="772"/>
      <c r="W22" s="773"/>
      <c r="X22" s="1813"/>
      <c r="Y22" s="3287"/>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85"/>
      <c r="Q23" s="1810" t="str">
        <f>B23</f>
        <v>自然及人文环境</v>
      </c>
      <c r="R23" s="772" t="s">
        <v>17</v>
      </c>
      <c r="S23" s="773">
        <f>F23</f>
        <v>100</v>
      </c>
      <c r="T23" s="772" t="s">
        <v>17</v>
      </c>
      <c r="U23" s="773">
        <f>H23</f>
        <v>100</v>
      </c>
      <c r="V23" s="772" t="s">
        <v>17</v>
      </c>
      <c r="W23" s="773">
        <f>J23</f>
        <v>100</v>
      </c>
      <c r="X23" s="1813"/>
      <c r="Y23" s="3287"/>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285"/>
      <c r="Q24" s="1810"/>
      <c r="R24" s="772"/>
      <c r="S24" s="773"/>
      <c r="T24" s="772"/>
      <c r="U24" s="773"/>
      <c r="V24" s="772"/>
      <c r="W24" s="773"/>
      <c r="X24" s="1813"/>
      <c r="Y24" s="3287"/>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85"/>
      <c r="Q25" s="1810" t="str">
        <f t="shared" ref="Q25:Q46" si="11">B25</f>
        <v>临街状况</v>
      </c>
      <c r="R25" s="772" t="s">
        <v>17</v>
      </c>
      <c r="S25" s="773">
        <f>F25</f>
        <v>100</v>
      </c>
      <c r="T25" s="772" t="s">
        <v>17</v>
      </c>
      <c r="U25" s="773">
        <f>H25</f>
        <v>100</v>
      </c>
      <c r="V25" s="772" t="s">
        <v>17</v>
      </c>
      <c r="W25" s="773">
        <f>J25</f>
        <v>100</v>
      </c>
      <c r="X25" s="1813"/>
      <c r="Y25" s="3287"/>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85"/>
      <c r="Q26" s="1810" t="str">
        <f t="shared" si="11"/>
        <v>平面位置/可视性</v>
      </c>
      <c r="R26" s="772" t="s">
        <v>17</v>
      </c>
      <c r="S26" s="773">
        <f>F26</f>
        <v>100</v>
      </c>
      <c r="T26" s="772" t="s">
        <v>17</v>
      </c>
      <c r="U26" s="773">
        <f>H26</f>
        <v>100</v>
      </c>
      <c r="V26" s="772" t="s">
        <v>17</v>
      </c>
      <c r="W26" s="773">
        <f>J26</f>
        <v>100</v>
      </c>
      <c r="X26" s="1813"/>
      <c r="Y26" s="3287"/>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285"/>
      <c r="Q27" s="1795" t="str">
        <f t="shared" si="11"/>
        <v>人流量</v>
      </c>
      <c r="R27" s="768" t="s">
        <v>17</v>
      </c>
      <c r="S27" s="769">
        <f>F27</f>
        <v>100</v>
      </c>
      <c r="T27" s="768" t="s">
        <v>17</v>
      </c>
      <c r="U27" s="769">
        <f>H27</f>
        <v>100</v>
      </c>
      <c r="V27" s="768" t="s">
        <v>17</v>
      </c>
      <c r="W27" s="769">
        <f>J27</f>
        <v>100</v>
      </c>
      <c r="X27" s="770"/>
      <c r="Y27" s="3287"/>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85"/>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8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85"/>
      <c r="Q29" s="1810">
        <f t="shared" si="11"/>
        <v>111</v>
      </c>
      <c r="R29" s="772" t="s">
        <v>17</v>
      </c>
      <c r="S29" s="773">
        <f t="shared" si="12"/>
        <v>100</v>
      </c>
      <c r="T29" s="772" t="s">
        <v>17</v>
      </c>
      <c r="U29" s="773">
        <f t="shared" si="13"/>
        <v>100</v>
      </c>
      <c r="V29" s="772" t="s">
        <v>17</v>
      </c>
      <c r="W29" s="773">
        <f t="shared" si="14"/>
        <v>100</v>
      </c>
      <c r="X29" s="1813"/>
      <c r="Y29" s="328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85"/>
      <c r="Q30" s="1810">
        <f t="shared" si="11"/>
        <v>111</v>
      </c>
      <c r="R30" s="772" t="s">
        <v>17</v>
      </c>
      <c r="S30" s="773">
        <f t="shared" si="12"/>
        <v>100</v>
      </c>
      <c r="T30" s="772" t="s">
        <v>17</v>
      </c>
      <c r="U30" s="773">
        <f t="shared" si="13"/>
        <v>100</v>
      </c>
      <c r="V30" s="772" t="s">
        <v>17</v>
      </c>
      <c r="W30" s="773">
        <f t="shared" si="14"/>
        <v>100</v>
      </c>
      <c r="X30" s="1813"/>
      <c r="Y30" s="328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85"/>
      <c r="Q31" s="1810">
        <f t="shared" si="11"/>
        <v>111</v>
      </c>
      <c r="R31" s="772" t="s">
        <v>17</v>
      </c>
      <c r="S31" s="773">
        <f t="shared" si="12"/>
        <v>100</v>
      </c>
      <c r="T31" s="772" t="s">
        <v>17</v>
      </c>
      <c r="U31" s="773">
        <f t="shared" si="13"/>
        <v>100</v>
      </c>
      <c r="V31" s="772" t="s">
        <v>17</v>
      </c>
      <c r="W31" s="773">
        <f t="shared" si="14"/>
        <v>100</v>
      </c>
      <c r="X31" s="1813"/>
      <c r="Y31" s="3287"/>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288" t="s">
        <v>2563</v>
      </c>
      <c r="Q32" s="1810" t="str">
        <f t="shared" si="11"/>
        <v>商业类型</v>
      </c>
      <c r="R32" s="772" t="s">
        <v>17</v>
      </c>
      <c r="S32" s="773">
        <f t="shared" si="12"/>
        <v>100</v>
      </c>
      <c r="T32" s="772" t="s">
        <v>17</v>
      </c>
      <c r="U32" s="773">
        <f t="shared" si="13"/>
        <v>100</v>
      </c>
      <c r="V32" s="772" t="s">
        <v>17</v>
      </c>
      <c r="W32" s="773">
        <f t="shared" si="14"/>
        <v>100</v>
      </c>
      <c r="X32" s="1813"/>
      <c r="Y32" s="3291"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89"/>
      <c r="Q33" s="774" t="str">
        <f t="shared" si="11"/>
        <v>项目建筑规模</v>
      </c>
      <c r="R33" s="775" t="s">
        <v>17</v>
      </c>
      <c r="S33" s="776" t="e">
        <f t="shared" si="12"/>
        <v>#N/A</v>
      </c>
      <c r="T33" s="775" t="s">
        <v>17</v>
      </c>
      <c r="U33" s="776" t="e">
        <f t="shared" si="13"/>
        <v>#N/A</v>
      </c>
      <c r="V33" s="775" t="s">
        <v>17</v>
      </c>
      <c r="W33" s="776" t="e">
        <f t="shared" si="14"/>
        <v>#N/A</v>
      </c>
      <c r="X33" s="777"/>
      <c r="Y33" s="3291"/>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289"/>
      <c r="Q34" s="1810" t="str">
        <f t="shared" si="11"/>
        <v>建筑结构</v>
      </c>
      <c r="R34" s="772" t="s">
        <v>17</v>
      </c>
      <c r="S34" s="773">
        <f t="shared" si="12"/>
        <v>100</v>
      </c>
      <c r="T34" s="772" t="s">
        <v>17</v>
      </c>
      <c r="U34" s="773">
        <f t="shared" si="13"/>
        <v>100</v>
      </c>
      <c r="V34" s="772" t="s">
        <v>17</v>
      </c>
      <c r="W34" s="773">
        <f t="shared" si="14"/>
        <v>100</v>
      </c>
      <c r="X34" s="1813"/>
      <c r="Y34" s="3291"/>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289"/>
      <c r="Q35" s="1810" t="str">
        <f t="shared" si="11"/>
        <v>公共部分装修</v>
      </c>
      <c r="R35" s="772" t="s">
        <v>17</v>
      </c>
      <c r="S35" s="773">
        <f t="shared" si="12"/>
        <v>100</v>
      </c>
      <c r="T35" s="772" t="s">
        <v>17</v>
      </c>
      <c r="U35" s="773">
        <f t="shared" si="13"/>
        <v>100</v>
      </c>
      <c r="V35" s="772" t="s">
        <v>17</v>
      </c>
      <c r="W35" s="773">
        <f t="shared" si="14"/>
        <v>100</v>
      </c>
      <c r="X35" s="1813"/>
      <c r="Y35" s="3291"/>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89"/>
      <c r="Q36" s="1810" t="str">
        <f t="shared" si="11"/>
        <v>成新度</v>
      </c>
      <c r="R36" s="772" t="s">
        <v>17</v>
      </c>
      <c r="S36" s="773" t="e">
        <f t="shared" si="12"/>
        <v>#N/A</v>
      </c>
      <c r="T36" s="772" t="s">
        <v>17</v>
      </c>
      <c r="U36" s="773" t="e">
        <f t="shared" si="13"/>
        <v>#N/A</v>
      </c>
      <c r="V36" s="772" t="s">
        <v>17</v>
      </c>
      <c r="W36" s="773" t="e">
        <f t="shared" si="14"/>
        <v>#N/A</v>
      </c>
      <c r="X36" s="1813"/>
      <c r="Y36" s="3291"/>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289"/>
      <c r="Q37" s="1795" t="str">
        <f t="shared" si="11"/>
        <v>市政基础设施</v>
      </c>
      <c r="R37" s="768" t="s">
        <v>17</v>
      </c>
      <c r="S37" s="769">
        <f t="shared" si="12"/>
        <v>100</v>
      </c>
      <c r="T37" s="768" t="s">
        <v>17</v>
      </c>
      <c r="U37" s="769">
        <f t="shared" si="13"/>
        <v>100</v>
      </c>
      <c r="V37" s="768" t="s">
        <v>17</v>
      </c>
      <c r="W37" s="769">
        <f t="shared" si="14"/>
        <v>100</v>
      </c>
      <c r="X37" s="770"/>
      <c r="Y37" s="3291"/>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89" t="s">
        <v>2563</v>
      </c>
      <c r="Q38" s="1810" t="str">
        <f t="shared" si="11"/>
        <v>业态</v>
      </c>
      <c r="R38" s="772" t="s">
        <v>17</v>
      </c>
      <c r="S38" s="773">
        <f t="shared" si="12"/>
        <v>100</v>
      </c>
      <c r="T38" s="772" t="s">
        <v>17</v>
      </c>
      <c r="U38" s="773">
        <f t="shared" si="13"/>
        <v>100</v>
      </c>
      <c r="V38" s="772" t="s">
        <v>17</v>
      </c>
      <c r="W38" s="773">
        <f t="shared" si="14"/>
        <v>100</v>
      </c>
      <c r="X38" s="1813"/>
      <c r="Y38" s="3291"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289"/>
      <c r="Q39" s="1810" t="str">
        <f t="shared" si="11"/>
        <v>层高</v>
      </c>
      <c r="R39" s="772" t="s">
        <v>17</v>
      </c>
      <c r="S39" s="773">
        <f t="shared" si="12"/>
        <v>100</v>
      </c>
      <c r="T39" s="772" t="s">
        <v>17</v>
      </c>
      <c r="U39" s="773">
        <f t="shared" si="13"/>
        <v>100</v>
      </c>
      <c r="V39" s="772" t="s">
        <v>17</v>
      </c>
      <c r="W39" s="773">
        <f t="shared" si="14"/>
        <v>100</v>
      </c>
      <c r="X39" s="1813"/>
      <c r="Y39" s="3291"/>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89"/>
      <c r="Q40" s="1810" t="str">
        <f t="shared" si="11"/>
        <v>单套建筑面积</v>
      </c>
      <c r="R40" s="772" t="s">
        <v>17</v>
      </c>
      <c r="S40" s="773">
        <f t="shared" si="12"/>
        <v>100</v>
      </c>
      <c r="T40" s="772" t="s">
        <v>17</v>
      </c>
      <c r="U40" s="773">
        <f t="shared" si="13"/>
        <v>100</v>
      </c>
      <c r="V40" s="772" t="s">
        <v>17</v>
      </c>
      <c r="W40" s="773">
        <f t="shared" si="14"/>
        <v>100</v>
      </c>
      <c r="X40" s="1813"/>
      <c r="Y40" s="3291"/>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89"/>
      <c r="Q41" s="774" t="str">
        <f t="shared" si="11"/>
        <v>进深比</v>
      </c>
      <c r="R41" s="775" t="s">
        <v>17</v>
      </c>
      <c r="S41" s="776">
        <f t="shared" si="12"/>
        <v>100</v>
      </c>
      <c r="T41" s="775" t="s">
        <v>17</v>
      </c>
      <c r="U41" s="776">
        <f t="shared" si="13"/>
        <v>100</v>
      </c>
      <c r="V41" s="775" t="s">
        <v>17</v>
      </c>
      <c r="W41" s="776">
        <f t="shared" si="14"/>
        <v>100</v>
      </c>
      <c r="X41" s="777"/>
      <c r="Y41" s="3291"/>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289"/>
      <c r="Q42" s="1810" t="str">
        <f t="shared" si="11"/>
        <v>内部装修</v>
      </c>
      <c r="R42" s="772" t="s">
        <v>17</v>
      </c>
      <c r="S42" s="773">
        <f t="shared" si="12"/>
        <v>100</v>
      </c>
      <c r="T42" s="772" t="s">
        <v>17</v>
      </c>
      <c r="U42" s="773">
        <f t="shared" si="13"/>
        <v>100</v>
      </c>
      <c r="V42" s="772" t="s">
        <v>17</v>
      </c>
      <c r="W42" s="773">
        <f t="shared" si="14"/>
        <v>100</v>
      </c>
      <c r="X42" s="1813"/>
      <c r="Y42" s="3291"/>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289"/>
      <c r="Q43" s="1810" t="str">
        <f t="shared" si="11"/>
        <v>内部装修维护情况</v>
      </c>
      <c r="R43" s="772" t="s">
        <v>17</v>
      </c>
      <c r="S43" s="773">
        <f t="shared" si="12"/>
        <v>100</v>
      </c>
      <c r="T43" s="772" t="s">
        <v>17</v>
      </c>
      <c r="U43" s="773">
        <f t="shared" si="13"/>
        <v>100</v>
      </c>
      <c r="V43" s="772" t="s">
        <v>17</v>
      </c>
      <c r="W43" s="773">
        <f t="shared" si="14"/>
        <v>100</v>
      </c>
      <c r="X43" s="1813"/>
      <c r="Y43" s="329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89"/>
      <c r="Q44" s="1795">
        <f t="shared" si="11"/>
        <v>111</v>
      </c>
      <c r="R44" s="768" t="s">
        <v>17</v>
      </c>
      <c r="S44" s="769">
        <f t="shared" si="12"/>
        <v>100</v>
      </c>
      <c r="T44" s="768" t="s">
        <v>17</v>
      </c>
      <c r="U44" s="769">
        <f t="shared" si="13"/>
        <v>100</v>
      </c>
      <c r="V44" s="768" t="s">
        <v>17</v>
      </c>
      <c r="W44" s="769">
        <f t="shared" si="14"/>
        <v>100</v>
      </c>
      <c r="X44" s="770"/>
      <c r="Y44" s="3291"/>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89"/>
      <c r="Q45" s="1810">
        <f t="shared" si="11"/>
        <v>111</v>
      </c>
      <c r="R45" s="772" t="s">
        <v>17</v>
      </c>
      <c r="S45" s="773">
        <f t="shared" si="12"/>
        <v>100</v>
      </c>
      <c r="T45" s="772" t="s">
        <v>17</v>
      </c>
      <c r="U45" s="773">
        <f t="shared" si="13"/>
        <v>100</v>
      </c>
      <c r="V45" s="772" t="s">
        <v>17</v>
      </c>
      <c r="W45" s="773">
        <f t="shared" si="14"/>
        <v>100</v>
      </c>
      <c r="X45" s="1813"/>
      <c r="Y45" s="3291"/>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90"/>
      <c r="Q46" s="1810">
        <f t="shared" si="11"/>
        <v>111</v>
      </c>
      <c r="R46" s="772" t="s">
        <v>17</v>
      </c>
      <c r="S46" s="773">
        <f t="shared" si="12"/>
        <v>100</v>
      </c>
      <c r="T46" s="772" t="s">
        <v>17</v>
      </c>
      <c r="U46" s="773">
        <f t="shared" si="13"/>
        <v>100</v>
      </c>
      <c r="V46" s="772" t="s">
        <v>17</v>
      </c>
      <c r="W46" s="773">
        <f t="shared" si="14"/>
        <v>100</v>
      </c>
      <c r="X46" s="1813"/>
      <c r="Y46" s="3292"/>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93" t="str">
        <f>A47</f>
        <v>成交单价（元/平方米）</v>
      </c>
      <c r="Q47" s="3293"/>
      <c r="R47" s="3281">
        <f>E47</f>
        <v>0</v>
      </c>
      <c r="S47" s="3281"/>
      <c r="T47" s="3281">
        <f>G47</f>
        <v>0</v>
      </c>
      <c r="U47" s="3281"/>
      <c r="V47" s="3281">
        <f>I47</f>
        <v>0</v>
      </c>
      <c r="W47" s="3281"/>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334" t="str">
        <f>A49</f>
        <v>估价对象XX用房的比较价值（楼面单价，元/平方米）</v>
      </c>
      <c r="Q49" s="3335"/>
      <c r="R49" s="3336" t="e">
        <f>IF(F1="售价",ROUND(AVERAGE(R48:V48),0),ROUND(AVERAGE(R48:V48),1))</f>
        <v>#DIV/0!</v>
      </c>
      <c r="S49" s="3336"/>
      <c r="T49" s="3336"/>
      <c r="U49" s="3336"/>
      <c r="V49" s="3336"/>
      <c r="W49" s="33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86" t="s">
        <v>2558</v>
      </c>
      <c r="Q15" s="1810" t="str">
        <f t="shared" si="6"/>
        <v>产业集聚程度</v>
      </c>
      <c r="R15" s="772" t="s">
        <v>17</v>
      </c>
      <c r="S15" s="773">
        <f t="shared" si="0"/>
        <v>100</v>
      </c>
      <c r="T15" s="772" t="s">
        <v>17</v>
      </c>
      <c r="U15" s="773">
        <f t="shared" si="1"/>
        <v>100</v>
      </c>
      <c r="V15" s="772" t="s">
        <v>17</v>
      </c>
      <c r="W15" s="773">
        <f t="shared" si="2"/>
        <v>100</v>
      </c>
      <c r="X15" s="1813"/>
      <c r="Y15" s="3286"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87"/>
      <c r="Q16" s="1810"/>
      <c r="R16" s="772"/>
      <c r="S16" s="773"/>
      <c r="T16" s="772"/>
      <c r="U16" s="773"/>
      <c r="V16" s="772"/>
      <c r="W16" s="773"/>
      <c r="X16" s="1813"/>
      <c r="Y16" s="3287"/>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87"/>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287"/>
      <c r="Q18" s="1810"/>
      <c r="R18" s="772"/>
      <c r="S18" s="773"/>
      <c r="T18" s="772"/>
      <c r="U18" s="773"/>
      <c r="V18" s="772"/>
      <c r="W18" s="773"/>
      <c r="X18" s="1813"/>
      <c r="Y18" s="3287"/>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87"/>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287"/>
      <c r="Q20" s="1810"/>
      <c r="R20" s="772"/>
      <c r="S20" s="773"/>
      <c r="T20" s="772"/>
      <c r="U20" s="773"/>
      <c r="V20" s="772"/>
      <c r="W20" s="773"/>
      <c r="X20" s="1813"/>
      <c r="Y20" s="3287"/>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87"/>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287"/>
      <c r="Q22" s="1810"/>
      <c r="R22" s="772"/>
      <c r="S22" s="773"/>
      <c r="T22" s="772"/>
      <c r="U22" s="773"/>
      <c r="V22" s="772"/>
      <c r="W22" s="773"/>
      <c r="X22" s="1813"/>
      <c r="Y22" s="3287"/>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87"/>
      <c r="Q23" s="1810" t="str">
        <f>B23</f>
        <v>环境质量</v>
      </c>
      <c r="R23" s="772" t="s">
        <v>17</v>
      </c>
      <c r="S23" s="773">
        <f>F23</f>
        <v>100</v>
      </c>
      <c r="T23" s="772" t="s">
        <v>17</v>
      </c>
      <c r="U23" s="773">
        <f>H23</f>
        <v>100</v>
      </c>
      <c r="V23" s="772" t="s">
        <v>17</v>
      </c>
      <c r="W23" s="773">
        <f>J23</f>
        <v>100</v>
      </c>
      <c r="X23" s="1813"/>
      <c r="Y23" s="3287"/>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287"/>
      <c r="Q24" s="1810"/>
      <c r="R24" s="772"/>
      <c r="S24" s="773"/>
      <c r="T24" s="772"/>
      <c r="U24" s="773"/>
      <c r="V24" s="772"/>
      <c r="W24" s="773"/>
      <c r="X24" s="1813"/>
      <c r="Y24" s="328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87"/>
      <c r="Q25" s="1810">
        <f>B25</f>
        <v>111</v>
      </c>
      <c r="R25" s="772" t="s">
        <v>17</v>
      </c>
      <c r="S25" s="773">
        <f>F25</f>
        <v>100</v>
      </c>
      <c r="T25" s="772" t="s">
        <v>17</v>
      </c>
      <c r="U25" s="773">
        <f>H25</f>
        <v>100</v>
      </c>
      <c r="V25" s="772" t="s">
        <v>17</v>
      </c>
      <c r="W25" s="773">
        <f>J25</f>
        <v>100</v>
      </c>
      <c r="X25" s="1813"/>
      <c r="Y25" s="328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87"/>
      <c r="Q26" s="1810">
        <f t="shared" ref="Q26:Q40" si="11">B26</f>
        <v>111</v>
      </c>
      <c r="R26" s="772" t="s">
        <v>17</v>
      </c>
      <c r="S26" s="773">
        <f>F26</f>
        <v>100</v>
      </c>
      <c r="T26" s="772" t="s">
        <v>17</v>
      </c>
      <c r="U26" s="773">
        <f>H26</f>
        <v>100</v>
      </c>
      <c r="V26" s="772" t="s">
        <v>17</v>
      </c>
      <c r="W26" s="773">
        <f>J26</f>
        <v>100</v>
      </c>
      <c r="X26" s="1813"/>
      <c r="Y26" s="328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87"/>
      <c r="Q27" s="1795">
        <f t="shared" si="11"/>
        <v>111</v>
      </c>
      <c r="R27" s="768" t="s">
        <v>17</v>
      </c>
      <c r="S27" s="769">
        <f>F27</f>
        <v>100</v>
      </c>
      <c r="T27" s="768" t="s">
        <v>17</v>
      </c>
      <c r="U27" s="769">
        <f>H27</f>
        <v>100</v>
      </c>
      <c r="V27" s="768" t="s">
        <v>17</v>
      </c>
      <c r="W27" s="769">
        <f>J27</f>
        <v>100</v>
      </c>
      <c r="X27" s="770"/>
      <c r="Y27" s="328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87"/>
      <c r="Q28" s="1810">
        <f t="shared" si="11"/>
        <v>111</v>
      </c>
      <c r="R28" s="772" t="s">
        <v>17</v>
      </c>
      <c r="S28" s="773">
        <f t="shared" ref="S28:S40" si="12">F28</f>
        <v>100</v>
      </c>
      <c r="T28" s="772" t="s">
        <v>17</v>
      </c>
      <c r="U28" s="773">
        <f t="shared" ref="U28:U40" si="13">H28</f>
        <v>100</v>
      </c>
      <c r="V28" s="772" t="s">
        <v>17</v>
      </c>
      <c r="W28" s="773">
        <f t="shared" ref="W28:W40" si="14">J28</f>
        <v>100</v>
      </c>
      <c r="X28" s="1813"/>
      <c r="Y28" s="3287"/>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37" t="s">
        <v>2563</v>
      </c>
      <c r="Q29" s="1810" t="str">
        <f t="shared" si="11"/>
        <v>建筑类型</v>
      </c>
      <c r="R29" s="772" t="s">
        <v>17</v>
      </c>
      <c r="S29" s="773">
        <f t="shared" si="12"/>
        <v>100</v>
      </c>
      <c r="T29" s="772" t="s">
        <v>17</v>
      </c>
      <c r="U29" s="773">
        <f t="shared" si="13"/>
        <v>100</v>
      </c>
      <c r="V29" s="772" t="s">
        <v>17</v>
      </c>
      <c r="W29" s="773">
        <f t="shared" si="14"/>
        <v>100</v>
      </c>
      <c r="X29" s="1813"/>
      <c r="Y29" s="3291"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91"/>
      <c r="Q30" s="774" t="str">
        <f t="shared" si="11"/>
        <v>项目建筑规模</v>
      </c>
      <c r="R30" s="775" t="s">
        <v>17</v>
      </c>
      <c r="S30" s="776" t="e">
        <f t="shared" si="12"/>
        <v>#N/A</v>
      </c>
      <c r="T30" s="775" t="s">
        <v>17</v>
      </c>
      <c r="U30" s="776" t="e">
        <f t="shared" si="13"/>
        <v>#N/A</v>
      </c>
      <c r="V30" s="775" t="s">
        <v>17</v>
      </c>
      <c r="W30" s="776" t="e">
        <f t="shared" si="14"/>
        <v>#N/A</v>
      </c>
      <c r="X30" s="777"/>
      <c r="Y30" s="3291"/>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91"/>
      <c r="Q31" s="1810" t="str">
        <f t="shared" si="11"/>
        <v>建筑结构</v>
      </c>
      <c r="R31" s="772" t="s">
        <v>17</v>
      </c>
      <c r="S31" s="773">
        <f t="shared" si="12"/>
        <v>100</v>
      </c>
      <c r="T31" s="772" t="s">
        <v>17</v>
      </c>
      <c r="U31" s="773">
        <f t="shared" si="13"/>
        <v>100</v>
      </c>
      <c r="V31" s="772" t="s">
        <v>17</v>
      </c>
      <c r="W31" s="773">
        <f t="shared" si="14"/>
        <v>100</v>
      </c>
      <c r="X31" s="1813"/>
      <c r="Y31" s="3291"/>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91"/>
      <c r="Q32" s="1810" t="str">
        <f t="shared" si="11"/>
        <v>公共部分装修</v>
      </c>
      <c r="R32" s="772" t="s">
        <v>17</v>
      </c>
      <c r="S32" s="773">
        <f t="shared" si="12"/>
        <v>100</v>
      </c>
      <c r="T32" s="772" t="s">
        <v>17</v>
      </c>
      <c r="U32" s="773">
        <f t="shared" si="13"/>
        <v>100</v>
      </c>
      <c r="V32" s="772" t="s">
        <v>17</v>
      </c>
      <c r="W32" s="773">
        <f t="shared" si="14"/>
        <v>100</v>
      </c>
      <c r="X32" s="1813"/>
      <c r="Y32" s="3291"/>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91"/>
      <c r="Q33" s="1810" t="str">
        <f t="shared" si="11"/>
        <v>成新度</v>
      </c>
      <c r="R33" s="772" t="s">
        <v>17</v>
      </c>
      <c r="S33" s="773" t="e">
        <f t="shared" si="12"/>
        <v>#N/A</v>
      </c>
      <c r="T33" s="772" t="s">
        <v>17</v>
      </c>
      <c r="U33" s="773" t="e">
        <f t="shared" si="13"/>
        <v>#N/A</v>
      </c>
      <c r="V33" s="772" t="s">
        <v>17</v>
      </c>
      <c r="W33" s="773" t="e">
        <f t="shared" si="14"/>
        <v>#N/A</v>
      </c>
      <c r="X33" s="1813"/>
      <c r="Y33" s="3291"/>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91"/>
      <c r="Q34" s="1795" t="str">
        <f t="shared" si="11"/>
        <v>物业管理</v>
      </c>
      <c r="R34" s="768" t="s">
        <v>17</v>
      </c>
      <c r="S34" s="769">
        <f t="shared" si="12"/>
        <v>100</v>
      </c>
      <c r="T34" s="768" t="s">
        <v>17</v>
      </c>
      <c r="U34" s="769">
        <f t="shared" si="13"/>
        <v>100</v>
      </c>
      <c r="V34" s="768" t="s">
        <v>17</v>
      </c>
      <c r="W34" s="769">
        <f t="shared" si="14"/>
        <v>100</v>
      </c>
      <c r="X34" s="770"/>
      <c r="Y34" s="3291"/>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91" t="s">
        <v>2563</v>
      </c>
      <c r="Q35" s="1810" t="str">
        <f t="shared" si="11"/>
        <v>市政基础设施</v>
      </c>
      <c r="R35" s="772" t="s">
        <v>17</v>
      </c>
      <c r="S35" s="773">
        <f t="shared" si="12"/>
        <v>100</v>
      </c>
      <c r="T35" s="772" t="s">
        <v>17</v>
      </c>
      <c r="U35" s="773">
        <f t="shared" si="13"/>
        <v>100</v>
      </c>
      <c r="V35" s="772" t="s">
        <v>17</v>
      </c>
      <c r="W35" s="773">
        <f t="shared" si="14"/>
        <v>100</v>
      </c>
      <c r="X35" s="1813"/>
      <c r="Y35" s="3291"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91"/>
      <c r="Q36" s="1810" t="str">
        <f t="shared" si="11"/>
        <v>内部装修</v>
      </c>
      <c r="R36" s="772" t="s">
        <v>17</v>
      </c>
      <c r="S36" s="773">
        <f t="shared" si="12"/>
        <v>100</v>
      </c>
      <c r="T36" s="772" t="s">
        <v>17</v>
      </c>
      <c r="U36" s="773">
        <f t="shared" si="13"/>
        <v>100</v>
      </c>
      <c r="V36" s="772" t="s">
        <v>17</v>
      </c>
      <c r="W36" s="773">
        <f t="shared" si="14"/>
        <v>100</v>
      </c>
      <c r="X36" s="1813"/>
      <c r="Y36" s="3291"/>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91"/>
      <c r="Q37" s="1810" t="str">
        <f t="shared" si="11"/>
        <v>内部装修状况</v>
      </c>
      <c r="R37" s="772" t="s">
        <v>17</v>
      </c>
      <c r="S37" s="773">
        <f t="shared" si="12"/>
        <v>100</v>
      </c>
      <c r="T37" s="772" t="s">
        <v>17</v>
      </c>
      <c r="U37" s="773">
        <f t="shared" si="13"/>
        <v>100</v>
      </c>
      <c r="V37" s="772" t="s">
        <v>17</v>
      </c>
      <c r="W37" s="773">
        <f t="shared" si="14"/>
        <v>100</v>
      </c>
      <c r="X37" s="1813"/>
      <c r="Y37" s="329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91"/>
      <c r="Q38" s="774">
        <f t="shared" si="11"/>
        <v>111</v>
      </c>
      <c r="R38" s="775" t="s">
        <v>17</v>
      </c>
      <c r="S38" s="776">
        <f t="shared" si="12"/>
        <v>100</v>
      </c>
      <c r="T38" s="775" t="s">
        <v>17</v>
      </c>
      <c r="U38" s="776">
        <f t="shared" si="13"/>
        <v>100</v>
      </c>
      <c r="V38" s="775" t="s">
        <v>17</v>
      </c>
      <c r="W38" s="776">
        <f t="shared" si="14"/>
        <v>100</v>
      </c>
      <c r="X38" s="777"/>
      <c r="Y38" s="3291"/>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91"/>
      <c r="Q39" s="1810">
        <f t="shared" si="11"/>
        <v>111</v>
      </c>
      <c r="R39" s="772" t="s">
        <v>17</v>
      </c>
      <c r="S39" s="773">
        <f t="shared" si="12"/>
        <v>100</v>
      </c>
      <c r="T39" s="772" t="s">
        <v>17</v>
      </c>
      <c r="U39" s="773">
        <f t="shared" si="13"/>
        <v>100</v>
      </c>
      <c r="V39" s="772" t="s">
        <v>17</v>
      </c>
      <c r="W39" s="773">
        <f t="shared" si="14"/>
        <v>100</v>
      </c>
      <c r="X39" s="1813"/>
      <c r="Y39" s="3291"/>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92"/>
      <c r="Q40" s="1810">
        <f t="shared" si="11"/>
        <v>111</v>
      </c>
      <c r="R40" s="772" t="s">
        <v>17</v>
      </c>
      <c r="S40" s="773">
        <f t="shared" si="12"/>
        <v>100</v>
      </c>
      <c r="T40" s="772" t="s">
        <v>17</v>
      </c>
      <c r="U40" s="773">
        <f t="shared" si="13"/>
        <v>100</v>
      </c>
      <c r="V40" s="772" t="s">
        <v>17</v>
      </c>
      <c r="W40" s="773">
        <f t="shared" si="14"/>
        <v>100</v>
      </c>
      <c r="X40" s="1813"/>
      <c r="Y40" s="3292"/>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93" t="str">
        <f>A41</f>
        <v>成交单价（元/平方米）</v>
      </c>
      <c r="Q41" s="3293"/>
      <c r="R41" s="3294">
        <f>E41</f>
        <v>0</v>
      </c>
      <c r="S41" s="3294"/>
      <c r="T41" s="3294">
        <f>G41</f>
        <v>0</v>
      </c>
      <c r="U41" s="3294"/>
      <c r="V41" s="3294">
        <f>I41</f>
        <v>0</v>
      </c>
      <c r="W41" s="3294"/>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334" t="str">
        <f>A43</f>
        <v>估价对象XX用房的比较价值（楼面单价，元/平方米）</v>
      </c>
      <c r="Q43" s="3335"/>
      <c r="R43" s="3336" t="e">
        <f>IF(F1="售价",ROUND(AVERAGE(R42:V42),0),ROUND(AVERAGE(R42:V42),1))</f>
        <v>#DIV/0!</v>
      </c>
      <c r="S43" s="3336"/>
      <c r="T43" s="3336"/>
      <c r="U43" s="3336"/>
      <c r="V43" s="3336"/>
      <c r="W43" s="333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50" t="s">
        <v>2547</v>
      </c>
      <c r="Q7" s="3283"/>
      <c r="R7" s="768" t="s">
        <v>17</v>
      </c>
      <c r="S7" s="769">
        <f t="shared" ref="S7:S14" si="0">F7</f>
        <v>0</v>
      </c>
      <c r="T7" s="768" t="s">
        <v>17</v>
      </c>
      <c r="U7" s="769">
        <f t="shared" ref="U7:U14" si="1">H7</f>
        <v>0</v>
      </c>
      <c r="V7" s="768" t="s">
        <v>17</v>
      </c>
      <c r="W7" s="769">
        <f t="shared" ref="W7:W14"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93" t="s">
        <v>2553</v>
      </c>
      <c r="Q9" s="1795" t="str">
        <f t="shared" ref="Q9:Q14" si="6">B9</f>
        <v>用途</v>
      </c>
      <c r="R9" s="768" t="s">
        <v>17</v>
      </c>
      <c r="S9" s="769">
        <f t="shared" si="0"/>
        <v>100</v>
      </c>
      <c r="T9" s="768" t="s">
        <v>17</v>
      </c>
      <c r="U9" s="769">
        <f t="shared" si="1"/>
        <v>100</v>
      </c>
      <c r="V9" s="768" t="s">
        <v>17</v>
      </c>
      <c r="W9" s="769">
        <f t="shared" si="2"/>
        <v>100</v>
      </c>
      <c r="X9" s="770"/>
      <c r="Y9" s="3124"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93"/>
      <c r="Q11" s="1795">
        <f t="shared" si="6"/>
        <v>111</v>
      </c>
      <c r="R11" s="768" t="s">
        <v>17</v>
      </c>
      <c r="S11" s="769">
        <f t="shared" si="0"/>
        <v>100</v>
      </c>
      <c r="T11" s="768" t="s">
        <v>17</v>
      </c>
      <c r="U11" s="769">
        <f t="shared" si="1"/>
        <v>100</v>
      </c>
      <c r="V11" s="768" t="s">
        <v>17</v>
      </c>
      <c r="W11" s="769">
        <f t="shared" si="2"/>
        <v>100</v>
      </c>
      <c r="X11" s="770"/>
      <c r="Y11" s="312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86" t="s">
        <v>2558</v>
      </c>
      <c r="Q14" s="1810" t="str">
        <f t="shared" si="6"/>
        <v>交通便捷度</v>
      </c>
      <c r="R14" s="772" t="s">
        <v>17</v>
      </c>
      <c r="S14" s="773">
        <f t="shared" si="0"/>
        <v>100</v>
      </c>
      <c r="T14" s="772" t="s">
        <v>17</v>
      </c>
      <c r="U14" s="773">
        <f t="shared" si="1"/>
        <v>100</v>
      </c>
      <c r="V14" s="772" t="s">
        <v>17</v>
      </c>
      <c r="W14" s="773">
        <f t="shared" si="2"/>
        <v>100</v>
      </c>
      <c r="X14" s="1813"/>
      <c r="Y14" s="3286"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87"/>
      <c r="Q15" s="1810"/>
      <c r="R15" s="772"/>
      <c r="S15" s="773"/>
      <c r="T15" s="772"/>
      <c r="U15" s="773"/>
      <c r="V15" s="772"/>
      <c r="W15" s="773"/>
      <c r="X15" s="1813"/>
      <c r="Y15" s="3287"/>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87"/>
      <c r="Q16" s="1810" t="str">
        <f>B16</f>
        <v>公共配套设施</v>
      </c>
      <c r="R16" s="772" t="s">
        <v>17</v>
      </c>
      <c r="S16" s="773">
        <f>F16</f>
        <v>100</v>
      </c>
      <c r="T16" s="772" t="s">
        <v>17</v>
      </c>
      <c r="U16" s="773">
        <f>H16</f>
        <v>100</v>
      </c>
      <c r="V16" s="772" t="s">
        <v>17</v>
      </c>
      <c r="W16" s="773">
        <f>J16</f>
        <v>100</v>
      </c>
      <c r="X16" s="1813"/>
      <c r="Y16" s="3287"/>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287"/>
      <c r="Q17" s="1810"/>
      <c r="R17" s="772"/>
      <c r="S17" s="773"/>
      <c r="T17" s="772"/>
      <c r="U17" s="773"/>
      <c r="V17" s="772"/>
      <c r="W17" s="773"/>
      <c r="X17" s="1813"/>
      <c r="Y17" s="3287"/>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87"/>
      <c r="Q18" s="1810" t="str">
        <f>B18</f>
        <v>基础设施水平</v>
      </c>
      <c r="R18" s="772" t="s">
        <v>17</v>
      </c>
      <c r="S18" s="773">
        <f>F18</f>
        <v>100</v>
      </c>
      <c r="T18" s="772" t="s">
        <v>17</v>
      </c>
      <c r="U18" s="773">
        <f>H18</f>
        <v>100</v>
      </c>
      <c r="V18" s="772" t="s">
        <v>17</v>
      </c>
      <c r="W18" s="773">
        <f>J18</f>
        <v>100</v>
      </c>
      <c r="X18" s="1813"/>
      <c r="Y18" s="3287"/>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287"/>
      <c r="Q19" s="1810"/>
      <c r="R19" s="772"/>
      <c r="S19" s="773"/>
      <c r="T19" s="772"/>
      <c r="U19" s="773"/>
      <c r="V19" s="772"/>
      <c r="W19" s="773"/>
      <c r="X19" s="1813"/>
      <c r="Y19" s="3287"/>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87"/>
      <c r="Q20" s="1810" t="str">
        <f>B20</f>
        <v>自然及人文环境</v>
      </c>
      <c r="R20" s="772" t="s">
        <v>17</v>
      </c>
      <c r="S20" s="773">
        <f>F20</f>
        <v>100</v>
      </c>
      <c r="T20" s="772" t="s">
        <v>17</v>
      </c>
      <c r="U20" s="773">
        <f>H20</f>
        <v>100</v>
      </c>
      <c r="V20" s="772" t="s">
        <v>17</v>
      </c>
      <c r="W20" s="773">
        <f>J20</f>
        <v>100</v>
      </c>
      <c r="X20" s="1813"/>
      <c r="Y20" s="328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87"/>
      <c r="Q21" s="1810"/>
      <c r="R21" s="772"/>
      <c r="S21" s="773"/>
      <c r="T21" s="772"/>
      <c r="U21" s="773"/>
      <c r="V21" s="772"/>
      <c r="W21" s="773"/>
      <c r="X21" s="1813"/>
      <c r="Y21" s="3287"/>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87"/>
      <c r="Q22" s="1810" t="str">
        <f>B22</f>
        <v>楼层</v>
      </c>
      <c r="R22" s="772" t="s">
        <v>17</v>
      </c>
      <c r="S22" s="773">
        <f>F22</f>
        <v>100</v>
      </c>
      <c r="T22" s="772" t="s">
        <v>17</v>
      </c>
      <c r="U22" s="773">
        <f>H22</f>
        <v>100</v>
      </c>
      <c r="V22" s="772" t="s">
        <v>17</v>
      </c>
      <c r="W22" s="773">
        <f>J22</f>
        <v>100</v>
      </c>
      <c r="X22" s="1813"/>
      <c r="Y22" s="328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87"/>
      <c r="Q23" s="1810">
        <f>B23</f>
        <v>111</v>
      </c>
      <c r="R23" s="772" t="s">
        <v>17</v>
      </c>
      <c r="S23" s="773">
        <f>F23</f>
        <v>100</v>
      </c>
      <c r="T23" s="772" t="s">
        <v>17</v>
      </c>
      <c r="U23" s="773">
        <f>H23</f>
        <v>100</v>
      </c>
      <c r="V23" s="772" t="s">
        <v>17</v>
      </c>
      <c r="W23" s="773">
        <f>J23</f>
        <v>100</v>
      </c>
      <c r="X23" s="1813"/>
      <c r="Y23" s="328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87"/>
      <c r="Q24" s="1810">
        <f t="shared" ref="Q24:Q36" si="11">B24</f>
        <v>111</v>
      </c>
      <c r="R24" s="772" t="s">
        <v>17</v>
      </c>
      <c r="S24" s="773">
        <f>F24</f>
        <v>100</v>
      </c>
      <c r="T24" s="772" t="s">
        <v>17</v>
      </c>
      <c r="U24" s="773">
        <f>H24</f>
        <v>100</v>
      </c>
      <c r="V24" s="772" t="s">
        <v>17</v>
      </c>
      <c r="W24" s="773">
        <f>J24</f>
        <v>100</v>
      </c>
      <c r="X24" s="1813"/>
      <c r="Y24" s="328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87"/>
      <c r="Q25" s="1795">
        <f t="shared" si="11"/>
        <v>111</v>
      </c>
      <c r="R25" s="768" t="s">
        <v>17</v>
      </c>
      <c r="S25" s="769">
        <f>F25</f>
        <v>100</v>
      </c>
      <c r="T25" s="768" t="s">
        <v>17</v>
      </c>
      <c r="U25" s="769">
        <f>H25</f>
        <v>100</v>
      </c>
      <c r="V25" s="768" t="s">
        <v>17</v>
      </c>
      <c r="W25" s="769">
        <f>J25</f>
        <v>100</v>
      </c>
      <c r="X25" s="770"/>
      <c r="Y25" s="3287"/>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37"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91"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91"/>
      <c r="Q27" s="774" t="str">
        <f t="shared" si="11"/>
        <v>项目停车位配比</v>
      </c>
      <c r="R27" s="775" t="s">
        <v>17</v>
      </c>
      <c r="S27" s="776">
        <f t="shared" si="12"/>
        <v>100</v>
      </c>
      <c r="T27" s="775" t="s">
        <v>17</v>
      </c>
      <c r="U27" s="776">
        <f t="shared" si="13"/>
        <v>100</v>
      </c>
      <c r="V27" s="775" t="s">
        <v>17</v>
      </c>
      <c r="W27" s="776">
        <f t="shared" si="14"/>
        <v>100</v>
      </c>
      <c r="X27" s="777"/>
      <c r="Y27" s="3291"/>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91"/>
      <c r="Q28" s="1810" t="str">
        <f t="shared" si="11"/>
        <v>公共部分装修</v>
      </c>
      <c r="R28" s="772" t="s">
        <v>17</v>
      </c>
      <c r="S28" s="773">
        <f t="shared" si="12"/>
        <v>100</v>
      </c>
      <c r="T28" s="772" t="s">
        <v>17</v>
      </c>
      <c r="U28" s="773">
        <f t="shared" si="13"/>
        <v>100</v>
      </c>
      <c r="V28" s="772" t="s">
        <v>17</v>
      </c>
      <c r="W28" s="773">
        <f t="shared" si="14"/>
        <v>100</v>
      </c>
      <c r="X28" s="1813"/>
      <c r="Y28" s="3291"/>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91"/>
      <c r="Q29" s="1810" t="str">
        <f t="shared" si="11"/>
        <v>成新率</v>
      </c>
      <c r="R29" s="772" t="s">
        <v>17</v>
      </c>
      <c r="S29" s="773" t="e">
        <f t="shared" si="12"/>
        <v>#N/A</v>
      </c>
      <c r="T29" s="772" t="s">
        <v>17</v>
      </c>
      <c r="U29" s="773" t="e">
        <f t="shared" si="13"/>
        <v>#N/A</v>
      </c>
      <c r="V29" s="772" t="s">
        <v>17</v>
      </c>
      <c r="W29" s="773" t="e">
        <f t="shared" si="14"/>
        <v>#N/A</v>
      </c>
      <c r="X29" s="1813"/>
      <c r="Y29" s="3291"/>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91"/>
      <c r="Q30" s="1810" t="str">
        <f t="shared" si="11"/>
        <v>物业等级</v>
      </c>
      <c r="R30" s="772" t="s">
        <v>17</v>
      </c>
      <c r="S30" s="773">
        <f t="shared" si="12"/>
        <v>100</v>
      </c>
      <c r="T30" s="772" t="s">
        <v>17</v>
      </c>
      <c r="U30" s="773">
        <f t="shared" si="13"/>
        <v>100</v>
      </c>
      <c r="V30" s="772" t="s">
        <v>17</v>
      </c>
      <c r="W30" s="773">
        <f t="shared" si="14"/>
        <v>100</v>
      </c>
      <c r="X30" s="1813"/>
      <c r="Y30" s="3291"/>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91"/>
      <c r="Q31" s="1795" t="str">
        <f t="shared" si="11"/>
        <v>停车位面积</v>
      </c>
      <c r="R31" s="768" t="s">
        <v>17</v>
      </c>
      <c r="S31" s="769" t="e">
        <f t="shared" si="12"/>
        <v>#N/A</v>
      </c>
      <c r="T31" s="768" t="s">
        <v>17</v>
      </c>
      <c r="U31" s="769" t="e">
        <f t="shared" si="13"/>
        <v>#N/A</v>
      </c>
      <c r="V31" s="768" t="s">
        <v>17</v>
      </c>
      <c r="W31" s="769" t="e">
        <f t="shared" si="14"/>
        <v>#N/A</v>
      </c>
      <c r="X31" s="770"/>
      <c r="Y31" s="3291"/>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91" t="s">
        <v>2563</v>
      </c>
      <c r="Q32" s="1810" t="str">
        <f t="shared" si="11"/>
        <v>车位类型</v>
      </c>
      <c r="R32" s="772" t="s">
        <v>17</v>
      </c>
      <c r="S32" s="773">
        <f t="shared" si="12"/>
        <v>100</v>
      </c>
      <c r="T32" s="772" t="s">
        <v>17</v>
      </c>
      <c r="U32" s="773">
        <f t="shared" si="13"/>
        <v>100</v>
      </c>
      <c r="V32" s="772" t="s">
        <v>17</v>
      </c>
      <c r="W32" s="773">
        <f t="shared" si="14"/>
        <v>100</v>
      </c>
      <c r="X32" s="1813"/>
      <c r="Y32" s="3291"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91"/>
      <c r="Q33" s="1810" t="str">
        <f t="shared" si="11"/>
        <v>是否直接入户</v>
      </c>
      <c r="R33" s="772" t="s">
        <v>17</v>
      </c>
      <c r="S33" s="773">
        <f t="shared" si="12"/>
        <v>100</v>
      </c>
      <c r="T33" s="772" t="s">
        <v>17</v>
      </c>
      <c r="U33" s="773">
        <f t="shared" si="13"/>
        <v>100</v>
      </c>
      <c r="V33" s="772" t="s">
        <v>17</v>
      </c>
      <c r="W33" s="773">
        <f t="shared" si="14"/>
        <v>100</v>
      </c>
      <c r="X33" s="1813"/>
      <c r="Y33" s="329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91"/>
      <c r="Q34" s="1810">
        <f t="shared" si="11"/>
        <v>111</v>
      </c>
      <c r="R34" s="772" t="s">
        <v>17</v>
      </c>
      <c r="S34" s="773">
        <f t="shared" si="12"/>
        <v>100</v>
      </c>
      <c r="T34" s="772" t="s">
        <v>17</v>
      </c>
      <c r="U34" s="773">
        <f t="shared" si="13"/>
        <v>100</v>
      </c>
      <c r="V34" s="772" t="s">
        <v>17</v>
      </c>
      <c r="W34" s="773">
        <f t="shared" si="14"/>
        <v>100</v>
      </c>
      <c r="X34" s="1813"/>
      <c r="Y34" s="329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91"/>
      <c r="Q35" s="774">
        <f t="shared" si="11"/>
        <v>111</v>
      </c>
      <c r="R35" s="775" t="s">
        <v>17</v>
      </c>
      <c r="S35" s="776">
        <f t="shared" si="12"/>
        <v>100</v>
      </c>
      <c r="T35" s="775" t="s">
        <v>17</v>
      </c>
      <c r="U35" s="776">
        <f t="shared" si="13"/>
        <v>100</v>
      </c>
      <c r="V35" s="775" t="s">
        <v>17</v>
      </c>
      <c r="W35" s="776">
        <f t="shared" si="14"/>
        <v>100</v>
      </c>
      <c r="X35" s="777"/>
      <c r="Y35" s="3291"/>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91"/>
      <c r="Q36" s="1810">
        <f t="shared" si="11"/>
        <v>111</v>
      </c>
      <c r="R36" s="772" t="s">
        <v>17</v>
      </c>
      <c r="S36" s="773">
        <f t="shared" si="12"/>
        <v>100</v>
      </c>
      <c r="T36" s="772" t="s">
        <v>17</v>
      </c>
      <c r="U36" s="773">
        <f t="shared" si="13"/>
        <v>100</v>
      </c>
      <c r="V36" s="772" t="s">
        <v>17</v>
      </c>
      <c r="W36" s="773">
        <f t="shared" si="14"/>
        <v>100</v>
      </c>
      <c r="X36" s="1813"/>
      <c r="Y36" s="3291"/>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93" t="str">
        <f>A37</f>
        <v>成交单价</v>
      </c>
      <c r="Q37" s="3293"/>
      <c r="R37" s="3294">
        <f>E37</f>
        <v>0</v>
      </c>
      <c r="S37" s="3294"/>
      <c r="T37" s="3294">
        <f>G37</f>
        <v>0</v>
      </c>
      <c r="U37" s="3294"/>
      <c r="V37" s="3294">
        <f>I37</f>
        <v>0</v>
      </c>
      <c r="W37" s="3294"/>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334" t="str">
        <f>A39</f>
        <v>估价对象XX用房的比较价值（楼面单价，元/平方米）</v>
      </c>
      <c r="Q39" s="3335"/>
      <c r="R39" s="3336" t="e">
        <f>IF(F1="售价",ROUND(AVERAGE(R38:V38),0),ROUND(AVERAGE(R38:V38),1))</f>
        <v>#DIV/0!</v>
      </c>
      <c r="S39" s="3336"/>
      <c r="T39" s="3336"/>
      <c r="U39" s="3336"/>
      <c r="V39" s="3336"/>
      <c r="W39" s="333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50" t="s">
        <v>2547</v>
      </c>
      <c r="Q7" s="3283"/>
      <c r="R7" s="768" t="s">
        <v>17</v>
      </c>
      <c r="S7" s="769">
        <f t="shared" ref="S7:S14" si="0">F7</f>
        <v>0</v>
      </c>
      <c r="T7" s="768" t="s">
        <v>17</v>
      </c>
      <c r="U7" s="769">
        <f t="shared" ref="U7:U14" si="1">H7</f>
        <v>0</v>
      </c>
      <c r="V7" s="768" t="s">
        <v>17</v>
      </c>
      <c r="W7" s="769">
        <f t="shared" ref="W7:W14"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93" t="s">
        <v>2553</v>
      </c>
      <c r="Q9" s="1795" t="str">
        <f t="shared" ref="Q9:Q14" si="6">B9</f>
        <v>用途</v>
      </c>
      <c r="R9" s="768" t="s">
        <v>17</v>
      </c>
      <c r="S9" s="769">
        <f t="shared" si="0"/>
        <v>100</v>
      </c>
      <c r="T9" s="768" t="s">
        <v>17</v>
      </c>
      <c r="U9" s="769">
        <f t="shared" si="1"/>
        <v>100</v>
      </c>
      <c r="V9" s="768" t="s">
        <v>17</v>
      </c>
      <c r="W9" s="769">
        <f t="shared" si="2"/>
        <v>100</v>
      </c>
      <c r="X9" s="770"/>
      <c r="Y9" s="3124"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93"/>
      <c r="Q11" s="1795">
        <f t="shared" si="6"/>
        <v>111</v>
      </c>
      <c r="R11" s="768" t="s">
        <v>17</v>
      </c>
      <c r="S11" s="769">
        <f t="shared" si="0"/>
        <v>100</v>
      </c>
      <c r="T11" s="768" t="s">
        <v>17</v>
      </c>
      <c r="U11" s="769">
        <f t="shared" si="1"/>
        <v>100</v>
      </c>
      <c r="V11" s="768" t="s">
        <v>17</v>
      </c>
      <c r="W11" s="769">
        <f t="shared" si="2"/>
        <v>100</v>
      </c>
      <c r="X11" s="770"/>
      <c r="Y11" s="3124"/>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86" t="s">
        <v>2558</v>
      </c>
      <c r="Q14" s="1810" t="str">
        <f t="shared" si="6"/>
        <v>交通便捷度</v>
      </c>
      <c r="R14" s="772" t="s">
        <v>17</v>
      </c>
      <c r="S14" s="773">
        <f t="shared" si="0"/>
        <v>100</v>
      </c>
      <c r="T14" s="772" t="s">
        <v>17</v>
      </c>
      <c r="U14" s="773">
        <f t="shared" si="1"/>
        <v>100</v>
      </c>
      <c r="V14" s="772" t="s">
        <v>17</v>
      </c>
      <c r="W14" s="773">
        <f t="shared" si="2"/>
        <v>100</v>
      </c>
      <c r="X14" s="1813"/>
      <c r="Y14" s="3286"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87"/>
      <c r="Q15" s="1810"/>
      <c r="R15" s="772"/>
      <c r="S15" s="773"/>
      <c r="T15" s="772"/>
      <c r="U15" s="773"/>
      <c r="V15" s="772"/>
      <c r="W15" s="773"/>
      <c r="X15" s="1813"/>
      <c r="Y15" s="3287"/>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87"/>
      <c r="Q16" s="1810" t="str">
        <f>B16</f>
        <v>公共配套设施</v>
      </c>
      <c r="R16" s="772" t="s">
        <v>17</v>
      </c>
      <c r="S16" s="773">
        <f>F16</f>
        <v>100</v>
      </c>
      <c r="T16" s="772" t="s">
        <v>17</v>
      </c>
      <c r="U16" s="773">
        <f>H16</f>
        <v>100</v>
      </c>
      <c r="V16" s="772" t="s">
        <v>17</v>
      </c>
      <c r="W16" s="773">
        <f>J16</f>
        <v>100</v>
      </c>
      <c r="X16" s="1813"/>
      <c r="Y16" s="3287"/>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287"/>
      <c r="Q17" s="1810"/>
      <c r="R17" s="772"/>
      <c r="S17" s="773"/>
      <c r="T17" s="772"/>
      <c r="U17" s="773"/>
      <c r="V17" s="772"/>
      <c r="W17" s="773"/>
      <c r="X17" s="1813"/>
      <c r="Y17" s="3287"/>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87"/>
      <c r="Q18" s="1810" t="str">
        <f>B18</f>
        <v>基础设施水平</v>
      </c>
      <c r="R18" s="772" t="s">
        <v>17</v>
      </c>
      <c r="S18" s="773">
        <f>F18</f>
        <v>100</v>
      </c>
      <c r="T18" s="772" t="s">
        <v>17</v>
      </c>
      <c r="U18" s="773">
        <f>H18</f>
        <v>100</v>
      </c>
      <c r="V18" s="772" t="s">
        <v>17</v>
      </c>
      <c r="W18" s="773">
        <f>J18</f>
        <v>100</v>
      </c>
      <c r="X18" s="1813"/>
      <c r="Y18" s="3287"/>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287"/>
      <c r="Q19" s="1810"/>
      <c r="R19" s="772"/>
      <c r="S19" s="773"/>
      <c r="T19" s="772"/>
      <c r="U19" s="773"/>
      <c r="V19" s="772"/>
      <c r="W19" s="773"/>
      <c r="X19" s="1813"/>
      <c r="Y19" s="3287"/>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87"/>
      <c r="Q20" s="1810" t="str">
        <f>B20</f>
        <v>自然及人文环境</v>
      </c>
      <c r="R20" s="772" t="s">
        <v>17</v>
      </c>
      <c r="S20" s="773">
        <f>F20</f>
        <v>100</v>
      </c>
      <c r="T20" s="772" t="s">
        <v>17</v>
      </c>
      <c r="U20" s="773">
        <f>H20</f>
        <v>100</v>
      </c>
      <c r="V20" s="772" t="s">
        <v>17</v>
      </c>
      <c r="W20" s="773">
        <f>J20</f>
        <v>100</v>
      </c>
      <c r="X20" s="1813"/>
      <c r="Y20" s="328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87"/>
      <c r="Q21" s="1810"/>
      <c r="R21" s="772"/>
      <c r="S21" s="773"/>
      <c r="T21" s="772"/>
      <c r="U21" s="773"/>
      <c r="V21" s="772"/>
      <c r="W21" s="773"/>
      <c r="X21" s="1813"/>
      <c r="Y21" s="3287"/>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87"/>
      <c r="Q22" s="1810" t="str">
        <f>B22</f>
        <v>楼层</v>
      </c>
      <c r="R22" s="772" t="s">
        <v>17</v>
      </c>
      <c r="S22" s="773">
        <f>F22</f>
        <v>100</v>
      </c>
      <c r="T22" s="772" t="s">
        <v>17</v>
      </c>
      <c r="U22" s="773">
        <f>H22</f>
        <v>100</v>
      </c>
      <c r="V22" s="772" t="s">
        <v>17</v>
      </c>
      <c r="W22" s="773">
        <f>J22</f>
        <v>100</v>
      </c>
      <c r="X22" s="1813"/>
      <c r="Y22" s="3287"/>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87"/>
      <c r="Q23" s="1810">
        <f>B23</f>
        <v>111</v>
      </c>
      <c r="R23" s="772" t="s">
        <v>17</v>
      </c>
      <c r="S23" s="773">
        <f>F23</f>
        <v>100</v>
      </c>
      <c r="T23" s="772" t="s">
        <v>17</v>
      </c>
      <c r="U23" s="773">
        <f>H23</f>
        <v>100</v>
      </c>
      <c r="V23" s="772" t="s">
        <v>17</v>
      </c>
      <c r="W23" s="773">
        <f>J23</f>
        <v>100</v>
      </c>
      <c r="X23" s="1813"/>
      <c r="Y23" s="3287"/>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87"/>
      <c r="Q24" s="1810">
        <f t="shared" ref="Q24:Q34" si="11">B24</f>
        <v>111</v>
      </c>
      <c r="R24" s="772" t="s">
        <v>17</v>
      </c>
      <c r="S24" s="773">
        <f>F24</f>
        <v>100</v>
      </c>
      <c r="T24" s="772" t="s">
        <v>17</v>
      </c>
      <c r="U24" s="773">
        <f>H24</f>
        <v>100</v>
      </c>
      <c r="V24" s="772" t="s">
        <v>17</v>
      </c>
      <c r="W24" s="773">
        <f>J24</f>
        <v>100</v>
      </c>
      <c r="X24" s="1813"/>
      <c r="Y24" s="3287"/>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87"/>
      <c r="Q25" s="1795">
        <f t="shared" si="11"/>
        <v>111</v>
      </c>
      <c r="R25" s="768" t="s">
        <v>17</v>
      </c>
      <c r="S25" s="769">
        <f>F25</f>
        <v>100</v>
      </c>
      <c r="T25" s="768" t="s">
        <v>17</v>
      </c>
      <c r="U25" s="769">
        <f>H25</f>
        <v>100</v>
      </c>
      <c r="V25" s="768" t="s">
        <v>17</v>
      </c>
      <c r="W25" s="769">
        <f>J25</f>
        <v>100</v>
      </c>
      <c r="X25" s="770"/>
      <c r="Y25" s="3287"/>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37"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91"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91"/>
      <c r="Q27" s="774" t="str">
        <f t="shared" si="11"/>
        <v>成新率</v>
      </c>
      <c r="R27" s="775" t="s">
        <v>17</v>
      </c>
      <c r="S27" s="776" t="e">
        <f t="shared" si="12"/>
        <v>#N/A</v>
      </c>
      <c r="T27" s="775" t="s">
        <v>17</v>
      </c>
      <c r="U27" s="776" t="e">
        <f t="shared" si="13"/>
        <v>#N/A</v>
      </c>
      <c r="V27" s="775" t="s">
        <v>17</v>
      </c>
      <c r="W27" s="776" t="e">
        <f t="shared" si="14"/>
        <v>#N/A</v>
      </c>
      <c r="X27" s="777"/>
      <c r="Y27" s="3291"/>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91"/>
      <c r="Q28" s="1810" t="str">
        <f t="shared" si="11"/>
        <v>物业等级</v>
      </c>
      <c r="R28" s="772" t="s">
        <v>17</v>
      </c>
      <c r="S28" s="773">
        <f t="shared" si="12"/>
        <v>100</v>
      </c>
      <c r="T28" s="772" t="s">
        <v>17</v>
      </c>
      <c r="U28" s="773">
        <f t="shared" si="13"/>
        <v>100</v>
      </c>
      <c r="V28" s="772" t="s">
        <v>17</v>
      </c>
      <c r="W28" s="773">
        <f t="shared" si="14"/>
        <v>100</v>
      </c>
      <c r="X28" s="1813"/>
      <c r="Y28" s="3291"/>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91"/>
      <c r="Q29" s="1810" t="str">
        <f t="shared" si="11"/>
        <v>有无电梯</v>
      </c>
      <c r="R29" s="772" t="s">
        <v>17</v>
      </c>
      <c r="S29" s="773">
        <f t="shared" si="12"/>
        <v>100</v>
      </c>
      <c r="T29" s="772" t="s">
        <v>17</v>
      </c>
      <c r="U29" s="773">
        <f t="shared" si="13"/>
        <v>100</v>
      </c>
      <c r="V29" s="772" t="s">
        <v>17</v>
      </c>
      <c r="W29" s="773">
        <f t="shared" si="14"/>
        <v>100</v>
      </c>
      <c r="X29" s="1813"/>
      <c r="Y29" s="3291"/>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91"/>
      <c r="Q30" s="1810" t="str">
        <f t="shared" si="11"/>
        <v>建筑面积</v>
      </c>
      <c r="R30" s="772" t="s">
        <v>17</v>
      </c>
      <c r="S30" s="773" t="e">
        <f t="shared" si="12"/>
        <v>#N/A</v>
      </c>
      <c r="T30" s="772" t="s">
        <v>17</v>
      </c>
      <c r="U30" s="773" t="e">
        <f t="shared" si="13"/>
        <v>#N/A</v>
      </c>
      <c r="V30" s="772" t="s">
        <v>17</v>
      </c>
      <c r="W30" s="773" t="e">
        <f t="shared" si="14"/>
        <v>#N/A</v>
      </c>
      <c r="X30" s="1813"/>
      <c r="Y30" s="3291"/>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91"/>
      <c r="Q31" s="1795" t="str">
        <f t="shared" si="11"/>
        <v>是否封闭</v>
      </c>
      <c r="R31" s="768" t="s">
        <v>17</v>
      </c>
      <c r="S31" s="769">
        <f t="shared" si="12"/>
        <v>100</v>
      </c>
      <c r="T31" s="768" t="s">
        <v>17</v>
      </c>
      <c r="U31" s="769">
        <f t="shared" si="13"/>
        <v>100</v>
      </c>
      <c r="V31" s="768" t="s">
        <v>17</v>
      </c>
      <c r="W31" s="769">
        <f t="shared" si="14"/>
        <v>100</v>
      </c>
      <c r="X31" s="770"/>
      <c r="Y31" s="3291"/>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91" t="s">
        <v>2563</v>
      </c>
      <c r="Q32" s="1810">
        <f t="shared" si="11"/>
        <v>111</v>
      </c>
      <c r="R32" s="772" t="s">
        <v>17</v>
      </c>
      <c r="S32" s="773">
        <f t="shared" si="12"/>
        <v>100</v>
      </c>
      <c r="T32" s="772" t="s">
        <v>17</v>
      </c>
      <c r="U32" s="773">
        <f t="shared" si="13"/>
        <v>100</v>
      </c>
      <c r="V32" s="772" t="s">
        <v>17</v>
      </c>
      <c r="W32" s="773">
        <f t="shared" si="14"/>
        <v>100</v>
      </c>
      <c r="X32" s="1813"/>
      <c r="Y32" s="3291"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91"/>
      <c r="Q33" s="1810">
        <f t="shared" si="11"/>
        <v>111</v>
      </c>
      <c r="R33" s="772" t="s">
        <v>17</v>
      </c>
      <c r="S33" s="773">
        <f t="shared" si="12"/>
        <v>100</v>
      </c>
      <c r="T33" s="772" t="s">
        <v>17</v>
      </c>
      <c r="U33" s="773">
        <f t="shared" si="13"/>
        <v>100</v>
      </c>
      <c r="V33" s="772" t="s">
        <v>17</v>
      </c>
      <c r="W33" s="773">
        <f t="shared" si="14"/>
        <v>100</v>
      </c>
      <c r="X33" s="1813"/>
      <c r="Y33" s="3291"/>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91"/>
      <c r="Q34" s="1810">
        <f t="shared" si="11"/>
        <v>111</v>
      </c>
      <c r="R34" s="772" t="s">
        <v>17</v>
      </c>
      <c r="S34" s="773">
        <f t="shared" si="12"/>
        <v>100</v>
      </c>
      <c r="T34" s="772" t="s">
        <v>17</v>
      </c>
      <c r="U34" s="773">
        <f t="shared" si="13"/>
        <v>100</v>
      </c>
      <c r="V34" s="772" t="s">
        <v>17</v>
      </c>
      <c r="W34" s="773">
        <f t="shared" si="14"/>
        <v>100</v>
      </c>
      <c r="X34" s="1813"/>
      <c r="Y34" s="3291"/>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93" t="str">
        <f>A35</f>
        <v>成交单价（元/平方米）</v>
      </c>
      <c r="Q35" s="3293"/>
      <c r="R35" s="3294">
        <f>E35</f>
        <v>0</v>
      </c>
      <c r="S35" s="3294"/>
      <c r="T35" s="3294">
        <f>G35</f>
        <v>0</v>
      </c>
      <c r="U35" s="3294"/>
      <c r="V35" s="3294">
        <f>I35</f>
        <v>0</v>
      </c>
      <c r="W35" s="3294"/>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334" t="str">
        <f>A37</f>
        <v>估价对象XX用房的比较价值（楼面单价，元/平方米）</v>
      </c>
      <c r="Q37" s="3335"/>
      <c r="R37" s="3336" t="e">
        <f>IF(F1="售价",ROUND(AVERAGE(R36:V36),0),ROUND(AVERAGE(R36:V36),1))</f>
        <v>#DIV/0!</v>
      </c>
      <c r="S37" s="3336"/>
      <c r="T37" s="3336"/>
      <c r="U37" s="3336"/>
      <c r="V37" s="3336"/>
      <c r="W37" s="333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30"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30"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30" s="117" customFormat="1" ht="15.75" thickBot="1">
      <c r="A7" s="408" t="s">
        <v>2546</v>
      </c>
      <c r="B7" s="409"/>
      <c r="C7" s="410">
        <f>'数据-取费表'!B2</f>
        <v>43222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93"/>
      <c r="Q10" s="1795" t="str">
        <f t="shared" si="6"/>
        <v>土地使用年限（年）</v>
      </c>
      <c r="R10" s="768" t="s">
        <v>17</v>
      </c>
      <c r="S10" s="769">
        <f t="shared" si="0"/>
        <v>110</v>
      </c>
      <c r="T10" s="768" t="s">
        <v>17</v>
      </c>
      <c r="U10" s="769">
        <f t="shared" si="1"/>
        <v>110</v>
      </c>
      <c r="V10" s="768" t="s">
        <v>17</v>
      </c>
      <c r="W10" s="769">
        <f t="shared" si="2"/>
        <v>110</v>
      </c>
      <c r="X10" s="770"/>
      <c r="Y10" s="3124"/>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93"/>
      <c r="Q12" s="1795" t="str">
        <f t="shared" si="6"/>
        <v>配建</v>
      </c>
      <c r="R12" s="768" t="s">
        <v>17</v>
      </c>
      <c r="S12" s="769">
        <f t="shared" si="0"/>
        <v>100</v>
      </c>
      <c r="T12" s="768" t="s">
        <v>17</v>
      </c>
      <c r="U12" s="769">
        <f t="shared" si="1"/>
        <v>100</v>
      </c>
      <c r="V12" s="768" t="s">
        <v>17</v>
      </c>
      <c r="W12" s="769">
        <f t="shared" si="2"/>
        <v>100</v>
      </c>
      <c r="X12" s="770"/>
      <c r="Y12" s="3124"/>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86" t="s">
        <v>2558</v>
      </c>
      <c r="Q15" s="1810" t="str">
        <f t="shared" si="6"/>
        <v>居住社区成熟度</v>
      </c>
      <c r="R15" s="772" t="s">
        <v>17</v>
      </c>
      <c r="S15" s="773">
        <f t="shared" si="0"/>
        <v>100</v>
      </c>
      <c r="T15" s="772" t="s">
        <v>17</v>
      </c>
      <c r="U15" s="773">
        <f t="shared" si="1"/>
        <v>100</v>
      </c>
      <c r="V15" s="772" t="s">
        <v>17</v>
      </c>
      <c r="W15" s="773">
        <f t="shared" si="2"/>
        <v>100</v>
      </c>
      <c r="X15" s="1813"/>
      <c r="Y15" s="3286"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287"/>
      <c r="Q16" s="1810"/>
      <c r="R16" s="772"/>
      <c r="S16" s="773"/>
      <c r="T16" s="772"/>
      <c r="U16" s="773"/>
      <c r="V16" s="772"/>
      <c r="W16" s="773"/>
      <c r="X16" s="1813"/>
      <c r="Y16" s="3287"/>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87"/>
      <c r="Q17" s="1810" t="str">
        <f>B17</f>
        <v>商业繁华度</v>
      </c>
      <c r="R17" s="772" t="s">
        <v>17</v>
      </c>
      <c r="S17" s="773">
        <f>F17</f>
        <v>100</v>
      </c>
      <c r="T17" s="772" t="s">
        <v>17</v>
      </c>
      <c r="U17" s="773">
        <f>H17</f>
        <v>100</v>
      </c>
      <c r="V17" s="772" t="s">
        <v>17</v>
      </c>
      <c r="W17" s="773">
        <f>J17</f>
        <v>100</v>
      </c>
      <c r="X17" s="1813"/>
      <c r="Y17" s="3287"/>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287"/>
      <c r="Q18" s="1810"/>
      <c r="R18" s="772"/>
      <c r="S18" s="773"/>
      <c r="T18" s="772"/>
      <c r="U18" s="773"/>
      <c r="V18" s="772"/>
      <c r="W18" s="773"/>
      <c r="X18" s="1813"/>
      <c r="Y18" s="3287"/>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87"/>
      <c r="Q19" s="1810" t="str">
        <f>B19</f>
        <v>办公集聚程度</v>
      </c>
      <c r="R19" s="772" t="s">
        <v>17</v>
      </c>
      <c r="S19" s="773">
        <f>F19</f>
        <v>100</v>
      </c>
      <c r="T19" s="772" t="s">
        <v>17</v>
      </c>
      <c r="U19" s="773">
        <f>H19</f>
        <v>100</v>
      </c>
      <c r="V19" s="772" t="s">
        <v>17</v>
      </c>
      <c r="W19" s="773">
        <f>J19</f>
        <v>100</v>
      </c>
      <c r="X19" s="1813"/>
      <c r="Y19" s="3287"/>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287"/>
      <c r="Q20" s="1810"/>
      <c r="R20" s="772"/>
      <c r="S20" s="773"/>
      <c r="T20" s="772"/>
      <c r="U20" s="773"/>
      <c r="V20" s="772"/>
      <c r="W20" s="773"/>
      <c r="X20" s="1813"/>
      <c r="Y20" s="3287"/>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87"/>
      <c r="Q21" s="1810" t="str">
        <f>B21</f>
        <v>交通便捷度</v>
      </c>
      <c r="R21" s="772" t="s">
        <v>17</v>
      </c>
      <c r="S21" s="773">
        <f>F21</f>
        <v>100</v>
      </c>
      <c r="T21" s="772" t="s">
        <v>17</v>
      </c>
      <c r="U21" s="773">
        <f>H21</f>
        <v>100</v>
      </c>
      <c r="V21" s="772" t="s">
        <v>17</v>
      </c>
      <c r="W21" s="773">
        <f>J21</f>
        <v>100</v>
      </c>
      <c r="X21" s="1813"/>
      <c r="Y21" s="3287"/>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287"/>
      <c r="Q22" s="1810"/>
      <c r="R22" s="772"/>
      <c r="S22" s="773"/>
      <c r="T22" s="772"/>
      <c r="U22" s="773"/>
      <c r="V22" s="772"/>
      <c r="W22" s="773"/>
      <c r="X22" s="1813"/>
      <c r="Y22" s="3287"/>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87"/>
      <c r="Q23" s="1810" t="str">
        <f t="shared" ref="Q23:Q37" si="8">B23</f>
        <v>区域土地利用方向</v>
      </c>
      <c r="R23" s="772" t="s">
        <v>17</v>
      </c>
      <c r="S23" s="773">
        <f>F23</f>
        <v>100</v>
      </c>
      <c r="T23" s="772" t="s">
        <v>17</v>
      </c>
      <c r="U23" s="773">
        <f>H23</f>
        <v>100</v>
      </c>
      <c r="V23" s="772" t="s">
        <v>17</v>
      </c>
      <c r="W23" s="773">
        <f>J23</f>
        <v>100</v>
      </c>
      <c r="X23" s="1813"/>
      <c r="Y23" s="3287"/>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287"/>
      <c r="Q24" s="1810"/>
      <c r="R24" s="772"/>
      <c r="S24" s="773"/>
      <c r="T24" s="772"/>
      <c r="U24" s="773"/>
      <c r="V24" s="772"/>
      <c r="W24" s="773"/>
      <c r="X24" s="1813"/>
      <c r="Y24" s="3287"/>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87"/>
      <c r="Q25" s="1810" t="str">
        <f t="shared" si="8"/>
        <v>自然及人文环境状况</v>
      </c>
      <c r="R25" s="772" t="s">
        <v>17</v>
      </c>
      <c r="S25" s="773">
        <f>F25</f>
        <v>100</v>
      </c>
      <c r="T25" s="772" t="s">
        <v>17</v>
      </c>
      <c r="U25" s="773">
        <f>H25</f>
        <v>100</v>
      </c>
      <c r="V25" s="772" t="s">
        <v>17</v>
      </c>
      <c r="W25" s="773">
        <f>J25</f>
        <v>100</v>
      </c>
      <c r="X25" s="1813"/>
      <c r="Y25" s="3287"/>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287"/>
      <c r="Q26" s="1810"/>
      <c r="R26" s="772"/>
      <c r="S26" s="773"/>
      <c r="T26" s="772"/>
      <c r="U26" s="773"/>
      <c r="V26" s="772"/>
      <c r="W26" s="773"/>
      <c r="X26" s="1813"/>
      <c r="Y26" s="3287"/>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87"/>
      <c r="Q27" s="1795" t="str">
        <f t="shared" si="8"/>
        <v>公共配套设施</v>
      </c>
      <c r="R27" s="768" t="s">
        <v>17</v>
      </c>
      <c r="S27" s="769">
        <f>F27</f>
        <v>100</v>
      </c>
      <c r="T27" s="768" t="s">
        <v>17</v>
      </c>
      <c r="U27" s="769">
        <f>H27</f>
        <v>100</v>
      </c>
      <c r="V27" s="768" t="s">
        <v>17</v>
      </c>
      <c r="W27" s="769">
        <f>J27</f>
        <v>100</v>
      </c>
      <c r="X27" s="770"/>
      <c r="Y27" s="3287"/>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287"/>
      <c r="Q28" s="1795"/>
      <c r="R28" s="768"/>
      <c r="S28" s="769"/>
      <c r="T28" s="768"/>
      <c r="U28" s="769"/>
      <c r="V28" s="768"/>
      <c r="W28" s="769"/>
      <c r="X28" s="770"/>
      <c r="Y28" s="3287"/>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87"/>
      <c r="Q29" s="1795" t="str">
        <f t="shared" ref="Q29" si="9">B29</f>
        <v>基础设施水平</v>
      </c>
      <c r="R29" s="768" t="s">
        <v>17</v>
      </c>
      <c r="S29" s="769">
        <f>F29</f>
        <v>100</v>
      </c>
      <c r="T29" s="768" t="s">
        <v>17</v>
      </c>
      <c r="U29" s="769">
        <f>H29</f>
        <v>100</v>
      </c>
      <c r="V29" s="768" t="s">
        <v>17</v>
      </c>
      <c r="W29" s="769">
        <f>J29</f>
        <v>100</v>
      </c>
      <c r="X29" s="770"/>
      <c r="Y29" s="3287"/>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287"/>
      <c r="Q30" s="1795"/>
      <c r="R30" s="768"/>
      <c r="S30" s="769"/>
      <c r="T30" s="768"/>
      <c r="U30" s="769"/>
      <c r="V30" s="768"/>
      <c r="W30" s="769"/>
      <c r="X30" s="770"/>
      <c r="Y30" s="3287"/>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8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87"/>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87"/>
      <c r="Q32" s="1810" t="str">
        <f t="shared" si="8"/>
        <v>毗邻道路的类型与等级</v>
      </c>
      <c r="R32" s="772" t="s">
        <v>17</v>
      </c>
      <c r="S32" s="773">
        <f t="shared" si="10"/>
        <v>100</v>
      </c>
      <c r="T32" s="772" t="s">
        <v>17</v>
      </c>
      <c r="U32" s="773">
        <f t="shared" si="11"/>
        <v>100</v>
      </c>
      <c r="V32" s="772" t="s">
        <v>17</v>
      </c>
      <c r="W32" s="773">
        <f t="shared" si="12"/>
        <v>100</v>
      </c>
      <c r="X32" s="1813"/>
      <c r="Y32" s="3287"/>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287"/>
      <c r="Q33" s="1810"/>
      <c r="R33" s="772"/>
      <c r="S33" s="773"/>
      <c r="T33" s="772"/>
      <c r="U33" s="773"/>
      <c r="V33" s="772"/>
      <c r="W33" s="773"/>
      <c r="X33" s="1813"/>
      <c r="Y33" s="3287"/>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87"/>
      <c r="Q34" s="1810" t="str">
        <f t="shared" si="8"/>
        <v>土地级别</v>
      </c>
      <c r="R34" s="772" t="s">
        <v>17</v>
      </c>
      <c r="S34" s="773">
        <f t="shared" si="10"/>
        <v>100</v>
      </c>
      <c r="T34" s="772" t="s">
        <v>17</v>
      </c>
      <c r="U34" s="773">
        <f t="shared" si="11"/>
        <v>100</v>
      </c>
      <c r="V34" s="772" t="s">
        <v>17</v>
      </c>
      <c r="W34" s="773">
        <f t="shared" si="12"/>
        <v>100</v>
      </c>
      <c r="X34" s="1813"/>
      <c r="Y34" s="328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87"/>
      <c r="Q35" s="1810">
        <f t="shared" si="8"/>
        <v>111</v>
      </c>
      <c r="R35" s="772" t="s">
        <v>17</v>
      </c>
      <c r="S35" s="773">
        <f t="shared" si="10"/>
        <v>100</v>
      </c>
      <c r="T35" s="772" t="s">
        <v>17</v>
      </c>
      <c r="U35" s="773">
        <f t="shared" si="11"/>
        <v>100</v>
      </c>
      <c r="V35" s="772" t="s">
        <v>17</v>
      </c>
      <c r="W35" s="773">
        <f t="shared" si="12"/>
        <v>100</v>
      </c>
      <c r="X35" s="1813"/>
      <c r="Y35" s="328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37" t="s">
        <v>2563</v>
      </c>
      <c r="Q36" s="1810">
        <f t="shared" si="8"/>
        <v>111</v>
      </c>
      <c r="R36" s="772" t="s">
        <v>17</v>
      </c>
      <c r="S36" s="773">
        <f t="shared" si="10"/>
        <v>100</v>
      </c>
      <c r="T36" s="772" t="s">
        <v>17</v>
      </c>
      <c r="U36" s="773">
        <f t="shared" si="11"/>
        <v>100</v>
      </c>
      <c r="V36" s="772" t="s">
        <v>17</v>
      </c>
      <c r="W36" s="773">
        <f t="shared" si="12"/>
        <v>100</v>
      </c>
      <c r="X36" s="1813"/>
      <c r="Y36" s="3291"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91"/>
      <c r="Q37" s="1810">
        <f t="shared" si="8"/>
        <v>111</v>
      </c>
      <c r="R37" s="775" t="s">
        <v>17</v>
      </c>
      <c r="S37" s="776">
        <f t="shared" si="10"/>
        <v>100</v>
      </c>
      <c r="T37" s="775" t="s">
        <v>17</v>
      </c>
      <c r="U37" s="776">
        <f t="shared" si="11"/>
        <v>100</v>
      </c>
      <c r="V37" s="775" t="s">
        <v>17</v>
      </c>
      <c r="W37" s="776">
        <f t="shared" si="12"/>
        <v>100</v>
      </c>
      <c r="X37" s="777"/>
      <c r="Y37" s="3291"/>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91"/>
      <c r="Q38" s="1810" t="str">
        <f>B38</f>
        <v>宗地面积</v>
      </c>
      <c r="R38" s="772" t="s">
        <v>17</v>
      </c>
      <c r="S38" s="773" t="e">
        <f t="shared" si="10"/>
        <v>#N/A</v>
      </c>
      <c r="T38" s="772" t="s">
        <v>17</v>
      </c>
      <c r="U38" s="773" t="e">
        <f t="shared" si="11"/>
        <v>#N/A</v>
      </c>
      <c r="V38" s="772" t="s">
        <v>17</v>
      </c>
      <c r="W38" s="773" t="e">
        <f t="shared" si="12"/>
        <v>#N/A</v>
      </c>
      <c r="X38" s="1813"/>
      <c r="Y38" s="3291"/>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291"/>
      <c r="Q39" s="1810" t="str">
        <f t="shared" ref="Q39:Q45" si="14">B39</f>
        <v>宗地形状</v>
      </c>
      <c r="R39" s="772" t="s">
        <v>17</v>
      </c>
      <c r="S39" s="773">
        <f t="shared" si="10"/>
        <v>100</v>
      </c>
      <c r="T39" s="772" t="s">
        <v>17</v>
      </c>
      <c r="U39" s="773">
        <f t="shared" si="11"/>
        <v>100</v>
      </c>
      <c r="V39" s="772" t="s">
        <v>17</v>
      </c>
      <c r="W39" s="773">
        <f t="shared" si="12"/>
        <v>100</v>
      </c>
      <c r="X39" s="1813"/>
      <c r="Y39" s="3291"/>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91"/>
      <c r="Q40" s="1810" t="str">
        <f t="shared" si="14"/>
        <v>临街宽度及深度</v>
      </c>
      <c r="R40" s="772" t="s">
        <v>17</v>
      </c>
      <c r="S40" s="773">
        <f t="shared" si="10"/>
        <v>100</v>
      </c>
      <c r="T40" s="772" t="s">
        <v>17</v>
      </c>
      <c r="U40" s="773">
        <f t="shared" si="11"/>
        <v>100</v>
      </c>
      <c r="V40" s="772" t="s">
        <v>17</v>
      </c>
      <c r="W40" s="773">
        <f t="shared" si="12"/>
        <v>100</v>
      </c>
      <c r="X40" s="1813"/>
      <c r="Y40" s="3291"/>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291"/>
      <c r="Q41" s="1810" t="str">
        <f t="shared" si="14"/>
        <v>宗地开发程度</v>
      </c>
      <c r="R41" s="768" t="s">
        <v>17</v>
      </c>
      <c r="S41" s="769">
        <f t="shared" si="10"/>
        <v>100</v>
      </c>
      <c r="T41" s="768" t="s">
        <v>17</v>
      </c>
      <c r="U41" s="769">
        <f t="shared" si="11"/>
        <v>100</v>
      </c>
      <c r="V41" s="768" t="s">
        <v>17</v>
      </c>
      <c r="W41" s="769">
        <f t="shared" si="12"/>
        <v>100</v>
      </c>
      <c r="X41" s="770"/>
      <c r="Y41" s="3291"/>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291" t="s">
        <v>2563</v>
      </c>
      <c r="Q42" s="1810" t="str">
        <f t="shared" si="14"/>
        <v>工程地质条件</v>
      </c>
      <c r="R42" s="772" t="s">
        <v>17</v>
      </c>
      <c r="S42" s="773">
        <f t="shared" si="10"/>
        <v>100</v>
      </c>
      <c r="T42" s="772" t="s">
        <v>17</v>
      </c>
      <c r="U42" s="773">
        <f t="shared" si="11"/>
        <v>100</v>
      </c>
      <c r="V42" s="772" t="s">
        <v>17</v>
      </c>
      <c r="W42" s="773">
        <f t="shared" si="12"/>
        <v>100</v>
      </c>
      <c r="X42" s="1813"/>
      <c r="Y42" s="3291"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91"/>
      <c r="Q43" s="1810">
        <f t="shared" si="14"/>
        <v>111</v>
      </c>
      <c r="R43" s="772" t="s">
        <v>17</v>
      </c>
      <c r="S43" s="773">
        <f t="shared" si="10"/>
        <v>100</v>
      </c>
      <c r="T43" s="772" t="s">
        <v>17</v>
      </c>
      <c r="U43" s="773">
        <f t="shared" si="11"/>
        <v>100</v>
      </c>
      <c r="V43" s="772" t="s">
        <v>17</v>
      </c>
      <c r="W43" s="773">
        <f t="shared" si="12"/>
        <v>100</v>
      </c>
      <c r="X43" s="1813"/>
      <c r="Y43" s="329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91"/>
      <c r="Q44" s="1810">
        <f t="shared" si="14"/>
        <v>111</v>
      </c>
      <c r="R44" s="772" t="s">
        <v>17</v>
      </c>
      <c r="S44" s="773">
        <f t="shared" si="10"/>
        <v>100</v>
      </c>
      <c r="T44" s="772" t="s">
        <v>17</v>
      </c>
      <c r="U44" s="773">
        <f t="shared" si="11"/>
        <v>100</v>
      </c>
      <c r="V44" s="772" t="s">
        <v>17</v>
      </c>
      <c r="W44" s="773">
        <f t="shared" si="12"/>
        <v>100</v>
      </c>
      <c r="X44" s="1813"/>
      <c r="Y44" s="3291"/>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91"/>
      <c r="Q45" s="1810">
        <f t="shared" si="14"/>
        <v>111</v>
      </c>
      <c r="R45" s="775" t="s">
        <v>17</v>
      </c>
      <c r="S45" s="776">
        <f t="shared" si="10"/>
        <v>100</v>
      </c>
      <c r="T45" s="775" t="s">
        <v>17</v>
      </c>
      <c r="U45" s="776">
        <f t="shared" si="11"/>
        <v>100</v>
      </c>
      <c r="V45" s="775" t="s">
        <v>17</v>
      </c>
      <c r="W45" s="776">
        <f t="shared" si="12"/>
        <v>100</v>
      </c>
      <c r="X45" s="777"/>
      <c r="Y45" s="3291"/>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93" t="str">
        <f>A46</f>
        <v>成交单价</v>
      </c>
      <c r="Q46" s="3293"/>
      <c r="R46" s="3281">
        <f>E46</f>
        <v>0</v>
      </c>
      <c r="S46" s="3281"/>
      <c r="T46" s="3281">
        <f>G46</f>
        <v>0</v>
      </c>
      <c r="U46" s="3281"/>
      <c r="V46" s="3281">
        <f>I46</f>
        <v>0</v>
      </c>
      <c r="W46" s="3281"/>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93" t="str">
        <f>A47</f>
        <v>比较价值（元/平方米）</v>
      </c>
      <c r="Q47" s="3293"/>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334" t="str">
        <f>A48</f>
        <v>估价对象XX用房的比较价值（楼面单价，元/平方米）</v>
      </c>
      <c r="Q48" s="3335"/>
      <c r="R48" s="3339" t="e">
        <f>ROUND(AVERAGE(R47:V47),0)</f>
        <v>#DIV/0!</v>
      </c>
      <c r="S48" s="3339"/>
      <c r="T48" s="3339"/>
      <c r="U48" s="3339"/>
      <c r="V48" s="3339"/>
      <c r="W48" s="333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68" t="s">
        <v>2762</v>
      </c>
      <c r="H55" s="3340"/>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64"/>
      <c r="H56" s="3293"/>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41"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41"/>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41"/>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41"/>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342" t="s">
        <v>2795</v>
      </c>
      <c r="D6" s="3343"/>
      <c r="E6" s="3344" t="s">
        <v>2795</v>
      </c>
      <c r="F6" s="3345"/>
      <c r="G6" s="3342" t="s">
        <v>2795</v>
      </c>
      <c r="H6" s="3343"/>
      <c r="I6" s="3342" t="s">
        <v>2795</v>
      </c>
      <c r="J6" s="3343"/>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93"/>
      <c r="Q10" s="1795" t="str">
        <f t="shared" si="6"/>
        <v>土地使用年限（年）</v>
      </c>
      <c r="R10" s="768" t="s">
        <v>17</v>
      </c>
      <c r="S10" s="769">
        <f t="shared" si="0"/>
        <v>110</v>
      </c>
      <c r="T10" s="768" t="s">
        <v>17</v>
      </c>
      <c r="U10" s="769">
        <f t="shared" si="1"/>
        <v>110</v>
      </c>
      <c r="V10" s="768" t="s">
        <v>17</v>
      </c>
      <c r="W10" s="769">
        <f t="shared" si="2"/>
        <v>110</v>
      </c>
      <c r="X10" s="770"/>
      <c r="Y10" s="3124"/>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86" t="s">
        <v>2558</v>
      </c>
      <c r="Q15" s="1810" t="str">
        <f t="shared" si="6"/>
        <v>产业集聚程度</v>
      </c>
      <c r="R15" s="772" t="s">
        <v>17</v>
      </c>
      <c r="S15" s="773">
        <f t="shared" si="0"/>
        <v>100</v>
      </c>
      <c r="T15" s="772" t="s">
        <v>17</v>
      </c>
      <c r="U15" s="773">
        <f t="shared" si="1"/>
        <v>100</v>
      </c>
      <c r="V15" s="772" t="s">
        <v>17</v>
      </c>
      <c r="W15" s="773">
        <f t="shared" si="2"/>
        <v>100</v>
      </c>
      <c r="X15" s="1813"/>
      <c r="Y15" s="3286"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287"/>
      <c r="Q16" s="1810"/>
      <c r="R16" s="772"/>
      <c r="S16" s="773"/>
      <c r="T16" s="772"/>
      <c r="U16" s="773"/>
      <c r="V16" s="772"/>
      <c r="W16" s="773"/>
      <c r="X16" s="1813"/>
      <c r="Y16" s="3287"/>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87"/>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287"/>
      <c r="Q18" s="1810"/>
      <c r="R18" s="772"/>
      <c r="S18" s="773"/>
      <c r="T18" s="772"/>
      <c r="U18" s="773"/>
      <c r="V18" s="772"/>
      <c r="W18" s="773"/>
      <c r="X18" s="1813"/>
      <c r="Y18" s="3287"/>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87"/>
      <c r="Q19" s="1810" t="str">
        <f t="shared" ref="Q19:Q33" si="8">B19</f>
        <v>区域土地利用方向</v>
      </c>
      <c r="R19" s="772" t="s">
        <v>17</v>
      </c>
      <c r="S19" s="773">
        <f>F19</f>
        <v>100</v>
      </c>
      <c r="T19" s="772" t="s">
        <v>17</v>
      </c>
      <c r="U19" s="773">
        <f>H19</f>
        <v>100</v>
      </c>
      <c r="V19" s="772" t="s">
        <v>17</v>
      </c>
      <c r="W19" s="773">
        <f>J19</f>
        <v>100</v>
      </c>
      <c r="X19" s="1813"/>
      <c r="Y19" s="3287"/>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287"/>
      <c r="Q20" s="1810"/>
      <c r="R20" s="772"/>
      <c r="S20" s="773"/>
      <c r="T20" s="772"/>
      <c r="U20" s="773"/>
      <c r="V20" s="772"/>
      <c r="W20" s="773"/>
      <c r="X20" s="1813"/>
      <c r="Y20" s="3287"/>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87"/>
      <c r="Q21" s="1810" t="str">
        <f t="shared" si="8"/>
        <v>环境状况</v>
      </c>
      <c r="R21" s="772" t="s">
        <v>17</v>
      </c>
      <c r="S21" s="773">
        <f>F21</f>
        <v>100</v>
      </c>
      <c r="T21" s="772" t="s">
        <v>17</v>
      </c>
      <c r="U21" s="773">
        <f>H21</f>
        <v>100</v>
      </c>
      <c r="V21" s="772" t="s">
        <v>17</v>
      </c>
      <c r="W21" s="773">
        <f>J21</f>
        <v>100</v>
      </c>
      <c r="X21" s="1813"/>
      <c r="Y21" s="3287"/>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287"/>
      <c r="Q22" s="1810"/>
      <c r="R22" s="772"/>
      <c r="S22" s="773"/>
      <c r="T22" s="772"/>
      <c r="U22" s="773"/>
      <c r="V22" s="772"/>
      <c r="W22" s="773"/>
      <c r="X22" s="1813"/>
      <c r="Y22" s="3287"/>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87"/>
      <c r="Q23" s="1795" t="str">
        <f t="shared" si="8"/>
        <v>公共配套设施</v>
      </c>
      <c r="R23" s="768" t="s">
        <v>17</v>
      </c>
      <c r="S23" s="769">
        <f>F23</f>
        <v>100</v>
      </c>
      <c r="T23" s="768" t="s">
        <v>17</v>
      </c>
      <c r="U23" s="769">
        <f>H23</f>
        <v>100</v>
      </c>
      <c r="V23" s="768" t="s">
        <v>17</v>
      </c>
      <c r="W23" s="769">
        <f>J23</f>
        <v>100</v>
      </c>
      <c r="X23" s="770"/>
      <c r="Y23" s="3287"/>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287"/>
      <c r="Q24" s="1795"/>
      <c r="R24" s="768"/>
      <c r="S24" s="769"/>
      <c r="T24" s="768"/>
      <c r="U24" s="769"/>
      <c r="V24" s="768"/>
      <c r="W24" s="769"/>
      <c r="X24" s="770"/>
      <c r="Y24" s="3287"/>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87"/>
      <c r="Q25" s="1795" t="str">
        <f t="shared" ref="Q25" si="9">B25</f>
        <v>基础设施水平</v>
      </c>
      <c r="R25" s="768" t="s">
        <v>17</v>
      </c>
      <c r="S25" s="769">
        <f>F25</f>
        <v>100</v>
      </c>
      <c r="T25" s="768" t="s">
        <v>17</v>
      </c>
      <c r="U25" s="769">
        <f>H25</f>
        <v>100</v>
      </c>
      <c r="V25" s="768" t="s">
        <v>17</v>
      </c>
      <c r="W25" s="769">
        <f>J25</f>
        <v>100</v>
      </c>
      <c r="X25" s="770"/>
      <c r="Y25" s="3287"/>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287"/>
      <c r="Q26" s="1795"/>
      <c r="R26" s="768"/>
      <c r="S26" s="769"/>
      <c r="T26" s="768"/>
      <c r="U26" s="769"/>
      <c r="V26" s="768"/>
      <c r="W26" s="769"/>
      <c r="X26" s="770"/>
      <c r="Y26" s="3287"/>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8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87"/>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87"/>
      <c r="Q28" s="1810" t="str">
        <f t="shared" si="8"/>
        <v>毗邻道路的类型与等级</v>
      </c>
      <c r="R28" s="772" t="s">
        <v>17</v>
      </c>
      <c r="S28" s="773">
        <f t="shared" si="10"/>
        <v>100</v>
      </c>
      <c r="T28" s="772" t="s">
        <v>17</v>
      </c>
      <c r="U28" s="773">
        <f t="shared" si="11"/>
        <v>100</v>
      </c>
      <c r="V28" s="772" t="s">
        <v>17</v>
      </c>
      <c r="W28" s="773">
        <f t="shared" si="12"/>
        <v>100</v>
      </c>
      <c r="X28" s="1813"/>
      <c r="Y28" s="3287"/>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287"/>
      <c r="Q29" s="1810"/>
      <c r="R29" s="772"/>
      <c r="S29" s="773"/>
      <c r="T29" s="772"/>
      <c r="U29" s="773"/>
      <c r="V29" s="772"/>
      <c r="W29" s="773"/>
      <c r="X29" s="1813"/>
      <c r="Y29" s="3287"/>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87"/>
      <c r="Q30" s="1810" t="str">
        <f t="shared" si="8"/>
        <v>土地级别</v>
      </c>
      <c r="R30" s="772" t="s">
        <v>17</v>
      </c>
      <c r="S30" s="773">
        <f t="shared" si="10"/>
        <v>100</v>
      </c>
      <c r="T30" s="772" t="s">
        <v>17</v>
      </c>
      <c r="U30" s="773">
        <f t="shared" si="11"/>
        <v>100</v>
      </c>
      <c r="V30" s="772" t="s">
        <v>17</v>
      </c>
      <c r="W30" s="773">
        <f t="shared" si="12"/>
        <v>100</v>
      </c>
      <c r="X30" s="1813"/>
      <c r="Y30" s="3287"/>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87"/>
      <c r="Q31" s="1810">
        <f t="shared" si="8"/>
        <v>111</v>
      </c>
      <c r="R31" s="772" t="s">
        <v>17</v>
      </c>
      <c r="S31" s="773">
        <f t="shared" si="10"/>
        <v>100</v>
      </c>
      <c r="T31" s="772" t="s">
        <v>17</v>
      </c>
      <c r="U31" s="773">
        <f t="shared" si="11"/>
        <v>100</v>
      </c>
      <c r="V31" s="772" t="s">
        <v>17</v>
      </c>
      <c r="W31" s="773">
        <f t="shared" si="12"/>
        <v>100</v>
      </c>
      <c r="X31" s="1813"/>
      <c r="Y31" s="3287"/>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37" t="s">
        <v>2563</v>
      </c>
      <c r="Q32" s="1810">
        <f t="shared" si="8"/>
        <v>111</v>
      </c>
      <c r="R32" s="772" t="s">
        <v>17</v>
      </c>
      <c r="S32" s="773">
        <f t="shared" si="10"/>
        <v>100</v>
      </c>
      <c r="T32" s="772" t="s">
        <v>17</v>
      </c>
      <c r="U32" s="773">
        <f t="shared" si="11"/>
        <v>100</v>
      </c>
      <c r="V32" s="772" t="s">
        <v>17</v>
      </c>
      <c r="W32" s="773">
        <f t="shared" si="12"/>
        <v>100</v>
      </c>
      <c r="X32" s="1813"/>
      <c r="Y32" s="3291"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91"/>
      <c r="Q33" s="1810">
        <f t="shared" si="8"/>
        <v>111</v>
      </c>
      <c r="R33" s="775" t="s">
        <v>17</v>
      </c>
      <c r="S33" s="776">
        <f t="shared" si="10"/>
        <v>100</v>
      </c>
      <c r="T33" s="775" t="s">
        <v>17</v>
      </c>
      <c r="U33" s="776">
        <f t="shared" si="11"/>
        <v>100</v>
      </c>
      <c r="V33" s="775" t="s">
        <v>17</v>
      </c>
      <c r="W33" s="776">
        <f t="shared" si="12"/>
        <v>100</v>
      </c>
      <c r="X33" s="777"/>
      <c r="Y33" s="3291"/>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91"/>
      <c r="Q34" s="1810" t="str">
        <f>B34</f>
        <v>宗地面积</v>
      </c>
      <c r="R34" s="772" t="s">
        <v>17</v>
      </c>
      <c r="S34" s="773" t="e">
        <f t="shared" si="10"/>
        <v>#N/A</v>
      </c>
      <c r="T34" s="772" t="s">
        <v>17</v>
      </c>
      <c r="U34" s="773" t="e">
        <f t="shared" si="11"/>
        <v>#N/A</v>
      </c>
      <c r="V34" s="772" t="s">
        <v>17</v>
      </c>
      <c r="W34" s="773" t="e">
        <f t="shared" si="12"/>
        <v>#N/A</v>
      </c>
      <c r="X34" s="1813"/>
      <c r="Y34" s="3291"/>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91"/>
      <c r="Q35" s="1810" t="str">
        <f t="shared" ref="Q35:Q40" si="14">B35</f>
        <v>宗地形状</v>
      </c>
      <c r="R35" s="772" t="s">
        <v>17</v>
      </c>
      <c r="S35" s="773">
        <f t="shared" si="10"/>
        <v>100</v>
      </c>
      <c r="T35" s="772" t="s">
        <v>17</v>
      </c>
      <c r="U35" s="773">
        <f t="shared" si="11"/>
        <v>100</v>
      </c>
      <c r="V35" s="772" t="s">
        <v>17</v>
      </c>
      <c r="W35" s="773">
        <f t="shared" si="12"/>
        <v>100</v>
      </c>
      <c r="X35" s="1813"/>
      <c r="Y35" s="3291"/>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91"/>
      <c r="Q36" s="1810" t="str">
        <f t="shared" si="14"/>
        <v>宗地开发程度</v>
      </c>
      <c r="R36" s="768" t="s">
        <v>17</v>
      </c>
      <c r="S36" s="769">
        <f t="shared" si="10"/>
        <v>100</v>
      </c>
      <c r="T36" s="768" t="s">
        <v>17</v>
      </c>
      <c r="U36" s="769">
        <f t="shared" si="11"/>
        <v>100</v>
      </c>
      <c r="V36" s="768" t="s">
        <v>17</v>
      </c>
      <c r="W36" s="769">
        <f t="shared" si="12"/>
        <v>100</v>
      </c>
      <c r="X36" s="770"/>
      <c r="Y36" s="3291"/>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91" t="s">
        <v>2563</v>
      </c>
      <c r="Q37" s="1810" t="str">
        <f t="shared" si="14"/>
        <v>工程地质条件</v>
      </c>
      <c r="R37" s="772" t="s">
        <v>17</v>
      </c>
      <c r="S37" s="773">
        <f t="shared" si="10"/>
        <v>100</v>
      </c>
      <c r="T37" s="772" t="s">
        <v>17</v>
      </c>
      <c r="U37" s="773">
        <f t="shared" si="11"/>
        <v>100</v>
      </c>
      <c r="V37" s="772" t="s">
        <v>17</v>
      </c>
      <c r="W37" s="773">
        <f t="shared" si="12"/>
        <v>100</v>
      </c>
      <c r="X37" s="1813"/>
      <c r="Y37" s="3291"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91"/>
      <c r="Q38" s="1810">
        <f t="shared" si="14"/>
        <v>111</v>
      </c>
      <c r="R38" s="772" t="s">
        <v>17</v>
      </c>
      <c r="S38" s="773">
        <f t="shared" si="10"/>
        <v>100</v>
      </c>
      <c r="T38" s="772" t="s">
        <v>17</v>
      </c>
      <c r="U38" s="773">
        <f t="shared" si="11"/>
        <v>100</v>
      </c>
      <c r="V38" s="772" t="s">
        <v>17</v>
      </c>
      <c r="W38" s="773">
        <f t="shared" si="12"/>
        <v>100</v>
      </c>
      <c r="X38" s="1813"/>
      <c r="Y38" s="329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91"/>
      <c r="Q39" s="1810">
        <f t="shared" si="14"/>
        <v>111</v>
      </c>
      <c r="R39" s="772" t="s">
        <v>17</v>
      </c>
      <c r="S39" s="773">
        <f t="shared" si="10"/>
        <v>100</v>
      </c>
      <c r="T39" s="772" t="s">
        <v>17</v>
      </c>
      <c r="U39" s="773">
        <f t="shared" si="11"/>
        <v>100</v>
      </c>
      <c r="V39" s="772" t="s">
        <v>17</v>
      </c>
      <c r="W39" s="773">
        <f t="shared" si="12"/>
        <v>100</v>
      </c>
      <c r="X39" s="1813"/>
      <c r="Y39" s="3291"/>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91"/>
      <c r="Q40" s="1810">
        <f t="shared" si="14"/>
        <v>111</v>
      </c>
      <c r="R40" s="775" t="s">
        <v>17</v>
      </c>
      <c r="S40" s="776">
        <f t="shared" si="10"/>
        <v>100</v>
      </c>
      <c r="T40" s="775" t="s">
        <v>17</v>
      </c>
      <c r="U40" s="776">
        <f t="shared" si="11"/>
        <v>100</v>
      </c>
      <c r="V40" s="775" t="s">
        <v>17</v>
      </c>
      <c r="W40" s="776">
        <f t="shared" si="12"/>
        <v>100</v>
      </c>
      <c r="X40" s="777"/>
      <c r="Y40" s="3291"/>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93" t="str">
        <f>A41</f>
        <v>成交单价</v>
      </c>
      <c r="Q41" s="3293"/>
      <c r="R41" s="3281">
        <f>E41</f>
        <v>0</v>
      </c>
      <c r="S41" s="3281"/>
      <c r="T41" s="3281">
        <f>G41</f>
        <v>0</v>
      </c>
      <c r="U41" s="3281"/>
      <c r="V41" s="3281">
        <f>I41</f>
        <v>0</v>
      </c>
      <c r="W41" s="3281"/>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93" t="str">
        <f>A42</f>
        <v>比较价值（元/平方米）</v>
      </c>
      <c r="Q42" s="3293"/>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334" t="str">
        <f>A43</f>
        <v>估价对象XX用房的比较价值（楼面单价，元/平方米）</v>
      </c>
      <c r="Q43" s="3335"/>
      <c r="R43" s="3339" t="e">
        <f>ROUND(AVERAGE(R42:V42),0)</f>
        <v>#DIV/0!</v>
      </c>
      <c r="S43" s="3339"/>
      <c r="T43" s="3339"/>
      <c r="U43" s="3339"/>
      <c r="V43" s="3339"/>
      <c r="W43" s="333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68" t="s">
        <v>2762</v>
      </c>
      <c r="H50" s="3340"/>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64"/>
      <c r="H51" s="3293"/>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41"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41"/>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41"/>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41"/>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60"/>
      <c r="B4" s="3361"/>
      <c r="C4" s="3361"/>
      <c r="D4" s="3362"/>
      <c r="E4" s="3362"/>
      <c r="F4" s="3362"/>
      <c r="G4" s="3362"/>
      <c r="H4" s="3362"/>
      <c r="I4" s="3362"/>
      <c r="J4" s="3363"/>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46"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47"/>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57" t="s">
        <v>2838</v>
      </c>
      <c r="X8" s="335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47"/>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59"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7"/>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7"/>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59"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46"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5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4"/>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59"/>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64"/>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65"/>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6"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7"/>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43222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54"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5"/>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5"/>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56"/>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48" t="s">
        <v>2972</v>
      </c>
      <c r="B90" s="3348"/>
      <c r="C90" s="3348"/>
      <c r="D90" s="3348"/>
      <c r="E90" s="3348"/>
      <c r="F90" s="3348"/>
      <c r="G90" s="3348"/>
      <c r="H90" s="3348"/>
      <c r="I90" s="3348"/>
      <c r="J90" s="3348"/>
      <c r="K90" s="2890"/>
      <c r="L90" s="2890"/>
      <c r="M90" s="2890"/>
      <c r="N90" s="2890"/>
    </row>
    <row r="91" spans="1:37">
      <c r="A91" s="3350" t="s">
        <v>2973</v>
      </c>
      <c r="B91" s="3350" t="s">
        <v>2974</v>
      </c>
      <c r="C91" s="2844" t="s">
        <v>2975</v>
      </c>
      <c r="D91" s="2845"/>
      <c r="E91" s="2845"/>
      <c r="F91" s="2845"/>
      <c r="G91" s="2845"/>
      <c r="H91" s="2845"/>
      <c r="I91" s="2845"/>
      <c r="J91" s="2891"/>
      <c r="K91" s="2892"/>
      <c r="L91" s="2892"/>
      <c r="M91" s="2892"/>
      <c r="N91" s="2892"/>
    </row>
    <row r="92" spans="1:37">
      <c r="A92" s="3350"/>
      <c r="B92" s="3350"/>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51"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5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5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5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5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5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52"/>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5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51"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52"/>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52"/>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52"/>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52"/>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52"/>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52"/>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52"/>
      <c r="B108" s="3178"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53"/>
      <c r="B109" s="3179"/>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49" t="s">
        <v>2980</v>
      </c>
      <c r="B110" s="3349"/>
      <c r="C110" s="3349"/>
      <c r="D110" s="3349"/>
      <c r="E110" s="3349"/>
      <c r="F110" s="3349"/>
      <c r="G110" s="3349"/>
      <c r="H110" s="3349"/>
      <c r="I110" s="3349"/>
      <c r="J110" s="3349"/>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6" t="s">
        <v>183</v>
      </c>
      <c r="B18" s="880" t="s">
        <v>560</v>
      </c>
      <c r="C18" s="881" t="s">
        <v>561</v>
      </c>
      <c r="D18" s="882"/>
      <c r="E18" s="880">
        <v>1</v>
      </c>
      <c r="F18" s="883" t="s">
        <v>562</v>
      </c>
      <c r="G18" s="884"/>
      <c r="H18" s="876"/>
      <c r="I18" s="876"/>
    </row>
    <row r="19" spans="1:9" s="885" customFormat="1" ht="19.5" customHeight="1">
      <c r="A19" s="3366"/>
      <c r="B19" s="3366" t="s">
        <v>563</v>
      </c>
      <c r="C19" s="881" t="s">
        <v>564</v>
      </c>
      <c r="D19" s="882"/>
      <c r="E19" s="880">
        <v>0.9</v>
      </c>
      <c r="F19" s="883" t="s">
        <v>565</v>
      </c>
      <c r="G19" s="884"/>
      <c r="H19" s="876"/>
      <c r="I19" s="876"/>
    </row>
    <row r="20" spans="1:9" s="885" customFormat="1" ht="19.5" customHeight="1">
      <c r="A20" s="3366"/>
      <c r="B20" s="3366"/>
      <c r="C20" s="881" t="s">
        <v>566</v>
      </c>
      <c r="D20" s="882"/>
      <c r="E20" s="880">
        <v>1.1000000000000001</v>
      </c>
      <c r="F20" s="883" t="s">
        <v>567</v>
      </c>
      <c r="G20" s="884"/>
      <c r="H20" s="876"/>
      <c r="I20" s="876"/>
    </row>
    <row r="21" spans="1:9" s="885" customFormat="1" ht="19.5" customHeight="1">
      <c r="A21" s="3366"/>
      <c r="B21" s="3366"/>
      <c r="C21" s="881" t="s">
        <v>568</v>
      </c>
      <c r="D21" s="882"/>
      <c r="E21" s="880">
        <v>0.8</v>
      </c>
      <c r="F21" s="883" t="s">
        <v>569</v>
      </c>
      <c r="G21" s="884"/>
      <c r="H21" s="876"/>
      <c r="I21" s="876"/>
    </row>
    <row r="22" spans="1:9" s="885" customFormat="1" ht="19.5" customHeight="1">
      <c r="A22" s="3366"/>
      <c r="B22" s="3366"/>
      <c r="C22" s="881" t="s">
        <v>570</v>
      </c>
      <c r="D22" s="882"/>
      <c r="E22" s="880">
        <v>0.5</v>
      </c>
      <c r="F22" s="883"/>
      <c r="G22" s="884"/>
      <c r="H22" s="876"/>
      <c r="I22" s="876"/>
    </row>
    <row r="23" spans="1:9" s="885" customFormat="1" ht="19.5" customHeight="1">
      <c r="A23" s="3366" t="s">
        <v>184</v>
      </c>
      <c r="B23" s="880" t="s">
        <v>560</v>
      </c>
      <c r="C23" s="881" t="s">
        <v>571</v>
      </c>
      <c r="D23" s="882"/>
      <c r="E23" s="880">
        <v>1</v>
      </c>
      <c r="F23" s="883" t="s">
        <v>572</v>
      </c>
      <c r="G23" s="884"/>
      <c r="H23" s="876"/>
      <c r="I23" s="876"/>
    </row>
    <row r="24" spans="1:9" s="885" customFormat="1" ht="19.5" customHeight="1">
      <c r="A24" s="3366"/>
      <c r="B24" s="3366" t="s">
        <v>563</v>
      </c>
      <c r="C24" s="881" t="s">
        <v>573</v>
      </c>
      <c r="D24" s="882"/>
      <c r="E24" s="880">
        <v>0.5</v>
      </c>
      <c r="F24" s="883"/>
      <c r="G24" s="884"/>
      <c r="H24" s="876"/>
      <c r="I24" s="876"/>
    </row>
    <row r="25" spans="1:9" s="885" customFormat="1" ht="19.5" customHeight="1">
      <c r="A25" s="3366"/>
      <c r="B25" s="3366"/>
      <c r="C25" s="881" t="s">
        <v>574</v>
      </c>
      <c r="D25" s="882"/>
      <c r="E25" s="880">
        <v>1.1000000000000001</v>
      </c>
      <c r="F25" s="883"/>
      <c r="G25" s="884"/>
      <c r="H25" s="876"/>
      <c r="I25" s="876"/>
    </row>
    <row r="26" spans="1:9" s="885" customFormat="1" ht="19.5" customHeight="1">
      <c r="A26" s="3366"/>
      <c r="B26" s="3366"/>
      <c r="C26" s="881" t="s">
        <v>575</v>
      </c>
      <c r="D26" s="882"/>
      <c r="E26" s="880">
        <v>1.1000000000000001</v>
      </c>
      <c r="F26" s="883"/>
      <c r="G26" s="884"/>
      <c r="H26" s="876"/>
      <c r="I26" s="876"/>
    </row>
    <row r="27" spans="1:9" s="885" customFormat="1" ht="19.5" customHeight="1">
      <c r="A27" s="3366"/>
      <c r="B27" s="3366"/>
      <c r="C27" s="881" t="s">
        <v>576</v>
      </c>
      <c r="D27" s="882"/>
      <c r="E27" s="880">
        <v>0.9</v>
      </c>
      <c r="F27" s="883" t="s">
        <v>577</v>
      </c>
      <c r="G27" s="884"/>
      <c r="H27" s="876"/>
      <c r="I27" s="876"/>
    </row>
    <row r="28" spans="1:9" s="885" customFormat="1" ht="19.5" customHeight="1">
      <c r="A28" s="3366"/>
      <c r="B28" s="3366"/>
      <c r="C28" s="881" t="s">
        <v>578</v>
      </c>
      <c r="D28" s="882"/>
      <c r="E28" s="880">
        <v>0.9</v>
      </c>
      <c r="F28" s="883" t="s">
        <v>579</v>
      </c>
      <c r="G28" s="884"/>
      <c r="H28" s="876"/>
      <c r="I28" s="876"/>
    </row>
    <row r="29" spans="1:9" s="885" customFormat="1" ht="19.5" customHeight="1">
      <c r="A29" s="3366"/>
      <c r="B29" s="3366"/>
      <c r="C29" s="881" t="s">
        <v>580</v>
      </c>
      <c r="D29" s="882"/>
      <c r="E29" s="880">
        <v>0.9</v>
      </c>
      <c r="F29" s="883" t="s">
        <v>581</v>
      </c>
      <c r="G29" s="884"/>
      <c r="H29" s="876"/>
      <c r="I29" s="876"/>
    </row>
    <row r="30" spans="1:9" s="885" customFormat="1" ht="19.5" customHeight="1">
      <c r="A30" s="3366"/>
      <c r="B30" s="3366"/>
      <c r="C30" s="881" t="s">
        <v>582</v>
      </c>
      <c r="D30" s="882"/>
      <c r="E30" s="880">
        <v>0.9</v>
      </c>
      <c r="F30" s="883" t="s">
        <v>583</v>
      </c>
      <c r="G30" s="884"/>
      <c r="H30" s="876"/>
      <c r="I30" s="876"/>
    </row>
    <row r="31" spans="1:9" s="885" customFormat="1" ht="19.5" customHeight="1">
      <c r="A31" s="3366"/>
      <c r="B31" s="3366"/>
      <c r="C31" s="881" t="s">
        <v>584</v>
      </c>
      <c r="D31" s="882"/>
      <c r="E31" s="880">
        <v>0.8</v>
      </c>
      <c r="F31" s="883" t="s">
        <v>585</v>
      </c>
      <c r="G31" s="884"/>
      <c r="H31" s="876"/>
      <c r="I31" s="876"/>
    </row>
    <row r="32" spans="1:9" s="885" customFormat="1" ht="19.5" customHeight="1">
      <c r="A32" s="3366"/>
      <c r="B32" s="3366"/>
      <c r="C32" s="881" t="s">
        <v>586</v>
      </c>
      <c r="D32" s="882"/>
      <c r="E32" s="880">
        <v>0.8</v>
      </c>
      <c r="F32" s="883" t="s">
        <v>587</v>
      </c>
      <c r="G32" s="884"/>
      <c r="H32" s="876"/>
      <c r="I32" s="876"/>
    </row>
    <row r="33" spans="1:9" s="885" customFormat="1" ht="19.5" customHeight="1">
      <c r="A33" s="3366" t="s">
        <v>185</v>
      </c>
      <c r="B33" s="880" t="s">
        <v>560</v>
      </c>
      <c r="C33" s="881" t="s">
        <v>588</v>
      </c>
      <c r="D33" s="882"/>
      <c r="E33" s="880">
        <v>1</v>
      </c>
      <c r="F33" s="883" t="s">
        <v>589</v>
      </c>
      <c r="G33" s="884"/>
      <c r="H33" s="876"/>
      <c r="I33" s="876"/>
    </row>
    <row r="34" spans="1:9" s="885" customFormat="1" ht="19.5" customHeight="1">
      <c r="A34" s="3366"/>
      <c r="B34" s="880" t="s">
        <v>563</v>
      </c>
      <c r="C34" s="881" t="s">
        <v>590</v>
      </c>
      <c r="D34" s="882"/>
      <c r="E34" s="880">
        <v>1.5</v>
      </c>
      <c r="F34" s="883" t="s">
        <v>591</v>
      </c>
      <c r="G34" s="884"/>
      <c r="H34" s="876"/>
      <c r="I34" s="876"/>
    </row>
    <row r="35" spans="1:9" s="885" customFormat="1" ht="19.5" customHeight="1">
      <c r="A35" s="3366" t="s">
        <v>186</v>
      </c>
      <c r="B35" s="880" t="s">
        <v>560</v>
      </c>
      <c r="C35" s="881" t="s">
        <v>592</v>
      </c>
      <c r="D35" s="882"/>
      <c r="E35" s="880">
        <v>1</v>
      </c>
      <c r="F35" s="883" t="s">
        <v>593</v>
      </c>
      <c r="G35" s="884"/>
      <c r="H35" s="876"/>
      <c r="I35" s="876"/>
    </row>
    <row r="36" spans="1:9" s="885" customFormat="1" ht="19.5" customHeight="1">
      <c r="A36" s="3366"/>
      <c r="B36" s="3366" t="s">
        <v>563</v>
      </c>
      <c r="C36" s="881" t="s">
        <v>594</v>
      </c>
      <c r="D36" s="882"/>
      <c r="E36" s="880">
        <v>1</v>
      </c>
      <c r="F36" s="883" t="s">
        <v>595</v>
      </c>
      <c r="G36" s="884"/>
      <c r="H36" s="876"/>
      <c r="I36" s="876"/>
    </row>
    <row r="37" spans="1:9" s="885" customFormat="1" ht="19.5" customHeight="1">
      <c r="A37" s="3366"/>
      <c r="B37" s="3366"/>
      <c r="C37" s="881" t="s">
        <v>596</v>
      </c>
      <c r="D37" s="882"/>
      <c r="E37" s="880">
        <v>1.5</v>
      </c>
      <c r="F37" s="883" t="s">
        <v>597</v>
      </c>
      <c r="G37" s="884"/>
      <c r="H37" s="876"/>
      <c r="I37" s="876"/>
    </row>
    <row r="38" spans="1:9" s="885" customFormat="1" ht="19.5" customHeight="1">
      <c r="A38" s="3366"/>
      <c r="B38" s="3366"/>
      <c r="C38" s="881" t="s">
        <v>598</v>
      </c>
      <c r="D38" s="882"/>
      <c r="E38" s="880">
        <v>1</v>
      </c>
      <c r="F38" s="883" t="s">
        <v>599</v>
      </c>
      <c r="G38" s="884"/>
      <c r="H38" s="876"/>
      <c r="I38" s="876"/>
    </row>
    <row r="39" spans="1:9" s="885" customFormat="1" ht="19.5" customHeight="1">
      <c r="A39" s="3366"/>
      <c r="B39" s="336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6" t="s">
        <v>614</v>
      </c>
      <c r="C61" s="816" t="s">
        <v>615</v>
      </c>
      <c r="D61" s="816" t="s">
        <v>616</v>
      </c>
      <c r="E61" s="893">
        <v>0.5</v>
      </c>
      <c r="F61" s="880">
        <v>80</v>
      </c>
    </row>
    <row r="62" spans="1:8" s="876" customFormat="1" ht="24">
      <c r="A62" s="880">
        <v>2</v>
      </c>
      <c r="B62" s="3366"/>
      <c r="C62" s="816" t="s">
        <v>617</v>
      </c>
      <c r="D62" s="816" t="s">
        <v>618</v>
      </c>
      <c r="E62" s="893">
        <v>0.5</v>
      </c>
      <c r="F62" s="880">
        <v>80</v>
      </c>
    </row>
    <row r="63" spans="1:8" s="876" customFormat="1" ht="36">
      <c r="A63" s="880">
        <v>3</v>
      </c>
      <c r="B63" s="3366"/>
      <c r="C63" s="816" t="s">
        <v>619</v>
      </c>
      <c r="D63" s="816" t="s">
        <v>620</v>
      </c>
      <c r="E63" s="893">
        <v>0.5</v>
      </c>
      <c r="F63" s="880">
        <v>80</v>
      </c>
    </row>
    <row r="64" spans="1:8" s="876" customFormat="1" ht="36">
      <c r="A64" s="880">
        <v>4</v>
      </c>
      <c r="B64" s="3366"/>
      <c r="C64" s="816" t="s">
        <v>621</v>
      </c>
      <c r="D64" s="816" t="s">
        <v>622</v>
      </c>
      <c r="E64" s="893">
        <v>0.4</v>
      </c>
      <c r="F64" s="880">
        <v>60</v>
      </c>
    </row>
    <row r="65" spans="1:6" s="876" customFormat="1" ht="36">
      <c r="A65" s="880">
        <v>5</v>
      </c>
      <c r="B65" s="3366"/>
      <c r="C65" s="816" t="s">
        <v>623</v>
      </c>
      <c r="D65" s="816" t="s">
        <v>624</v>
      </c>
      <c r="E65" s="893">
        <v>0.2</v>
      </c>
      <c r="F65" s="880">
        <v>30</v>
      </c>
    </row>
    <row r="66" spans="1:6" s="876" customFormat="1" ht="36">
      <c r="A66" s="880">
        <v>6</v>
      </c>
      <c r="B66" s="3366"/>
      <c r="C66" s="816" t="s">
        <v>625</v>
      </c>
      <c r="D66" s="816" t="s">
        <v>626</v>
      </c>
      <c r="E66" s="893">
        <v>0.3</v>
      </c>
      <c r="F66" s="880">
        <v>50</v>
      </c>
    </row>
    <row r="67" spans="1:6" s="876" customFormat="1" ht="36">
      <c r="A67" s="880">
        <v>7</v>
      </c>
      <c r="B67" s="3366"/>
      <c r="C67" s="816" t="s">
        <v>627</v>
      </c>
      <c r="D67" s="816" t="s">
        <v>628</v>
      </c>
      <c r="E67" s="893">
        <v>0.2</v>
      </c>
      <c r="F67" s="880">
        <v>30</v>
      </c>
    </row>
    <row r="68" spans="1:6" s="876" customFormat="1" ht="36">
      <c r="A68" s="880">
        <v>8</v>
      </c>
      <c r="B68" s="3366"/>
      <c r="C68" s="816" t="s">
        <v>629</v>
      </c>
      <c r="D68" s="816" t="s">
        <v>630</v>
      </c>
      <c r="E68" s="893">
        <v>0.2</v>
      </c>
      <c r="F68" s="880">
        <v>30</v>
      </c>
    </row>
    <row r="69" spans="1:6" s="876" customFormat="1" ht="36">
      <c r="A69" s="880">
        <v>9</v>
      </c>
      <c r="B69" s="3366"/>
      <c r="C69" s="816" t="s">
        <v>631</v>
      </c>
      <c r="D69" s="816" t="s">
        <v>632</v>
      </c>
      <c r="E69" s="893">
        <v>0.2</v>
      </c>
      <c r="F69" s="880">
        <v>30</v>
      </c>
    </row>
    <row r="70" spans="1:6" s="876" customFormat="1" ht="48">
      <c r="A70" s="880">
        <v>10</v>
      </c>
      <c r="B70" s="3366"/>
      <c r="C70" s="816" t="s">
        <v>633</v>
      </c>
      <c r="D70" s="816" t="s">
        <v>634</v>
      </c>
      <c r="E70" s="893">
        <v>0.2</v>
      </c>
      <c r="F70" s="880">
        <v>30</v>
      </c>
    </row>
    <row r="71" spans="1:6" s="876" customFormat="1" ht="48">
      <c r="A71" s="880">
        <v>11</v>
      </c>
      <c r="B71" s="3366"/>
      <c r="C71" s="816" t="s">
        <v>635</v>
      </c>
      <c r="D71" s="816" t="s">
        <v>636</v>
      </c>
      <c r="E71" s="893">
        <v>0.2</v>
      </c>
      <c r="F71" s="880">
        <v>30</v>
      </c>
    </row>
    <row r="72" spans="1:6" s="876" customFormat="1" ht="36">
      <c r="A72" s="880">
        <v>12</v>
      </c>
      <c r="B72" s="3366"/>
      <c r="C72" s="816" t="s">
        <v>637</v>
      </c>
      <c r="D72" s="816" t="s">
        <v>638</v>
      </c>
      <c r="E72" s="893">
        <v>0.5</v>
      </c>
      <c r="F72" s="880">
        <v>80</v>
      </c>
    </row>
    <row r="73" spans="1:6" s="876" customFormat="1" ht="24">
      <c r="A73" s="880">
        <v>13</v>
      </c>
      <c r="B73" s="3366"/>
      <c r="C73" s="816" t="s">
        <v>639</v>
      </c>
      <c r="D73" s="816" t="s">
        <v>640</v>
      </c>
      <c r="E73" s="893">
        <v>0.4</v>
      </c>
      <c r="F73" s="880">
        <v>60</v>
      </c>
    </row>
    <row r="74" spans="1:6" s="876" customFormat="1" ht="24">
      <c r="A74" s="880">
        <v>14</v>
      </c>
      <c r="B74" s="3366"/>
      <c r="C74" s="816" t="s">
        <v>641</v>
      </c>
      <c r="D74" s="816" t="s">
        <v>642</v>
      </c>
      <c r="E74" s="893">
        <v>0.2</v>
      </c>
      <c r="F74" s="880">
        <v>30</v>
      </c>
    </row>
    <row r="75" spans="1:6" s="876" customFormat="1" ht="24">
      <c r="A75" s="880">
        <v>15</v>
      </c>
      <c r="B75" s="3366"/>
      <c r="C75" s="816" t="s">
        <v>643</v>
      </c>
      <c r="D75" s="816" t="s">
        <v>644</v>
      </c>
      <c r="E75" s="893">
        <v>0.2</v>
      </c>
      <c r="F75" s="880">
        <v>30</v>
      </c>
    </row>
    <row r="76" spans="1:6" s="876" customFormat="1" ht="24">
      <c r="A76" s="880">
        <v>16</v>
      </c>
      <c r="B76" s="3366" t="s">
        <v>645</v>
      </c>
      <c r="C76" s="816" t="s">
        <v>646</v>
      </c>
      <c r="D76" s="816" t="s">
        <v>647</v>
      </c>
      <c r="E76" s="893">
        <v>0.5</v>
      </c>
      <c r="F76" s="880">
        <v>80</v>
      </c>
    </row>
    <row r="77" spans="1:6" s="876" customFormat="1" ht="24">
      <c r="A77" s="880">
        <v>17</v>
      </c>
      <c r="B77" s="3366"/>
      <c r="C77" s="816" t="s">
        <v>648</v>
      </c>
      <c r="D77" s="816" t="s">
        <v>649</v>
      </c>
      <c r="E77" s="893">
        <v>0.5</v>
      </c>
      <c r="F77" s="880">
        <v>80</v>
      </c>
    </row>
    <row r="78" spans="1:6" s="876" customFormat="1" ht="24">
      <c r="A78" s="880">
        <v>18</v>
      </c>
      <c r="B78" s="3366"/>
      <c r="C78" s="816" t="s">
        <v>650</v>
      </c>
      <c r="D78" s="816" t="s">
        <v>651</v>
      </c>
      <c r="E78" s="893">
        <v>0.2</v>
      </c>
      <c r="F78" s="880">
        <v>30</v>
      </c>
    </row>
    <row r="79" spans="1:6" s="876" customFormat="1" ht="24">
      <c r="A79" s="880">
        <v>19</v>
      </c>
      <c r="B79" s="3366"/>
      <c r="C79" s="816" t="s">
        <v>652</v>
      </c>
      <c r="D79" s="816" t="s">
        <v>653</v>
      </c>
      <c r="E79" s="893">
        <v>0.5</v>
      </c>
      <c r="F79" s="880">
        <v>80</v>
      </c>
    </row>
    <row r="80" spans="1:6" s="876" customFormat="1" ht="36">
      <c r="A80" s="880">
        <v>20</v>
      </c>
      <c r="B80" s="3366"/>
      <c r="C80" s="816" t="s">
        <v>654</v>
      </c>
      <c r="D80" s="816" t="s">
        <v>655</v>
      </c>
      <c r="E80" s="893">
        <v>0.2</v>
      </c>
      <c r="F80" s="880">
        <v>30</v>
      </c>
    </row>
    <row r="81" spans="1:6" s="876" customFormat="1" ht="36">
      <c r="A81" s="880">
        <v>21</v>
      </c>
      <c r="B81" s="3366"/>
      <c r="C81" s="816" t="s">
        <v>656</v>
      </c>
      <c r="D81" s="816" t="s">
        <v>657</v>
      </c>
      <c r="E81" s="893">
        <v>0.2</v>
      </c>
      <c r="F81" s="880">
        <v>30</v>
      </c>
    </row>
    <row r="82" spans="1:6" s="876" customFormat="1" ht="48">
      <c r="A82" s="880">
        <v>22</v>
      </c>
      <c r="B82" s="3366"/>
      <c r="C82" s="816" t="s">
        <v>658</v>
      </c>
      <c r="D82" s="816" t="s">
        <v>659</v>
      </c>
      <c r="E82" s="893">
        <v>0.2</v>
      </c>
      <c r="F82" s="880">
        <v>30</v>
      </c>
    </row>
    <row r="83" spans="1:6" s="876" customFormat="1" ht="48">
      <c r="A83" s="880">
        <v>23</v>
      </c>
      <c r="B83" s="3366"/>
      <c r="C83" s="816" t="s">
        <v>660</v>
      </c>
      <c r="D83" s="816" t="s">
        <v>661</v>
      </c>
      <c r="E83" s="893">
        <v>0.2</v>
      </c>
      <c r="F83" s="880">
        <v>30</v>
      </c>
    </row>
    <row r="84" spans="1:6" s="876" customFormat="1" ht="36">
      <c r="A84" s="880">
        <v>24</v>
      </c>
      <c r="B84" s="3366"/>
      <c r="C84" s="816" t="s">
        <v>662</v>
      </c>
      <c r="D84" s="816" t="s">
        <v>663</v>
      </c>
      <c r="E84" s="893">
        <v>0.2</v>
      </c>
      <c r="F84" s="880">
        <v>30</v>
      </c>
    </row>
    <row r="85" spans="1:6" s="876" customFormat="1" ht="36">
      <c r="A85" s="880">
        <v>25</v>
      </c>
      <c r="B85" s="3366"/>
      <c r="C85" s="816" t="s">
        <v>664</v>
      </c>
      <c r="D85" s="816" t="s">
        <v>665</v>
      </c>
      <c r="E85" s="893">
        <v>0.5</v>
      </c>
      <c r="F85" s="880">
        <v>80</v>
      </c>
    </row>
    <row r="86" spans="1:6" s="876" customFormat="1" ht="36">
      <c r="A86" s="880">
        <v>26</v>
      </c>
      <c r="B86" s="3366"/>
      <c r="C86" s="816" t="s">
        <v>666</v>
      </c>
      <c r="D86" s="816" t="s">
        <v>667</v>
      </c>
      <c r="E86" s="893">
        <v>0.2</v>
      </c>
      <c r="F86" s="880">
        <v>30</v>
      </c>
    </row>
    <row r="87" spans="1:6" s="876" customFormat="1" ht="36">
      <c r="A87" s="880">
        <v>27</v>
      </c>
      <c r="B87" s="3366"/>
      <c r="C87" s="816" t="s">
        <v>668</v>
      </c>
      <c r="D87" s="816" t="s">
        <v>669</v>
      </c>
      <c r="E87" s="893">
        <v>0.2</v>
      </c>
      <c r="F87" s="880">
        <v>30</v>
      </c>
    </row>
    <row r="88" spans="1:6" s="876" customFormat="1" ht="36">
      <c r="A88" s="880">
        <v>28</v>
      </c>
      <c r="B88" s="3366"/>
      <c r="C88" s="816" t="s">
        <v>670</v>
      </c>
      <c r="D88" s="816" t="s">
        <v>671</v>
      </c>
      <c r="E88" s="893">
        <v>0.2</v>
      </c>
      <c r="F88" s="880">
        <v>30</v>
      </c>
    </row>
    <row r="89" spans="1:6" s="876" customFormat="1" ht="24">
      <c r="A89" s="880">
        <v>29</v>
      </c>
      <c r="B89" s="3366"/>
      <c r="C89" s="816" t="s">
        <v>672</v>
      </c>
      <c r="D89" s="816" t="s">
        <v>673</v>
      </c>
      <c r="E89" s="893">
        <v>0.2</v>
      </c>
      <c r="F89" s="880">
        <v>30</v>
      </c>
    </row>
    <row r="90" spans="1:6" s="876" customFormat="1" ht="24">
      <c r="A90" s="880">
        <v>30</v>
      </c>
      <c r="B90" s="3366"/>
      <c r="C90" s="816" t="s">
        <v>674</v>
      </c>
      <c r="D90" s="816" t="s">
        <v>675</v>
      </c>
      <c r="E90" s="893">
        <v>0.2</v>
      </c>
      <c r="F90" s="880">
        <v>30</v>
      </c>
    </row>
    <row r="91" spans="1:6" s="876" customFormat="1" ht="36">
      <c r="A91" s="880">
        <v>31</v>
      </c>
      <c r="B91" s="3366"/>
      <c r="C91" s="816" t="s">
        <v>676</v>
      </c>
      <c r="D91" s="816" t="s">
        <v>677</v>
      </c>
      <c r="E91" s="893">
        <v>0.2</v>
      </c>
      <c r="F91" s="880">
        <v>30</v>
      </c>
    </row>
    <row r="92" spans="1:6" s="876" customFormat="1" ht="24">
      <c r="A92" s="880">
        <v>32</v>
      </c>
      <c r="B92" s="3366" t="s">
        <v>678</v>
      </c>
      <c r="C92" s="880" t="s">
        <v>679</v>
      </c>
      <c r="D92" s="816" t="s">
        <v>680</v>
      </c>
      <c r="E92" s="893">
        <v>0.2</v>
      </c>
      <c r="F92" s="880">
        <v>30</v>
      </c>
    </row>
    <row r="93" spans="1:6" s="876" customFormat="1" ht="36">
      <c r="A93" s="880">
        <v>33</v>
      </c>
      <c r="B93" s="3366"/>
      <c r="C93" s="880" t="s">
        <v>681</v>
      </c>
      <c r="D93" s="816" t="s">
        <v>682</v>
      </c>
      <c r="E93" s="893">
        <v>0.2</v>
      </c>
      <c r="F93" s="880">
        <v>30</v>
      </c>
    </row>
    <row r="94" spans="1:6" s="876" customFormat="1" ht="48">
      <c r="A94" s="880">
        <v>34</v>
      </c>
      <c r="B94" s="3366"/>
      <c r="C94" s="880" t="s">
        <v>683</v>
      </c>
      <c r="D94" s="816" t="s">
        <v>684</v>
      </c>
      <c r="E94" s="893">
        <v>0.2</v>
      </c>
      <c r="F94" s="880">
        <v>30</v>
      </c>
    </row>
    <row r="95" spans="1:6" s="876" customFormat="1" ht="36">
      <c r="A95" s="880">
        <v>35</v>
      </c>
      <c r="B95" s="3366"/>
      <c r="C95" s="880" t="s">
        <v>685</v>
      </c>
      <c r="D95" s="816" t="s">
        <v>686</v>
      </c>
      <c r="E95" s="893">
        <v>0.2</v>
      </c>
      <c r="F95" s="880">
        <v>30</v>
      </c>
    </row>
    <row r="96" spans="1:6" s="876" customFormat="1" ht="48">
      <c r="A96" s="880">
        <v>36</v>
      </c>
      <c r="B96" s="3366"/>
      <c r="C96" s="816" t="s">
        <v>687</v>
      </c>
      <c r="D96" s="816" t="s">
        <v>688</v>
      </c>
      <c r="E96" s="893">
        <v>0.2</v>
      </c>
      <c r="F96" s="880">
        <v>30</v>
      </c>
    </row>
    <row r="97" spans="1:6" s="876" customFormat="1" ht="36">
      <c r="A97" s="880">
        <v>37</v>
      </c>
      <c r="B97" s="3366"/>
      <c r="C97" s="880" t="s">
        <v>689</v>
      </c>
      <c r="D97" s="816" t="s">
        <v>690</v>
      </c>
      <c r="E97" s="893">
        <v>0.2</v>
      </c>
      <c r="F97" s="880">
        <v>30</v>
      </c>
    </row>
    <row r="98" spans="1:6" s="876" customFormat="1" ht="36">
      <c r="A98" s="880">
        <v>38</v>
      </c>
      <c r="B98" s="3366"/>
      <c r="C98" s="880" t="s">
        <v>691</v>
      </c>
      <c r="D98" s="816" t="s">
        <v>692</v>
      </c>
      <c r="E98" s="893">
        <v>0.2</v>
      </c>
      <c r="F98" s="880">
        <v>30</v>
      </c>
    </row>
    <row r="99" spans="1:6" s="876" customFormat="1" ht="36">
      <c r="A99" s="880">
        <v>39</v>
      </c>
      <c r="B99" s="3366" t="s">
        <v>693</v>
      </c>
      <c r="C99" s="880" t="s">
        <v>694</v>
      </c>
      <c r="D99" s="816" t="s">
        <v>695</v>
      </c>
      <c r="E99" s="893">
        <v>0.3</v>
      </c>
      <c r="F99" s="880">
        <v>50</v>
      </c>
    </row>
    <row r="100" spans="1:6" s="876" customFormat="1" ht="24">
      <c r="A100" s="880">
        <v>40</v>
      </c>
      <c r="B100" s="3366"/>
      <c r="C100" s="880" t="s">
        <v>696</v>
      </c>
      <c r="D100" s="816" t="s">
        <v>697</v>
      </c>
      <c r="E100" s="893">
        <v>0.2</v>
      </c>
      <c r="F100" s="880">
        <v>30</v>
      </c>
    </row>
    <row r="101" spans="1:6" s="876" customFormat="1" ht="36">
      <c r="A101" s="880">
        <v>41</v>
      </c>
      <c r="B101" s="336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6" t="s">
        <v>708</v>
      </c>
      <c r="C105" s="880" t="s">
        <v>709</v>
      </c>
      <c r="D105" s="816" t="s">
        <v>710</v>
      </c>
      <c r="E105" s="893">
        <v>0.2</v>
      </c>
      <c r="F105" s="880">
        <v>30</v>
      </c>
    </row>
    <row r="106" spans="1:6" s="876" customFormat="1" ht="36">
      <c r="A106" s="880">
        <v>46</v>
      </c>
      <c r="B106" s="3366"/>
      <c r="C106" s="880" t="s">
        <v>711</v>
      </c>
      <c r="D106" s="816" t="s">
        <v>712</v>
      </c>
      <c r="E106" s="893">
        <v>0.2</v>
      </c>
      <c r="F106" s="880">
        <v>30</v>
      </c>
    </row>
    <row r="107" spans="1:6" s="876" customFormat="1" ht="36">
      <c r="A107" s="880">
        <v>47</v>
      </c>
      <c r="B107" s="3366" t="s">
        <v>713</v>
      </c>
      <c r="C107" s="880" t="s">
        <v>714</v>
      </c>
      <c r="D107" s="816" t="s">
        <v>715</v>
      </c>
      <c r="E107" s="893">
        <v>0.3</v>
      </c>
      <c r="F107" s="880">
        <v>50</v>
      </c>
    </row>
    <row r="108" spans="1:6" s="876" customFormat="1" ht="36">
      <c r="A108" s="880">
        <v>48</v>
      </c>
      <c r="B108" s="336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6" t="s">
        <v>724</v>
      </c>
      <c r="C111" s="880" t="s">
        <v>725</v>
      </c>
      <c r="D111" s="816" t="s">
        <v>726</v>
      </c>
      <c r="E111" s="893">
        <v>0.2</v>
      </c>
      <c r="F111" s="880">
        <v>30</v>
      </c>
    </row>
    <row r="112" spans="1:6" s="876" customFormat="1" ht="24">
      <c r="A112" s="880">
        <v>52</v>
      </c>
      <c r="B112" s="3366"/>
      <c r="C112" s="880" t="s">
        <v>727</v>
      </c>
      <c r="D112" s="816" t="s">
        <v>728</v>
      </c>
      <c r="E112" s="893">
        <v>0.2</v>
      </c>
      <c r="F112" s="880">
        <v>30</v>
      </c>
    </row>
    <row r="113" spans="1:6" s="876" customFormat="1" ht="24">
      <c r="A113" s="880">
        <v>53</v>
      </c>
      <c r="B113" s="336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6" t="s">
        <v>737</v>
      </c>
      <c r="C116" s="880" t="s">
        <v>738</v>
      </c>
      <c r="D116" s="816" t="s">
        <v>739</v>
      </c>
      <c r="E116" s="893">
        <v>0.2</v>
      </c>
      <c r="F116" s="880">
        <v>30</v>
      </c>
    </row>
    <row r="117" spans="1:6" ht="36">
      <c r="A117" s="880">
        <v>57</v>
      </c>
      <c r="B117" s="336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2" t="s">
        <v>1150</v>
      </c>
      <c r="C1" s="3372"/>
      <c r="D1" s="3372"/>
      <c r="E1" s="3372"/>
      <c r="F1" s="3372"/>
      <c r="G1" s="3368" t="s">
        <v>1151</v>
      </c>
      <c r="H1" s="3368"/>
      <c r="I1" s="3368"/>
      <c r="J1" s="3368"/>
      <c r="K1" s="3368"/>
      <c r="L1" s="3368"/>
      <c r="N1" s="3368" t="s">
        <v>1152</v>
      </c>
      <c r="O1" s="3368"/>
      <c r="P1" s="3368"/>
      <c r="Q1" s="3368"/>
      <c r="R1" s="1446"/>
      <c r="S1" s="3368" t="s">
        <v>1153</v>
      </c>
      <c r="T1" s="3368"/>
      <c r="U1" s="3368"/>
      <c r="V1" s="3368"/>
      <c r="X1" s="3367" t="s">
        <v>1154</v>
      </c>
      <c r="Y1" s="3368"/>
      <c r="Z1" s="3368"/>
      <c r="AA1" s="3368"/>
      <c r="AB1" s="3368"/>
      <c r="AD1" s="3367" t="s">
        <v>1155</v>
      </c>
      <c r="AE1" s="3368"/>
      <c r="AF1" s="3368"/>
      <c r="AG1" s="3368"/>
      <c r="AH1" s="336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73">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70"/>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70"/>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71"/>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69">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70"/>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70"/>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71"/>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69">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70"/>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70"/>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71"/>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74">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75"/>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75"/>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76"/>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69">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70"/>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70"/>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71"/>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69">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70">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70">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71">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69">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70">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70">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71">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69">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70">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70">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71">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69">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70">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70">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71">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69">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70">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70">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71">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69">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70">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70">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71">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69">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70">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70">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71">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69">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70">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70">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71">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6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70">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70">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7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6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70">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70">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71">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N13" sqref="N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048" t="s">
        <v>27</v>
      </c>
      <c r="E1" s="1630"/>
      <c r="F1" s="3049" t="s">
        <v>3193</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272" t="s">
        <v>2649</v>
      </c>
      <c r="Q4" s="3273"/>
      <c r="R4" s="3252" t="s">
        <v>2645</v>
      </c>
      <c r="S4" s="3253"/>
      <c r="T4" s="3252" t="s">
        <v>2646</v>
      </c>
      <c r="U4" s="3253"/>
      <c r="V4" s="3280" t="s">
        <v>2647</v>
      </c>
      <c r="W4" s="3280"/>
      <c r="X4" s="2947"/>
      <c r="Y4" s="3252" t="s">
        <v>2649</v>
      </c>
      <c r="Z4" s="3253"/>
      <c r="AA4" s="3247" t="s">
        <v>2645</v>
      </c>
      <c r="AB4" s="3247" t="s">
        <v>2646</v>
      </c>
      <c r="AC4" s="3265" t="s">
        <v>2647</v>
      </c>
    </row>
    <row r="5" spans="1:29" ht="15">
      <c r="A5" s="404"/>
      <c r="B5" s="405"/>
      <c r="C5" s="3258" t="s">
        <v>3057</v>
      </c>
      <c r="D5" s="3259"/>
      <c r="E5" s="3256" t="s">
        <v>3174</v>
      </c>
      <c r="F5" s="3257"/>
      <c r="G5" s="3258" t="s">
        <v>3154</v>
      </c>
      <c r="H5" s="3259"/>
      <c r="I5" s="3258" t="s">
        <v>3085</v>
      </c>
      <c r="J5" s="3259"/>
      <c r="K5" s="610"/>
      <c r="L5" s="1131"/>
      <c r="M5" s="1132"/>
      <c r="N5" s="1132"/>
      <c r="O5" s="1132"/>
      <c r="P5" s="3274"/>
      <c r="Q5" s="3275"/>
      <c r="R5" s="3254"/>
      <c r="S5" s="3255"/>
      <c r="T5" s="3254"/>
      <c r="U5" s="3255"/>
      <c r="V5" s="3281"/>
      <c r="W5" s="3281"/>
      <c r="X5" s="2942"/>
      <c r="Y5" s="3254"/>
      <c r="Z5" s="3255"/>
      <c r="AA5" s="3248"/>
      <c r="AB5" s="3248"/>
      <c r="AC5" s="3266"/>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276"/>
      <c r="Q6" s="3277"/>
      <c r="R6" s="3254"/>
      <c r="S6" s="3255"/>
      <c r="T6" s="3278"/>
      <c r="U6" s="3279"/>
      <c r="V6" s="3281"/>
      <c r="W6" s="3281"/>
      <c r="X6" s="2942"/>
      <c r="Y6" s="3278"/>
      <c r="Z6" s="3279"/>
      <c r="AA6" s="3249"/>
      <c r="AB6" s="3249"/>
      <c r="AC6" s="3267"/>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2" t="s">
        <v>2547</v>
      </c>
      <c r="Q7" s="3283"/>
      <c r="R7" s="768" t="s">
        <v>17</v>
      </c>
      <c r="S7" s="769">
        <f t="shared" ref="S7:S15" si="0">F7</f>
        <v>100</v>
      </c>
      <c r="T7" s="768" t="s">
        <v>17</v>
      </c>
      <c r="U7" s="769">
        <f t="shared" ref="U7:U15" si="1">H7</f>
        <v>100</v>
      </c>
      <c r="V7" s="768" t="s">
        <v>17</v>
      </c>
      <c r="W7" s="769">
        <f t="shared" ref="W7:W15" si="2">J7</f>
        <v>100</v>
      </c>
      <c r="X7" s="770"/>
      <c r="Y7" s="3250" t="s">
        <v>2547</v>
      </c>
      <c r="Z7" s="3251"/>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2" t="s">
        <v>2550</v>
      </c>
      <c r="Q8" s="3251"/>
      <c r="R8" s="768" t="s">
        <v>17</v>
      </c>
      <c r="S8" s="769">
        <f t="shared" si="0"/>
        <v>100</v>
      </c>
      <c r="T8" s="768" t="s">
        <v>17</v>
      </c>
      <c r="U8" s="769">
        <f t="shared" si="1"/>
        <v>100</v>
      </c>
      <c r="V8" s="768" t="s">
        <v>17</v>
      </c>
      <c r="W8" s="769">
        <f t="shared" si="2"/>
        <v>100</v>
      </c>
      <c r="X8" s="770"/>
      <c r="Y8" s="3250" t="s">
        <v>2550</v>
      </c>
      <c r="Z8" s="3251"/>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4" t="s">
        <v>2553</v>
      </c>
      <c r="Q9" s="2939" t="str">
        <f t="shared" ref="Q9:Q15" si="6">B9</f>
        <v>用途</v>
      </c>
      <c r="R9" s="768" t="s">
        <v>17</v>
      </c>
      <c r="S9" s="769">
        <f t="shared" si="0"/>
        <v>100</v>
      </c>
      <c r="T9" s="768" t="s">
        <v>17</v>
      </c>
      <c r="U9" s="769">
        <f t="shared" si="1"/>
        <v>100</v>
      </c>
      <c r="V9" s="768" t="s">
        <v>17</v>
      </c>
      <c r="W9" s="769">
        <f t="shared" si="2"/>
        <v>100</v>
      </c>
      <c r="X9" s="770"/>
      <c r="Y9" s="3124"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3089</v>
      </c>
      <c r="F10" s="136">
        <f>SUMIF(66:66,E10,67:67)-SUMIF(66:66,C10,67:67)+100</f>
        <v>101</v>
      </c>
      <c r="G10" s="424" t="s">
        <v>3089</v>
      </c>
      <c r="H10" s="136">
        <f>SUMIF(66:66,G10,67:67)-SUMIF(66:66,C10,67:67)+100</f>
        <v>101</v>
      </c>
      <c r="I10" s="423" t="s">
        <v>3089</v>
      </c>
      <c r="J10" s="136">
        <f>SUMIF(66:66,I10,67:67)-SUMIF(66:66,C10,67:67)+100</f>
        <v>101</v>
      </c>
      <c r="K10" s="612">
        <v>1</v>
      </c>
      <c r="L10" s="1136"/>
      <c r="M10" s="1137"/>
      <c r="N10" s="1137"/>
      <c r="O10" s="1137"/>
      <c r="P10" s="3264"/>
      <c r="Q10" s="2939" t="str">
        <f t="shared" si="6"/>
        <v>土地使用年限（年）</v>
      </c>
      <c r="R10" s="768" t="s">
        <v>17</v>
      </c>
      <c r="S10" s="769">
        <f t="shared" si="0"/>
        <v>101</v>
      </c>
      <c r="T10" s="768" t="s">
        <v>17</v>
      </c>
      <c r="U10" s="769">
        <f t="shared" si="1"/>
        <v>101</v>
      </c>
      <c r="V10" s="768" t="s">
        <v>17</v>
      </c>
      <c r="W10" s="769">
        <f t="shared" si="2"/>
        <v>101</v>
      </c>
      <c r="X10" s="770"/>
      <c r="Y10" s="3124"/>
      <c r="Z10" s="2940" t="str">
        <f t="shared" si="7"/>
        <v>土地使用年限（年）</v>
      </c>
      <c r="AA10" s="771">
        <f t="shared" si="3"/>
        <v>0.99009900990099009</v>
      </c>
      <c r="AB10" s="771">
        <f t="shared" si="4"/>
        <v>0.99009900990099009</v>
      </c>
      <c r="AC10" s="2669">
        <f t="shared" si="5"/>
        <v>0.99009900990099009</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4"/>
      <c r="Q11" s="2939" t="str">
        <f t="shared" si="6"/>
        <v>容积率</v>
      </c>
      <c r="R11" s="768" t="s">
        <v>17</v>
      </c>
      <c r="S11" s="769">
        <f t="shared" si="0"/>
        <v>100</v>
      </c>
      <c r="T11" s="768" t="s">
        <v>17</v>
      </c>
      <c r="U11" s="769">
        <f t="shared" si="1"/>
        <v>100</v>
      </c>
      <c r="V11" s="768" t="s">
        <v>17</v>
      </c>
      <c r="W11" s="769">
        <f t="shared" si="2"/>
        <v>100</v>
      </c>
      <c r="X11" s="770"/>
      <c r="Y11" s="3124"/>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4"/>
      <c r="Q12" s="2939">
        <f t="shared" si="6"/>
        <v>111</v>
      </c>
      <c r="R12" s="768" t="s">
        <v>17</v>
      </c>
      <c r="S12" s="769">
        <f t="shared" si="0"/>
        <v>100</v>
      </c>
      <c r="T12" s="768" t="s">
        <v>17</v>
      </c>
      <c r="U12" s="769">
        <f t="shared" si="1"/>
        <v>100</v>
      </c>
      <c r="V12" s="768" t="s">
        <v>17</v>
      </c>
      <c r="W12" s="769">
        <f t="shared" si="2"/>
        <v>100</v>
      </c>
      <c r="X12" s="770"/>
      <c r="Y12" s="3124"/>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4"/>
      <c r="Q13" s="2939">
        <f t="shared" si="6"/>
        <v>111</v>
      </c>
      <c r="R13" s="768" t="s">
        <v>17</v>
      </c>
      <c r="S13" s="769">
        <f t="shared" si="0"/>
        <v>100</v>
      </c>
      <c r="T13" s="768" t="s">
        <v>17</v>
      </c>
      <c r="U13" s="769">
        <f t="shared" si="1"/>
        <v>100</v>
      </c>
      <c r="V13" s="768" t="s">
        <v>17</v>
      </c>
      <c r="W13" s="769">
        <f t="shared" si="2"/>
        <v>100</v>
      </c>
      <c r="X13" s="770"/>
      <c r="Y13" s="3124"/>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4"/>
      <c r="Q14" s="2939">
        <f t="shared" si="6"/>
        <v>111</v>
      </c>
      <c r="R14" s="768" t="s">
        <v>17</v>
      </c>
      <c r="S14" s="769">
        <f t="shared" si="0"/>
        <v>100</v>
      </c>
      <c r="T14" s="768" t="s">
        <v>17</v>
      </c>
      <c r="U14" s="769">
        <f t="shared" si="1"/>
        <v>100</v>
      </c>
      <c r="V14" s="768" t="s">
        <v>17</v>
      </c>
      <c r="W14" s="769">
        <f t="shared" si="2"/>
        <v>100</v>
      </c>
      <c r="X14" s="770"/>
      <c r="Y14" s="3124"/>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84" t="s">
        <v>2558</v>
      </c>
      <c r="Q15" s="2945" t="str">
        <f t="shared" si="6"/>
        <v>办公集聚程度</v>
      </c>
      <c r="R15" s="772" t="s">
        <v>17</v>
      </c>
      <c r="S15" s="773">
        <f t="shared" si="0"/>
        <v>100</v>
      </c>
      <c r="T15" s="772" t="s">
        <v>17</v>
      </c>
      <c r="U15" s="773">
        <f t="shared" si="1"/>
        <v>100</v>
      </c>
      <c r="V15" s="772" t="s">
        <v>17</v>
      </c>
      <c r="W15" s="773">
        <f t="shared" si="2"/>
        <v>100</v>
      </c>
      <c r="X15" s="2942"/>
      <c r="Y15" s="3286"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5"/>
      <c r="Q16" s="2945"/>
      <c r="R16" s="772"/>
      <c r="S16" s="773"/>
      <c r="T16" s="772"/>
      <c r="U16" s="773"/>
      <c r="V16" s="772"/>
      <c r="W16" s="773"/>
      <c r="X16" s="2942"/>
      <c r="Y16" s="3287"/>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85"/>
      <c r="Q17" s="2945" t="str">
        <f>B17</f>
        <v>交通便捷度</v>
      </c>
      <c r="R17" s="772" t="s">
        <v>17</v>
      </c>
      <c r="S17" s="773">
        <f>F17</f>
        <v>100</v>
      </c>
      <c r="T17" s="772" t="s">
        <v>17</v>
      </c>
      <c r="U17" s="773">
        <f>H17</f>
        <v>100</v>
      </c>
      <c r="V17" s="772" t="s">
        <v>17</v>
      </c>
      <c r="W17" s="773">
        <f>J17</f>
        <v>100</v>
      </c>
      <c r="X17" s="2942"/>
      <c r="Y17" s="3287"/>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5"/>
      <c r="Q18" s="2945"/>
      <c r="R18" s="772"/>
      <c r="S18" s="773"/>
      <c r="T18" s="772"/>
      <c r="U18" s="773"/>
      <c r="V18" s="772"/>
      <c r="W18" s="773"/>
      <c r="X18" s="2942"/>
      <c r="Y18" s="3287"/>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85"/>
      <c r="Q19" s="2945" t="str">
        <f>B19</f>
        <v>公共配套设施</v>
      </c>
      <c r="R19" s="772" t="s">
        <v>17</v>
      </c>
      <c r="S19" s="773">
        <f>F19</f>
        <v>100</v>
      </c>
      <c r="T19" s="772" t="s">
        <v>17</v>
      </c>
      <c r="U19" s="773">
        <f>H19</f>
        <v>100</v>
      </c>
      <c r="V19" s="772" t="s">
        <v>17</v>
      </c>
      <c r="W19" s="773">
        <f>J19</f>
        <v>100</v>
      </c>
      <c r="X19" s="2942"/>
      <c r="Y19" s="3287"/>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5"/>
      <c r="Q20" s="2945"/>
      <c r="R20" s="772"/>
      <c r="S20" s="773"/>
      <c r="T20" s="772"/>
      <c r="U20" s="773"/>
      <c r="V20" s="772"/>
      <c r="W20" s="773"/>
      <c r="X20" s="2942"/>
      <c r="Y20" s="3287"/>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85"/>
      <c r="Q21" s="2945" t="str">
        <f>B21</f>
        <v>基础设施水平</v>
      </c>
      <c r="R21" s="772" t="s">
        <v>17</v>
      </c>
      <c r="S21" s="773">
        <f>F21</f>
        <v>100</v>
      </c>
      <c r="T21" s="772" t="s">
        <v>17</v>
      </c>
      <c r="U21" s="773">
        <f>H21</f>
        <v>100</v>
      </c>
      <c r="V21" s="772" t="s">
        <v>17</v>
      </c>
      <c r="W21" s="773">
        <f>J21</f>
        <v>100</v>
      </c>
      <c r="X21" s="2942"/>
      <c r="Y21" s="3287"/>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5"/>
      <c r="Q22" s="2945"/>
      <c r="R22" s="772"/>
      <c r="S22" s="773"/>
      <c r="T22" s="772"/>
      <c r="U22" s="773"/>
      <c r="V22" s="772"/>
      <c r="W22" s="773"/>
      <c r="X22" s="2942"/>
      <c r="Y22" s="3287"/>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85"/>
      <c r="Q23" s="2945" t="str">
        <f>B23</f>
        <v>环境质量</v>
      </c>
      <c r="R23" s="772" t="s">
        <v>17</v>
      </c>
      <c r="S23" s="773">
        <f>F23</f>
        <v>100</v>
      </c>
      <c r="T23" s="772" t="s">
        <v>17</v>
      </c>
      <c r="U23" s="773">
        <f>H23</f>
        <v>100</v>
      </c>
      <c r="V23" s="772" t="s">
        <v>17</v>
      </c>
      <c r="W23" s="773">
        <f>J23</f>
        <v>100</v>
      </c>
      <c r="X23" s="2942"/>
      <c r="Y23" s="3287"/>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5"/>
      <c r="Q24" s="2945"/>
      <c r="R24" s="772"/>
      <c r="S24" s="773"/>
      <c r="T24" s="772"/>
      <c r="U24" s="773"/>
      <c r="V24" s="772"/>
      <c r="W24" s="773"/>
      <c r="X24" s="2942"/>
      <c r="Y24" s="3287"/>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5"/>
      <c r="Q25" s="2945" t="str">
        <f>B25</f>
        <v>毗邻道路的类型与等级</v>
      </c>
      <c r="R25" s="772" t="s">
        <v>17</v>
      </c>
      <c r="S25" s="773">
        <f>F25</f>
        <v>100</v>
      </c>
      <c r="T25" s="772" t="s">
        <v>17</v>
      </c>
      <c r="U25" s="773">
        <f>H25</f>
        <v>100</v>
      </c>
      <c r="V25" s="772" t="s">
        <v>17</v>
      </c>
      <c r="W25" s="773">
        <f>J25</f>
        <v>100</v>
      </c>
      <c r="X25" s="2942"/>
      <c r="Y25" s="3287"/>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285"/>
      <c r="Q26" s="2945"/>
      <c r="R26" s="772"/>
      <c r="S26" s="773"/>
      <c r="T26" s="772"/>
      <c r="U26" s="773"/>
      <c r="V26" s="772"/>
      <c r="W26" s="773"/>
      <c r="X26" s="2942"/>
      <c r="Y26" s="3287"/>
      <c r="Z26" s="2943"/>
      <c r="AA26" s="2946">
        <v>1</v>
      </c>
      <c r="AB26" s="2946">
        <v>1</v>
      </c>
      <c r="AC26" s="2672">
        <v>1</v>
      </c>
    </row>
    <row r="27" spans="1:29" ht="15">
      <c r="A27" s="428"/>
      <c r="B27" s="632" t="s">
        <v>2657</v>
      </c>
      <c r="C27" s="634" t="s">
        <v>3086</v>
      </c>
      <c r="D27" s="435">
        <v>100</v>
      </c>
      <c r="E27" s="616" t="s">
        <v>3088</v>
      </c>
      <c r="F27" s="435">
        <f>SUMIF(89:89,E27,90:90)-SUMIF(89:89,C27,90:90)+100</f>
        <v>96</v>
      </c>
      <c r="G27" s="634" t="s">
        <v>3088</v>
      </c>
      <c r="H27" s="435">
        <f>SUMIF(89:89,G27,90:90)-SUMIF(89:89,C27,90:90)+100</f>
        <v>96</v>
      </c>
      <c r="I27" s="616" t="s">
        <v>3087</v>
      </c>
      <c r="J27" s="435">
        <f>SUMIF(89:89,I27,90:90)-SUMIF(89:89,C27,90:90)+100</f>
        <v>98</v>
      </c>
      <c r="K27" s="612">
        <v>2</v>
      </c>
      <c r="L27" s="1141"/>
      <c r="M27" s="1132"/>
      <c r="N27" s="1132"/>
      <c r="O27" s="1132"/>
      <c r="P27" s="3285"/>
      <c r="Q27" s="2945" t="str">
        <f t="shared" ref="Q27:Q47" si="11">B27</f>
        <v>楼层</v>
      </c>
      <c r="R27" s="772" t="s">
        <v>17</v>
      </c>
      <c r="S27" s="773">
        <f>F27</f>
        <v>96</v>
      </c>
      <c r="T27" s="772" t="s">
        <v>17</v>
      </c>
      <c r="U27" s="773">
        <f>H27</f>
        <v>96</v>
      </c>
      <c r="V27" s="772" t="s">
        <v>17</v>
      </c>
      <c r="W27" s="773">
        <f>J27</f>
        <v>98</v>
      </c>
      <c r="X27" s="2942"/>
      <c r="Y27" s="3287"/>
      <c r="Z27" s="2943" t="str">
        <f>Q27</f>
        <v>楼层</v>
      </c>
      <c r="AA27" s="2946">
        <f t="shared" si="3"/>
        <v>1.0416666666666667</v>
      </c>
      <c r="AB27" s="2946">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85"/>
      <c r="Q28" s="2939" t="str">
        <f t="shared" si="11"/>
        <v>朝向</v>
      </c>
      <c r="R28" s="768" t="s">
        <v>17</v>
      </c>
      <c r="S28" s="769">
        <f>F28</f>
        <v>100</v>
      </c>
      <c r="T28" s="768" t="s">
        <v>17</v>
      </c>
      <c r="U28" s="769">
        <f>H28</f>
        <v>100</v>
      </c>
      <c r="V28" s="768" t="s">
        <v>17</v>
      </c>
      <c r="W28" s="769">
        <f>J28</f>
        <v>100</v>
      </c>
      <c r="X28" s="770"/>
      <c r="Y28" s="3287"/>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5"/>
      <c r="Q29" s="2945">
        <f t="shared" si="11"/>
        <v>111</v>
      </c>
      <c r="R29" s="772" t="s">
        <v>17</v>
      </c>
      <c r="S29" s="773">
        <f t="shared" ref="S29:S47" si="12">F29</f>
        <v>100</v>
      </c>
      <c r="T29" s="772" t="s">
        <v>17</v>
      </c>
      <c r="U29" s="773">
        <f t="shared" ref="U29:U47" si="13">H29</f>
        <v>100</v>
      </c>
      <c r="V29" s="772" t="s">
        <v>17</v>
      </c>
      <c r="W29" s="773">
        <f t="shared" ref="W29:W47" si="14">J29</f>
        <v>100</v>
      </c>
      <c r="X29" s="2942"/>
      <c r="Y29" s="3287"/>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5"/>
      <c r="Q30" s="2945">
        <f t="shared" si="11"/>
        <v>111</v>
      </c>
      <c r="R30" s="772" t="s">
        <v>17</v>
      </c>
      <c r="S30" s="773">
        <f t="shared" si="12"/>
        <v>100</v>
      </c>
      <c r="T30" s="772" t="s">
        <v>17</v>
      </c>
      <c r="U30" s="773">
        <f t="shared" si="13"/>
        <v>100</v>
      </c>
      <c r="V30" s="772" t="s">
        <v>17</v>
      </c>
      <c r="W30" s="773">
        <f t="shared" si="14"/>
        <v>100</v>
      </c>
      <c r="X30" s="2942"/>
      <c r="Y30" s="3287"/>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5"/>
      <c r="Q31" s="2945">
        <f t="shared" si="11"/>
        <v>111</v>
      </c>
      <c r="R31" s="772" t="s">
        <v>17</v>
      </c>
      <c r="S31" s="773">
        <f t="shared" si="12"/>
        <v>100</v>
      </c>
      <c r="T31" s="772" t="s">
        <v>17</v>
      </c>
      <c r="U31" s="773">
        <f t="shared" si="13"/>
        <v>100</v>
      </c>
      <c r="V31" s="772" t="s">
        <v>17</v>
      </c>
      <c r="W31" s="773">
        <f t="shared" si="14"/>
        <v>100</v>
      </c>
      <c r="X31" s="2942"/>
      <c r="Y31" s="3287"/>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5"/>
      <c r="Q32" s="2945">
        <f t="shared" si="11"/>
        <v>111</v>
      </c>
      <c r="R32" s="772" t="s">
        <v>17</v>
      </c>
      <c r="S32" s="773">
        <f t="shared" si="12"/>
        <v>100</v>
      </c>
      <c r="T32" s="772" t="s">
        <v>17</v>
      </c>
      <c r="U32" s="773">
        <f t="shared" si="13"/>
        <v>100</v>
      </c>
      <c r="V32" s="772" t="s">
        <v>17</v>
      </c>
      <c r="W32" s="773">
        <f t="shared" si="14"/>
        <v>100</v>
      </c>
      <c r="X32" s="2942"/>
      <c r="Y32" s="3287"/>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288" t="s">
        <v>2563</v>
      </c>
      <c r="Q33" s="2945" t="str">
        <f t="shared" si="11"/>
        <v>建筑类型</v>
      </c>
      <c r="R33" s="772" t="s">
        <v>17</v>
      </c>
      <c r="S33" s="773">
        <f t="shared" si="12"/>
        <v>100</v>
      </c>
      <c r="T33" s="772" t="s">
        <v>17</v>
      </c>
      <c r="U33" s="773">
        <f t="shared" si="13"/>
        <v>100</v>
      </c>
      <c r="V33" s="772" t="s">
        <v>17</v>
      </c>
      <c r="W33" s="773">
        <f t="shared" si="14"/>
        <v>100</v>
      </c>
      <c r="X33" s="2942"/>
      <c r="Y33" s="3291"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9"/>
      <c r="Q34" s="774" t="str">
        <f t="shared" si="11"/>
        <v>项目建筑规模</v>
      </c>
      <c r="R34" s="775" t="s">
        <v>17</v>
      </c>
      <c r="S34" s="776">
        <f t="shared" si="12"/>
        <v>100</v>
      </c>
      <c r="T34" s="775" t="s">
        <v>17</v>
      </c>
      <c r="U34" s="776">
        <f t="shared" si="13"/>
        <v>100</v>
      </c>
      <c r="V34" s="775" t="s">
        <v>17</v>
      </c>
      <c r="W34" s="776">
        <f t="shared" si="14"/>
        <v>100</v>
      </c>
      <c r="X34" s="777"/>
      <c r="Y34" s="3291"/>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289"/>
      <c r="Q35" s="2945" t="str">
        <f t="shared" si="11"/>
        <v>建筑结构</v>
      </c>
      <c r="R35" s="772" t="s">
        <v>17</v>
      </c>
      <c r="S35" s="773">
        <f t="shared" si="12"/>
        <v>100</v>
      </c>
      <c r="T35" s="772" t="s">
        <v>17</v>
      </c>
      <c r="U35" s="773">
        <f t="shared" si="13"/>
        <v>100</v>
      </c>
      <c r="V35" s="772" t="s">
        <v>17</v>
      </c>
      <c r="W35" s="773">
        <f t="shared" si="14"/>
        <v>100</v>
      </c>
      <c r="X35" s="2942"/>
      <c r="Y35" s="3291"/>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289"/>
      <c r="Q36" s="2945" t="str">
        <f t="shared" si="11"/>
        <v>公共部分装修</v>
      </c>
      <c r="R36" s="772" t="s">
        <v>17</v>
      </c>
      <c r="S36" s="773">
        <f t="shared" si="12"/>
        <v>100</v>
      </c>
      <c r="T36" s="772" t="s">
        <v>17</v>
      </c>
      <c r="U36" s="773">
        <f t="shared" si="13"/>
        <v>100</v>
      </c>
      <c r="V36" s="772" t="s">
        <v>17</v>
      </c>
      <c r="W36" s="773">
        <f t="shared" si="14"/>
        <v>100</v>
      </c>
      <c r="X36" s="2942"/>
      <c r="Y36" s="3291"/>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9"/>
      <c r="Q37" s="2945" t="str">
        <f t="shared" si="11"/>
        <v>成新度</v>
      </c>
      <c r="R37" s="772" t="s">
        <v>17</v>
      </c>
      <c r="S37" s="773">
        <f t="shared" si="12"/>
        <v>100</v>
      </c>
      <c r="T37" s="772" t="s">
        <v>17</v>
      </c>
      <c r="U37" s="773">
        <f t="shared" si="13"/>
        <v>100</v>
      </c>
      <c r="V37" s="772" t="s">
        <v>17</v>
      </c>
      <c r="W37" s="773">
        <f t="shared" si="14"/>
        <v>100</v>
      </c>
      <c r="X37" s="2942"/>
      <c r="Y37" s="3291"/>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289"/>
      <c r="Q38" s="2939" t="str">
        <f t="shared" si="11"/>
        <v>写字楼等级</v>
      </c>
      <c r="R38" s="768" t="s">
        <v>17</v>
      </c>
      <c r="S38" s="769">
        <f t="shared" si="12"/>
        <v>100</v>
      </c>
      <c r="T38" s="768" t="s">
        <v>17</v>
      </c>
      <c r="U38" s="769">
        <f t="shared" si="13"/>
        <v>100</v>
      </c>
      <c r="V38" s="768" t="s">
        <v>17</v>
      </c>
      <c r="W38" s="769">
        <f t="shared" si="14"/>
        <v>100</v>
      </c>
      <c r="X38" s="770"/>
      <c r="Y38" s="3291"/>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289" t="s">
        <v>2563</v>
      </c>
      <c r="Q39" s="2945" t="str">
        <f t="shared" si="11"/>
        <v>物业管理</v>
      </c>
      <c r="R39" s="772" t="s">
        <v>17</v>
      </c>
      <c r="S39" s="773">
        <f t="shared" si="12"/>
        <v>100</v>
      </c>
      <c r="T39" s="772" t="s">
        <v>17</v>
      </c>
      <c r="U39" s="773">
        <f t="shared" si="13"/>
        <v>100</v>
      </c>
      <c r="V39" s="772" t="s">
        <v>17</v>
      </c>
      <c r="W39" s="773">
        <f t="shared" si="14"/>
        <v>100</v>
      </c>
      <c r="X39" s="2942"/>
      <c r="Y39" s="3291"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289"/>
      <c r="Q40" s="2945" t="str">
        <f t="shared" si="11"/>
        <v>市政基础设施</v>
      </c>
      <c r="R40" s="772" t="s">
        <v>17</v>
      </c>
      <c r="S40" s="773">
        <f t="shared" si="12"/>
        <v>100</v>
      </c>
      <c r="T40" s="772" t="s">
        <v>17</v>
      </c>
      <c r="U40" s="773">
        <f t="shared" si="13"/>
        <v>100</v>
      </c>
      <c r="V40" s="772" t="s">
        <v>17</v>
      </c>
      <c r="W40" s="773">
        <f t="shared" si="14"/>
        <v>100</v>
      </c>
      <c r="X40" s="2942"/>
      <c r="Y40" s="3291"/>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289"/>
      <c r="Q41" s="2945" t="str">
        <f t="shared" si="11"/>
        <v>层高</v>
      </c>
      <c r="R41" s="772" t="s">
        <v>17</v>
      </c>
      <c r="S41" s="773">
        <f t="shared" si="12"/>
        <v>100</v>
      </c>
      <c r="T41" s="772" t="s">
        <v>17</v>
      </c>
      <c r="U41" s="773">
        <f t="shared" si="13"/>
        <v>100</v>
      </c>
      <c r="V41" s="772" t="s">
        <v>17</v>
      </c>
      <c r="W41" s="773">
        <f t="shared" si="14"/>
        <v>100</v>
      </c>
      <c r="X41" s="2942"/>
      <c r="Y41" s="3291"/>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3195</v>
      </c>
      <c r="F42" s="461">
        <f>SUMIF(121:121,E42,122:122)-SUMIF(121:121,C42,122:122)+100</f>
        <v>97</v>
      </c>
      <c r="G42" s="434" t="s">
        <v>3172</v>
      </c>
      <c r="H42" s="435">
        <f>SUMIF(121:121,G42,122:122)-SUMIF(121:121,C42,122:122)+100</f>
        <v>100</v>
      </c>
      <c r="I42" s="434" t="s">
        <v>3173</v>
      </c>
      <c r="J42" s="435">
        <f>SUMIF(121:121,I42,122:122)-SUMIF(121:121,C42,122:122)+100</f>
        <v>97</v>
      </c>
      <c r="K42" s="613"/>
      <c r="L42" s="1139"/>
      <c r="M42" s="1142"/>
      <c r="N42" s="1142"/>
      <c r="O42" s="1142"/>
      <c r="P42" s="3289"/>
      <c r="Q42" s="774" t="str">
        <f t="shared" si="11"/>
        <v>单套建筑面积</v>
      </c>
      <c r="R42" s="775" t="s">
        <v>17</v>
      </c>
      <c r="S42" s="776">
        <f t="shared" si="12"/>
        <v>97</v>
      </c>
      <c r="T42" s="775" t="s">
        <v>17</v>
      </c>
      <c r="U42" s="776">
        <f t="shared" si="13"/>
        <v>100</v>
      </c>
      <c r="V42" s="775" t="s">
        <v>17</v>
      </c>
      <c r="W42" s="776">
        <f t="shared" si="14"/>
        <v>97</v>
      </c>
      <c r="X42" s="777"/>
      <c r="Y42" s="3291"/>
      <c r="Z42" s="778" t="str">
        <f t="shared" si="15"/>
        <v>单套建筑面积</v>
      </c>
      <c r="AA42" s="2946">
        <f t="shared" si="3"/>
        <v>1.0309278350515463</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289"/>
      <c r="Q43" s="2945" t="str">
        <f t="shared" si="11"/>
        <v>内部装修</v>
      </c>
      <c r="R43" s="772" t="s">
        <v>17</v>
      </c>
      <c r="S43" s="773">
        <f t="shared" si="12"/>
        <v>100</v>
      </c>
      <c r="T43" s="772" t="s">
        <v>17</v>
      </c>
      <c r="U43" s="773">
        <f t="shared" si="13"/>
        <v>100</v>
      </c>
      <c r="V43" s="772" t="s">
        <v>17</v>
      </c>
      <c r="W43" s="773">
        <f t="shared" si="14"/>
        <v>100</v>
      </c>
      <c r="X43" s="2942"/>
      <c r="Y43" s="3291"/>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289"/>
      <c r="Q44" s="2945" t="str">
        <f t="shared" si="11"/>
        <v>内部装修维护情况</v>
      </c>
      <c r="R44" s="772" t="s">
        <v>17</v>
      </c>
      <c r="S44" s="773">
        <f t="shared" si="12"/>
        <v>100</v>
      </c>
      <c r="T44" s="772" t="s">
        <v>17</v>
      </c>
      <c r="U44" s="773">
        <f t="shared" si="13"/>
        <v>100</v>
      </c>
      <c r="V44" s="772" t="s">
        <v>17</v>
      </c>
      <c r="W44" s="773">
        <f t="shared" si="14"/>
        <v>100</v>
      </c>
      <c r="X44" s="2942"/>
      <c r="Y44" s="3291"/>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9"/>
      <c r="Q45" s="2939">
        <f t="shared" si="11"/>
        <v>111</v>
      </c>
      <c r="R45" s="768" t="s">
        <v>17</v>
      </c>
      <c r="S45" s="769">
        <f t="shared" si="12"/>
        <v>100</v>
      </c>
      <c r="T45" s="768" t="s">
        <v>17</v>
      </c>
      <c r="U45" s="769">
        <f t="shared" si="13"/>
        <v>100</v>
      </c>
      <c r="V45" s="768" t="s">
        <v>17</v>
      </c>
      <c r="W45" s="769">
        <f t="shared" si="14"/>
        <v>100</v>
      </c>
      <c r="X45" s="770"/>
      <c r="Y45" s="3291"/>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9"/>
      <c r="Q46" s="2945">
        <f t="shared" si="11"/>
        <v>111</v>
      </c>
      <c r="R46" s="772" t="s">
        <v>17</v>
      </c>
      <c r="S46" s="773">
        <f t="shared" si="12"/>
        <v>100</v>
      </c>
      <c r="T46" s="772" t="s">
        <v>17</v>
      </c>
      <c r="U46" s="773">
        <f t="shared" si="13"/>
        <v>100</v>
      </c>
      <c r="V46" s="772" t="s">
        <v>17</v>
      </c>
      <c r="W46" s="773">
        <f t="shared" si="14"/>
        <v>100</v>
      </c>
      <c r="X46" s="2942"/>
      <c r="Y46" s="3291"/>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90"/>
      <c r="Q47" s="2945">
        <f t="shared" si="11"/>
        <v>111</v>
      </c>
      <c r="R47" s="772" t="s">
        <v>17</v>
      </c>
      <c r="S47" s="773">
        <f t="shared" si="12"/>
        <v>100</v>
      </c>
      <c r="T47" s="772" t="s">
        <v>17</v>
      </c>
      <c r="U47" s="773">
        <f t="shared" si="13"/>
        <v>100</v>
      </c>
      <c r="V47" s="772" t="s">
        <v>17</v>
      </c>
      <c r="W47" s="773">
        <f t="shared" si="14"/>
        <v>100</v>
      </c>
      <c r="X47" s="2942"/>
      <c r="Y47" s="3292"/>
      <c r="Z47" s="2943">
        <f t="shared" si="15"/>
        <v>111</v>
      </c>
      <c r="AA47" s="2946">
        <f t="shared" si="3"/>
        <v>1</v>
      </c>
      <c r="AB47" s="2946">
        <f t="shared" si="4"/>
        <v>1</v>
      </c>
      <c r="AC47" s="2672">
        <f t="shared" si="5"/>
        <v>1</v>
      </c>
    </row>
    <row r="48" spans="1:29" ht="15">
      <c r="A48" s="479" t="s">
        <v>2575</v>
      </c>
      <c r="B48" s="480"/>
      <c r="C48" s="1407" t="s">
        <v>1</v>
      </c>
      <c r="D48" s="1408"/>
      <c r="E48" s="1409">
        <v>8</v>
      </c>
      <c r="F48" s="1410"/>
      <c r="G48" s="1411">
        <v>8</v>
      </c>
      <c r="H48" s="1412"/>
      <c r="I48" s="1409">
        <v>8.85</v>
      </c>
      <c r="J48" s="485"/>
      <c r="K48" s="781"/>
      <c r="L48" s="1144"/>
      <c r="M48" s="1132"/>
      <c r="N48" s="1132"/>
      <c r="O48" s="1132"/>
      <c r="P48" s="3264" t="str">
        <f>A48</f>
        <v>成交单价（元/平方米）</v>
      </c>
      <c r="Q48" s="3293"/>
      <c r="R48" s="3294">
        <f>E48</f>
        <v>8</v>
      </c>
      <c r="S48" s="3294"/>
      <c r="T48" s="3294">
        <f>G48</f>
        <v>8</v>
      </c>
      <c r="U48" s="3294"/>
      <c r="V48" s="3294">
        <f>I48</f>
        <v>8.85</v>
      </c>
      <c r="W48" s="3294"/>
      <c r="X48" s="446"/>
      <c r="Y48" s="779"/>
      <c r="Z48" s="446"/>
      <c r="AA48" s="446"/>
      <c r="AB48" s="446"/>
      <c r="AC48" s="630"/>
    </row>
    <row r="49" spans="1:29" ht="15.75" thickBot="1">
      <c r="A49" s="486" t="s">
        <v>2667</v>
      </c>
      <c r="B49" s="487"/>
      <c r="C49" s="3050">
        <f>R50</f>
        <v>8.6999999999999993</v>
      </c>
      <c r="D49" s="1414"/>
      <c r="E49" s="1415">
        <f>R49</f>
        <v>8.5</v>
      </c>
      <c r="F49" s="1415"/>
      <c r="G49" s="1413">
        <f>T49</f>
        <v>8.3000000000000007</v>
      </c>
      <c r="H49" s="1414"/>
      <c r="I49" s="1415">
        <f>V49</f>
        <v>9.1999999999999993</v>
      </c>
      <c r="J49" s="489"/>
      <c r="K49" s="782"/>
      <c r="L49" s="1144"/>
      <c r="M49" s="1132"/>
      <c r="N49" s="1132"/>
      <c r="O49" s="1132"/>
      <c r="P49" s="3264" t="str">
        <f>A49</f>
        <v>比较价值（元/平方米）</v>
      </c>
      <c r="Q49" s="3293"/>
      <c r="R49" s="3294">
        <f>IF(F1="售价",ROUND(PRODUCT(R48,AA7:AA47),0),ROUND(PRODUCT(R48,AA7:AA47),1))</f>
        <v>8.5</v>
      </c>
      <c r="S49" s="3294"/>
      <c r="T49" s="3294">
        <f>IF(F1="售价",ROUND(PRODUCT(T48,AB7:AB47),0),ROUND(PRODUCT(T48,AB7:AB47),1))</f>
        <v>8.3000000000000007</v>
      </c>
      <c r="U49" s="3294"/>
      <c r="V49" s="3294">
        <f>IF(F1="售价",ROUND(PRODUCT(V48,AC7:AC47),0),ROUND(PRODUCT(V48,AC7:AC47),1))</f>
        <v>9.1999999999999993</v>
      </c>
      <c r="W49" s="3294"/>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295" t="str">
        <f>A50</f>
        <v>估价对象XX用房的比较价值（楼面单价，元/平方米）</v>
      </c>
      <c r="Q50" s="3296"/>
      <c r="R50" s="3297">
        <f>IF(F1="售价",ROUND(AVERAGE(R49:V49),0),ROUND(AVERAGE(R49:V49),1))</f>
        <v>8.6999999999999993</v>
      </c>
      <c r="S50" s="3297"/>
      <c r="T50" s="3297"/>
      <c r="U50" s="3297"/>
      <c r="V50" s="3297"/>
      <c r="W50" s="329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6.25E-2</v>
      </c>
      <c r="F53" s="500" t="str">
        <f>IF(OR(E53&gt;=0.3,E53&lt;=-0.3),"超过30%","")</f>
        <v/>
      </c>
      <c r="G53" s="499">
        <f>IF(G48&lt;G49,G49/G48-1,G48/G49-1)</f>
        <v>3.7500000000000089E-2</v>
      </c>
      <c r="H53" s="500" t="str">
        <f>IF(OR(G53&gt;=0.3,G53&lt;=-0.3),"超过30%","")</f>
        <v/>
      </c>
      <c r="I53" s="499">
        <f>IF(I48&lt;I49,I49/I48-1,I48/I49-1)</f>
        <v>3.9548022598870025E-2</v>
      </c>
      <c r="J53" s="500" t="str">
        <f>IF(OR(I53&gt;=0.3,I53&lt;=-0.3),"超过30%","")</f>
        <v/>
      </c>
      <c r="K53" s="1106"/>
      <c r="L53" s="1107"/>
      <c r="M53" s="1145"/>
      <c r="N53" s="1145"/>
      <c r="O53" s="1145"/>
    </row>
    <row r="54" spans="1:29" ht="13.5" customHeight="1">
      <c r="A54" s="1145"/>
      <c r="B54" s="1145"/>
      <c r="C54" s="497" t="s">
        <v>2670</v>
      </c>
      <c r="D54" s="501"/>
      <c r="E54" s="499">
        <f>IF(E49&lt;G49,G49/E49-1,E49/G49-1)</f>
        <v>2.409638554216853E-2</v>
      </c>
      <c r="F54" s="500" t="str">
        <f>IF(OR(E54&gt;=0.2,E54&lt;=-0.2),"超过20%","")</f>
        <v/>
      </c>
      <c r="G54" s="499">
        <f>IF(G49&lt;I49,I49/G49-1,G49/I49-1)</f>
        <v>0.10843373493975883</v>
      </c>
      <c r="H54" s="500" t="str">
        <f>IF(OR(G54&gt;=0.2,G54&lt;=-0.2),"超过20%","")</f>
        <v/>
      </c>
      <c r="I54" s="499">
        <f>IF(I49&lt;E49,E49/I49-1,I49/E49-1)</f>
        <v>8.2352941176470518E-2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v>
      </c>
      <c r="F55" s="500" t="str">
        <f>IF(OR(E55&gt;=0.3,E55&lt;=-0.3),"超过30%","")</f>
        <v/>
      </c>
      <c r="G55" s="499">
        <f>IF(G48&lt;I48,I48/G48-1,G48/I48-1)</f>
        <v>0.10624999999999996</v>
      </c>
      <c r="H55" s="500" t="str">
        <f>IF(OR(G55&gt;=0.3,G55&lt;=-0.3),"超过30%","")</f>
        <v/>
      </c>
      <c r="I55" s="499">
        <f>IF(I48&lt;E48,E48/I48-1,I48/E48-1)</f>
        <v>0.10624999999999996</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3178</v>
      </c>
      <c r="G121" s="555" t="s">
        <v>3179</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961"/>
      <c r="B4" s="3062" t="s">
        <v>1629</v>
      </c>
      <c r="C4" s="3062"/>
      <c r="D4" s="3062"/>
      <c r="E4" s="1961"/>
    </row>
    <row r="5" spans="1:5" ht="16.5" thickTop="1">
      <c r="A5" s="1959"/>
      <c r="B5" s="3060" t="s">
        <v>1621</v>
      </c>
      <c r="C5" s="1962" t="s">
        <v>1622</v>
      </c>
      <c r="D5" s="1041">
        <f ca="1">结果表!H101</f>
        <v>1870</v>
      </c>
      <c r="E5" s="1959"/>
    </row>
    <row r="6" spans="1:5" ht="15.75">
      <c r="A6" s="1959"/>
      <c r="B6" s="3060"/>
      <c r="C6" s="1962" t="s">
        <v>1623</v>
      </c>
      <c r="D6" s="1041" t="str">
        <f ca="1">NUMBERSTRING(INT(D5*10000),2)&amp;"元整"</f>
        <v>壹仟捌佰柒拾万元整</v>
      </c>
      <c r="E6" s="1959"/>
    </row>
    <row r="7" spans="1:5" ht="15.75">
      <c r="A7" s="1959"/>
      <c r="B7" s="3065"/>
      <c r="C7" s="1963" t="s">
        <v>1624</v>
      </c>
      <c r="D7" s="1042">
        <f ca="1">结果表!H102</f>
        <v>58840</v>
      </c>
      <c r="E7" s="1959"/>
    </row>
    <row r="8" spans="1:5" ht="15.75">
      <c r="A8" s="1959"/>
      <c r="B8" s="3066" t="str">
        <f>结果表!E103</f>
        <v>2.估价师知悉的法定优先受偿款</v>
      </c>
      <c r="C8" s="1964" t="s">
        <v>1625</v>
      </c>
      <c r="D8" s="1042">
        <f>结果表!H103</f>
        <v>0</v>
      </c>
      <c r="E8" s="1959"/>
    </row>
    <row r="9" spans="1:5" ht="15.75">
      <c r="A9" s="1959"/>
      <c r="B9" s="3068"/>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59" t="str">
        <f>结果表!E107</f>
        <v>3.房地产抵押价值</v>
      </c>
      <c r="C13" s="1967" t="s">
        <v>1622</v>
      </c>
      <c r="D13" s="1044">
        <f ca="1">结果表!H107</f>
        <v>1870</v>
      </c>
      <c r="E13" s="1959"/>
    </row>
    <row r="14" spans="1:5" ht="15.75">
      <c r="A14" s="1959"/>
      <c r="B14" s="3060"/>
      <c r="C14" s="1962" t="s">
        <v>1623</v>
      </c>
      <c r="D14" s="1041" t="str">
        <f ca="1">NUMBERSTRING(INT(D13*10000),2)&amp;"元整"</f>
        <v>壹仟捌佰柒拾万元整</v>
      </c>
      <c r="E14" s="1959"/>
    </row>
    <row r="15" spans="1:5" ht="15">
      <c r="A15" s="1959"/>
      <c r="B15" s="3065"/>
      <c r="C15" s="1963" t="s">
        <v>1633</v>
      </c>
      <c r="D15" s="1053">
        <f ca="1">结果表!H108</f>
        <v>58840</v>
      </c>
      <c r="E15" s="1959"/>
    </row>
    <row r="16" spans="1:5" ht="15">
      <c r="A16" s="1959"/>
      <c r="B16" s="3066" t="str">
        <f>结果表!E109</f>
        <v>——</v>
      </c>
      <c r="C16" s="1967" t="s">
        <v>1634</v>
      </c>
      <c r="D16" s="1968" t="str">
        <f>结果表!H109</f>
        <v>——</v>
      </c>
      <c r="E16" s="1959"/>
    </row>
    <row r="17" spans="1:5" ht="15.75">
      <c r="A17" s="1959"/>
      <c r="B17" s="3067"/>
      <c r="C17" s="1962" t="s">
        <v>1635</v>
      </c>
      <c r="D17" s="1041" t="e">
        <f>NUMBERSTRING(INT(D16*10000),2)&amp;"元整"</f>
        <v>#VALUE!</v>
      </c>
      <c r="E17" s="1959"/>
    </row>
    <row r="18" spans="1:5" ht="15">
      <c r="A18" s="1959"/>
      <c r="B18" s="3068"/>
      <c r="C18" s="1963" t="s">
        <v>1624</v>
      </c>
      <c r="D18" s="1053" t="str">
        <f>结果表!H110</f>
        <v>——</v>
      </c>
      <c r="E18" s="1959"/>
    </row>
    <row r="19" spans="1:5" ht="15.75">
      <c r="A19" s="1959"/>
      <c r="B19" s="3059" t="str">
        <f>结果表!E111</f>
        <v>——</v>
      </c>
      <c r="C19" s="1967" t="s">
        <v>1622</v>
      </c>
      <c r="D19" s="1042" t="str">
        <f>结果表!H111</f>
        <v>——</v>
      </c>
      <c r="E19" s="1959"/>
    </row>
    <row r="20" spans="1:5" ht="15.75">
      <c r="A20" s="1959"/>
      <c r="B20" s="3060"/>
      <c r="C20" s="1962" t="s">
        <v>1635</v>
      </c>
      <c r="D20" s="1041" t="e">
        <f>NUMBERSTRING(INT(D19*10000),2)&amp;"元整"</f>
        <v>#VALUE!</v>
      </c>
      <c r="E20" s="1959"/>
    </row>
    <row r="21" spans="1:5" ht="15.75" thickBot="1">
      <c r="A21" s="1959"/>
      <c r="B21" s="3061"/>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6" sqref="I6"/>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109" activePane="bottomLeft" state="frozen"/>
      <selection activeCell="C50" sqref="C50"/>
      <selection pane="bottomLeft" activeCell="U99" sqref="U99"/>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78" t="s">
        <v>3006</v>
      </c>
      <c r="D1" s="3379"/>
      <c r="E1" s="3379"/>
      <c r="F1" s="3379"/>
      <c r="G1" s="3379"/>
      <c r="H1" s="3379"/>
      <c r="I1" s="3379"/>
      <c r="J1" s="3379"/>
      <c r="K1" s="3379"/>
      <c r="L1" s="3379"/>
      <c r="M1" s="3379"/>
      <c r="N1" s="3379"/>
      <c r="O1" s="3379"/>
      <c r="P1" s="3379"/>
      <c r="Q1" s="3379"/>
      <c r="R1" s="3379"/>
      <c r="S1" s="3380"/>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052">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053">
        <v>97</v>
      </c>
      <c r="D4" s="560">
        <v>100</v>
      </c>
      <c r="E4" s="560">
        <v>97</v>
      </c>
      <c r="F4" s="560">
        <v>94</v>
      </c>
      <c r="G4" s="560">
        <v>91</v>
      </c>
      <c r="H4" s="1708">
        <v>88</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50462</v>
      </c>
      <c r="C20" s="168"/>
      <c r="D20" s="2917" t="s">
        <v>70</v>
      </c>
      <c r="E20" s="1793"/>
      <c r="F20" s="1205">
        <f ca="1">SUMIF(INDIRECT("'"&amp;H20&amp;"'"&amp;"!A:A"),"承租人权益价值",INDIRECT("'"&amp;H20&amp;"'"&amp;"!c:c"))</f>
        <v>0</v>
      </c>
      <c r="G20" s="1205" t="s">
        <v>3019</v>
      </c>
      <c r="H20" s="2918" t="s">
        <v>3187</v>
      </c>
      <c r="I20" s="168"/>
      <c r="J20" s="168"/>
      <c r="K20" s="168"/>
      <c r="L20" s="168"/>
      <c r="M20" s="168"/>
      <c r="N20" s="168"/>
      <c r="O20" s="168"/>
      <c r="P20" s="168"/>
      <c r="Q20" s="168"/>
      <c r="R20" s="786"/>
      <c r="S20" s="138"/>
    </row>
    <row r="21" spans="1:45" ht="15.75">
      <c r="A21" s="713" t="s">
        <v>3020</v>
      </c>
      <c r="B21" s="338">
        <f ca="1">R22</f>
        <v>56921</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159" t="s">
        <v>33</v>
      </c>
      <c r="D22" s="3160"/>
      <c r="E22" s="3160"/>
      <c r="F22" s="3160"/>
      <c r="G22" s="3160"/>
      <c r="H22" s="3160"/>
      <c r="I22" s="3160"/>
      <c r="J22" s="3160"/>
      <c r="K22" s="3160"/>
      <c r="L22" s="3160"/>
      <c r="M22" s="3160"/>
      <c r="N22" s="3160"/>
      <c r="O22" s="3160"/>
      <c r="P22" s="3160"/>
      <c r="Q22" s="3377"/>
      <c r="R22" s="714">
        <f ca="1">ROUND(S22*10000/B22,0)</f>
        <v>56921</v>
      </c>
      <c r="S22" s="24">
        <f ca="1">SUM(S24:S10000)</f>
        <v>50462</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3184</v>
      </c>
      <c r="O24" s="717">
        <v>1</v>
      </c>
      <c r="P24" s="718" t="s">
        <v>3182</v>
      </c>
      <c r="Q24" s="717">
        <v>1</v>
      </c>
      <c r="R24" s="719">
        <f ca="1">结果表!G20</f>
        <v>58830</v>
      </c>
      <c r="S24" s="717">
        <f t="shared" ref="S24:S54" ca="1" si="11">ROUND(R24*B24/10000,0)</f>
        <v>1870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3183</v>
      </c>
      <c r="O25" s="24">
        <f>(SUMIF($15:$15,N25,$16:$16)-SUMIF($15:$15,$N$24,$16:$16)+100)/100</f>
        <v>1</v>
      </c>
      <c r="P25" s="718" t="s">
        <v>3181</v>
      </c>
      <c r="Q25" s="24">
        <f>(SUMIF($17:$17,P25,$18:$18)-SUMIF($17:$17,$P$24,$18:$18)+100)/100</f>
        <v>0.96</v>
      </c>
      <c r="R25" s="714">
        <f ca="1">IF(B25="",0,ROUND($R$24*C25*E25*G25*I25*K25*M25*O25*Q25,0))</f>
        <v>54782</v>
      </c>
      <c r="S25" s="361">
        <f t="shared" ca="1" si="11"/>
        <v>3970</v>
      </c>
    </row>
    <row r="26" spans="1:45">
      <c r="A26" s="3036">
        <v>1023</v>
      </c>
      <c r="B26" s="3043">
        <v>815.04</v>
      </c>
      <c r="C26" s="24">
        <f t="shared" ref="C26:C89" si="12">IF(B26="",1,(LOOKUP(B26,$3:$3,$4:$4)-LOOKUP($B$24,$3:$3,$4:$4)+100)/100)</f>
        <v>0.97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3183</v>
      </c>
      <c r="O26" s="24">
        <f t="shared" ref="O26:O89" si="18">(SUMIF($15:$15,N26,$16:$16)-SUMIF($15:$15,$N$24,$16:$16)+100)/100</f>
        <v>1</v>
      </c>
      <c r="P26" s="718" t="s">
        <v>3181</v>
      </c>
      <c r="Q26" s="24">
        <f t="shared" ref="Q26:Q89" si="19">(SUMIF($17:$17,P26,$18:$18)-SUMIF($17:$17,$P$24,$18:$18)+100)/100</f>
        <v>0.96</v>
      </c>
      <c r="R26" s="714">
        <f t="shared" ref="R26:R89" ca="1" si="20">IF(B26="",0,ROUND($R$24*C26*E26*G26*I26*K26*M26*O26*Q26,0))</f>
        <v>54782</v>
      </c>
      <c r="S26" s="361">
        <f t="shared" ca="1" si="11"/>
        <v>4465</v>
      </c>
    </row>
    <row r="27" spans="1:45">
      <c r="A27" s="3036">
        <v>12201</v>
      </c>
      <c r="B27" s="3043">
        <v>105.91</v>
      </c>
      <c r="C27" s="24">
        <f t="shared" si="12"/>
        <v>0.97</v>
      </c>
      <c r="D27" s="718"/>
      <c r="E27" s="24">
        <f t="shared" si="13"/>
        <v>1</v>
      </c>
      <c r="F27" s="718"/>
      <c r="G27" s="24">
        <f t="shared" si="14"/>
        <v>1</v>
      </c>
      <c r="H27" s="718"/>
      <c r="I27" s="24">
        <f t="shared" si="15"/>
        <v>1</v>
      </c>
      <c r="J27" s="718"/>
      <c r="K27" s="24">
        <f t="shared" si="16"/>
        <v>1</v>
      </c>
      <c r="L27" s="718"/>
      <c r="M27" s="24">
        <f t="shared" si="17"/>
        <v>1</v>
      </c>
      <c r="N27" s="718" t="s">
        <v>3184</v>
      </c>
      <c r="O27" s="24">
        <f t="shared" si="18"/>
        <v>1</v>
      </c>
      <c r="P27" s="718" t="s">
        <v>3182</v>
      </c>
      <c r="Q27" s="24">
        <f t="shared" si="19"/>
        <v>1</v>
      </c>
      <c r="R27" s="714">
        <f t="shared" ca="1" si="20"/>
        <v>57065</v>
      </c>
      <c r="S27" s="361">
        <f t="shared" ca="1" si="11"/>
        <v>604</v>
      </c>
    </row>
    <row r="28" spans="1:45" s="3042" customFormat="1">
      <c r="A28" s="3037">
        <v>12202</v>
      </c>
      <c r="B28" s="3043">
        <v>0</v>
      </c>
      <c r="C28" s="3038">
        <f t="shared" si="12"/>
        <v>0.97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0.97</v>
      </c>
      <c r="D29" s="718"/>
      <c r="E29" s="24">
        <f t="shared" si="13"/>
        <v>1</v>
      </c>
      <c r="F29" s="718"/>
      <c r="G29" s="24">
        <f t="shared" si="14"/>
        <v>1</v>
      </c>
      <c r="H29" s="718"/>
      <c r="I29" s="24">
        <f t="shared" si="15"/>
        <v>1</v>
      </c>
      <c r="J29" s="718"/>
      <c r="K29" s="24">
        <f t="shared" si="16"/>
        <v>1</v>
      </c>
      <c r="L29" s="718"/>
      <c r="M29" s="24">
        <f t="shared" si="17"/>
        <v>1</v>
      </c>
      <c r="N29" s="718" t="s">
        <v>3185</v>
      </c>
      <c r="O29" s="24">
        <f t="shared" si="18"/>
        <v>1</v>
      </c>
      <c r="P29" s="718" t="s">
        <v>3182</v>
      </c>
      <c r="Q29" s="24">
        <f t="shared" si="19"/>
        <v>1</v>
      </c>
      <c r="R29" s="714">
        <f t="shared" ca="1" si="20"/>
        <v>57065</v>
      </c>
      <c r="S29" s="361">
        <f t="shared" ca="1" si="11"/>
        <v>915</v>
      </c>
    </row>
    <row r="30" spans="1:45">
      <c r="A30" s="3036">
        <v>12206</v>
      </c>
      <c r="B30" s="3043">
        <v>160.43</v>
      </c>
      <c r="C30" s="24">
        <f t="shared" si="12"/>
        <v>0.97</v>
      </c>
      <c r="D30" s="718"/>
      <c r="E30" s="24">
        <f t="shared" si="13"/>
        <v>1</v>
      </c>
      <c r="F30" s="718"/>
      <c r="G30" s="24">
        <f t="shared" si="14"/>
        <v>1</v>
      </c>
      <c r="H30" s="718"/>
      <c r="I30" s="24">
        <f t="shared" si="15"/>
        <v>1</v>
      </c>
      <c r="J30" s="718"/>
      <c r="K30" s="24">
        <f t="shared" si="16"/>
        <v>1</v>
      </c>
      <c r="L30" s="718"/>
      <c r="M30" s="24">
        <f t="shared" si="17"/>
        <v>1</v>
      </c>
      <c r="N30" s="718" t="s">
        <v>3185</v>
      </c>
      <c r="O30" s="24">
        <f t="shared" si="18"/>
        <v>1</v>
      </c>
      <c r="P30" s="718" t="s">
        <v>3182</v>
      </c>
      <c r="Q30" s="24">
        <f t="shared" si="19"/>
        <v>1</v>
      </c>
      <c r="R30" s="714">
        <f t="shared" ca="1" si="20"/>
        <v>57065</v>
      </c>
      <c r="S30" s="361">
        <f t="shared" ca="1" si="11"/>
        <v>915</v>
      </c>
    </row>
    <row r="31" spans="1:45">
      <c r="A31" s="3036">
        <v>12207</v>
      </c>
      <c r="B31" s="3043">
        <v>160.43</v>
      </c>
      <c r="C31" s="24">
        <f t="shared" si="12"/>
        <v>0.97</v>
      </c>
      <c r="D31" s="718"/>
      <c r="E31" s="24">
        <f t="shared" si="13"/>
        <v>1</v>
      </c>
      <c r="F31" s="718"/>
      <c r="G31" s="24">
        <f t="shared" si="14"/>
        <v>1</v>
      </c>
      <c r="H31" s="718"/>
      <c r="I31" s="24">
        <f t="shared" si="15"/>
        <v>1</v>
      </c>
      <c r="J31" s="718"/>
      <c r="K31" s="24">
        <f t="shared" si="16"/>
        <v>1</v>
      </c>
      <c r="L31" s="718"/>
      <c r="M31" s="24">
        <f t="shared" si="17"/>
        <v>1</v>
      </c>
      <c r="N31" s="718" t="s">
        <v>3185</v>
      </c>
      <c r="O31" s="24">
        <f t="shared" si="18"/>
        <v>1</v>
      </c>
      <c r="P31" s="718" t="s">
        <v>3182</v>
      </c>
      <c r="Q31" s="24">
        <f t="shared" si="19"/>
        <v>1</v>
      </c>
      <c r="R31" s="714">
        <f t="shared" ca="1" si="20"/>
        <v>57065</v>
      </c>
      <c r="S31" s="361">
        <f t="shared" ca="1" si="11"/>
        <v>915</v>
      </c>
    </row>
    <row r="32" spans="1:45">
      <c r="A32" s="3036">
        <v>12208</v>
      </c>
      <c r="B32" s="3043">
        <v>160.43</v>
      </c>
      <c r="C32" s="24">
        <f t="shared" si="12"/>
        <v>0.97</v>
      </c>
      <c r="D32" s="718"/>
      <c r="E32" s="24">
        <f t="shared" si="13"/>
        <v>1</v>
      </c>
      <c r="F32" s="718"/>
      <c r="G32" s="24">
        <f t="shared" si="14"/>
        <v>1</v>
      </c>
      <c r="H32" s="718"/>
      <c r="I32" s="24">
        <f t="shared" si="15"/>
        <v>1</v>
      </c>
      <c r="J32" s="718"/>
      <c r="K32" s="24">
        <f t="shared" si="16"/>
        <v>1</v>
      </c>
      <c r="L32" s="718"/>
      <c r="M32" s="24">
        <f t="shared" si="17"/>
        <v>1</v>
      </c>
      <c r="N32" s="718" t="s">
        <v>3185</v>
      </c>
      <c r="O32" s="24">
        <f t="shared" si="18"/>
        <v>1</v>
      </c>
      <c r="P32" s="718" t="s">
        <v>3182</v>
      </c>
      <c r="Q32" s="24">
        <f t="shared" si="19"/>
        <v>1</v>
      </c>
      <c r="R32" s="714">
        <f t="shared" ca="1" si="20"/>
        <v>57065</v>
      </c>
      <c r="S32" s="361">
        <f t="shared" ca="1" si="11"/>
        <v>915</v>
      </c>
    </row>
    <row r="33" spans="1:19">
      <c r="A33" s="3036">
        <v>12209</v>
      </c>
      <c r="B33" s="3043">
        <v>160.43</v>
      </c>
      <c r="C33" s="24">
        <f t="shared" si="12"/>
        <v>0.97</v>
      </c>
      <c r="D33" s="718"/>
      <c r="E33" s="24">
        <f t="shared" si="13"/>
        <v>1</v>
      </c>
      <c r="F33" s="718"/>
      <c r="G33" s="24">
        <f t="shared" si="14"/>
        <v>1</v>
      </c>
      <c r="H33" s="718"/>
      <c r="I33" s="24">
        <f t="shared" si="15"/>
        <v>1</v>
      </c>
      <c r="J33" s="718"/>
      <c r="K33" s="24">
        <f t="shared" si="16"/>
        <v>1</v>
      </c>
      <c r="L33" s="718"/>
      <c r="M33" s="24">
        <f t="shared" si="17"/>
        <v>1</v>
      </c>
      <c r="N33" s="718" t="s">
        <v>3185</v>
      </c>
      <c r="O33" s="24">
        <f t="shared" si="18"/>
        <v>1</v>
      </c>
      <c r="P33" s="718" t="s">
        <v>3182</v>
      </c>
      <c r="Q33" s="24">
        <f t="shared" si="19"/>
        <v>1</v>
      </c>
      <c r="R33" s="714">
        <f t="shared" ca="1" si="20"/>
        <v>57065</v>
      </c>
      <c r="S33" s="361">
        <f t="shared" ca="1" si="11"/>
        <v>915</v>
      </c>
    </row>
    <row r="34" spans="1:19">
      <c r="A34" s="3036">
        <v>12210</v>
      </c>
      <c r="B34" s="3043">
        <v>160.43</v>
      </c>
      <c r="C34" s="24">
        <f t="shared" si="12"/>
        <v>0.97</v>
      </c>
      <c r="D34" s="718"/>
      <c r="E34" s="24">
        <f t="shared" si="13"/>
        <v>1</v>
      </c>
      <c r="F34" s="718"/>
      <c r="G34" s="24">
        <f t="shared" si="14"/>
        <v>1</v>
      </c>
      <c r="H34" s="718"/>
      <c r="I34" s="24">
        <f t="shared" si="15"/>
        <v>1</v>
      </c>
      <c r="J34" s="718"/>
      <c r="K34" s="24">
        <f t="shared" si="16"/>
        <v>1</v>
      </c>
      <c r="L34" s="718"/>
      <c r="M34" s="24">
        <f t="shared" si="17"/>
        <v>1</v>
      </c>
      <c r="N34" s="718" t="s">
        <v>3185</v>
      </c>
      <c r="O34" s="24">
        <f t="shared" si="18"/>
        <v>1</v>
      </c>
      <c r="P34" s="718" t="s">
        <v>3182</v>
      </c>
      <c r="Q34" s="24">
        <f t="shared" si="19"/>
        <v>1</v>
      </c>
      <c r="R34" s="714">
        <f t="shared" ca="1" si="20"/>
        <v>57065</v>
      </c>
      <c r="S34" s="361">
        <f t="shared" ca="1" si="11"/>
        <v>915</v>
      </c>
    </row>
    <row r="35" spans="1:19">
      <c r="A35" s="3036">
        <v>12211</v>
      </c>
      <c r="B35" s="3043">
        <v>171.18</v>
      </c>
      <c r="C35" s="24">
        <f t="shared" si="12"/>
        <v>0.97</v>
      </c>
      <c r="D35" s="718"/>
      <c r="E35" s="24">
        <f t="shared" si="13"/>
        <v>1</v>
      </c>
      <c r="F35" s="718"/>
      <c r="G35" s="24">
        <f t="shared" si="14"/>
        <v>1</v>
      </c>
      <c r="H35" s="718"/>
      <c r="I35" s="24">
        <f t="shared" si="15"/>
        <v>1</v>
      </c>
      <c r="J35" s="718"/>
      <c r="K35" s="24">
        <f t="shared" si="16"/>
        <v>1</v>
      </c>
      <c r="L35" s="718"/>
      <c r="M35" s="24">
        <f t="shared" si="17"/>
        <v>1</v>
      </c>
      <c r="N35" s="718" t="s">
        <v>3185</v>
      </c>
      <c r="O35" s="24">
        <f t="shared" si="18"/>
        <v>1</v>
      </c>
      <c r="P35" s="718" t="s">
        <v>3182</v>
      </c>
      <c r="Q35" s="24">
        <f t="shared" si="19"/>
        <v>1</v>
      </c>
      <c r="R35" s="714">
        <f t="shared" ca="1" si="20"/>
        <v>57065</v>
      </c>
      <c r="S35" s="361">
        <f t="shared" ca="1" si="11"/>
        <v>977</v>
      </c>
    </row>
    <row r="36" spans="1:19">
      <c r="A36" s="3036">
        <v>1225</v>
      </c>
      <c r="B36" s="3043">
        <v>94.14</v>
      </c>
      <c r="C36" s="24">
        <f t="shared" si="12"/>
        <v>0.97</v>
      </c>
      <c r="D36" s="718"/>
      <c r="E36" s="24">
        <f t="shared" si="13"/>
        <v>1</v>
      </c>
      <c r="F36" s="718"/>
      <c r="G36" s="24">
        <f t="shared" si="14"/>
        <v>1</v>
      </c>
      <c r="H36" s="718"/>
      <c r="I36" s="24">
        <f t="shared" si="15"/>
        <v>1</v>
      </c>
      <c r="J36" s="718"/>
      <c r="K36" s="24">
        <f t="shared" si="16"/>
        <v>1</v>
      </c>
      <c r="L36" s="718"/>
      <c r="M36" s="24">
        <f t="shared" si="17"/>
        <v>1</v>
      </c>
      <c r="N36" s="718" t="s">
        <v>3185</v>
      </c>
      <c r="O36" s="24">
        <f t="shared" si="18"/>
        <v>1</v>
      </c>
      <c r="P36" s="718" t="s">
        <v>3182</v>
      </c>
      <c r="Q36" s="24">
        <f t="shared" si="19"/>
        <v>1</v>
      </c>
      <c r="R36" s="714">
        <f t="shared" ca="1" si="20"/>
        <v>57065</v>
      </c>
      <c r="S36" s="361">
        <f t="shared" ca="1" si="11"/>
        <v>537</v>
      </c>
    </row>
    <row r="37" spans="1:19">
      <c r="A37" s="3036">
        <v>12301</v>
      </c>
      <c r="B37" s="3043">
        <v>105.91</v>
      </c>
      <c r="C37" s="24">
        <f t="shared" si="12"/>
        <v>0.97</v>
      </c>
      <c r="D37" s="718"/>
      <c r="E37" s="24">
        <f t="shared" si="13"/>
        <v>1</v>
      </c>
      <c r="F37" s="718"/>
      <c r="G37" s="24">
        <f t="shared" si="14"/>
        <v>1</v>
      </c>
      <c r="H37" s="718"/>
      <c r="I37" s="24">
        <f t="shared" si="15"/>
        <v>1</v>
      </c>
      <c r="J37" s="718"/>
      <c r="K37" s="24">
        <f t="shared" si="16"/>
        <v>1</v>
      </c>
      <c r="L37" s="718"/>
      <c r="M37" s="24">
        <f t="shared" si="17"/>
        <v>1</v>
      </c>
      <c r="N37" s="718" t="s">
        <v>3185</v>
      </c>
      <c r="O37" s="24">
        <f t="shared" si="18"/>
        <v>1</v>
      </c>
      <c r="P37" s="718" t="s">
        <v>3182</v>
      </c>
      <c r="Q37" s="24">
        <f t="shared" si="19"/>
        <v>1</v>
      </c>
      <c r="R37" s="714">
        <f t="shared" ca="1" si="20"/>
        <v>57065</v>
      </c>
      <c r="S37" s="361">
        <f t="shared" ca="1" si="11"/>
        <v>604</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3184</v>
      </c>
      <c r="O38" s="24">
        <f t="shared" si="18"/>
        <v>1</v>
      </c>
      <c r="P38" s="718" t="s">
        <v>3182</v>
      </c>
      <c r="Q38" s="24">
        <f t="shared" si="19"/>
        <v>1</v>
      </c>
      <c r="R38" s="714">
        <f t="shared" ca="1" si="20"/>
        <v>58830</v>
      </c>
      <c r="S38" s="361">
        <f t="shared" ca="1" si="11"/>
        <v>1870</v>
      </c>
    </row>
    <row r="39" spans="1:19">
      <c r="A39" s="3036">
        <v>12303</v>
      </c>
      <c r="B39" s="3043">
        <v>160.43</v>
      </c>
      <c r="C39" s="24">
        <f t="shared" si="12"/>
        <v>0.97</v>
      </c>
      <c r="D39" s="718"/>
      <c r="E39" s="24">
        <f t="shared" si="13"/>
        <v>1</v>
      </c>
      <c r="F39" s="718"/>
      <c r="G39" s="24">
        <f t="shared" si="14"/>
        <v>1</v>
      </c>
      <c r="H39" s="718"/>
      <c r="I39" s="24">
        <f t="shared" si="15"/>
        <v>1</v>
      </c>
      <c r="J39" s="718"/>
      <c r="K39" s="24">
        <f t="shared" si="16"/>
        <v>1</v>
      </c>
      <c r="L39" s="718"/>
      <c r="M39" s="24">
        <f t="shared" si="17"/>
        <v>1</v>
      </c>
      <c r="N39" s="718" t="s">
        <v>3185</v>
      </c>
      <c r="O39" s="24">
        <f t="shared" si="18"/>
        <v>1</v>
      </c>
      <c r="P39" s="718" t="s">
        <v>3182</v>
      </c>
      <c r="Q39" s="24">
        <f t="shared" si="19"/>
        <v>1</v>
      </c>
      <c r="R39" s="714">
        <f t="shared" ca="1" si="20"/>
        <v>57065</v>
      </c>
      <c r="S39" s="361">
        <f t="shared" ca="1" si="11"/>
        <v>915</v>
      </c>
    </row>
    <row r="40" spans="1:19">
      <c r="A40" s="3036">
        <v>12306</v>
      </c>
      <c r="B40" s="3043">
        <v>160.43</v>
      </c>
      <c r="C40" s="24">
        <f t="shared" si="12"/>
        <v>0.97</v>
      </c>
      <c r="D40" s="718"/>
      <c r="E40" s="24">
        <f t="shared" si="13"/>
        <v>1</v>
      </c>
      <c r="F40" s="718"/>
      <c r="G40" s="24">
        <f t="shared" si="14"/>
        <v>1</v>
      </c>
      <c r="H40" s="718"/>
      <c r="I40" s="24">
        <f t="shared" si="15"/>
        <v>1</v>
      </c>
      <c r="J40" s="718"/>
      <c r="K40" s="24">
        <f t="shared" si="16"/>
        <v>1</v>
      </c>
      <c r="L40" s="718"/>
      <c r="M40" s="24">
        <f t="shared" si="17"/>
        <v>1</v>
      </c>
      <c r="N40" s="718" t="s">
        <v>3185</v>
      </c>
      <c r="O40" s="24">
        <f t="shared" si="18"/>
        <v>1</v>
      </c>
      <c r="P40" s="718" t="s">
        <v>3182</v>
      </c>
      <c r="Q40" s="24">
        <f t="shared" si="19"/>
        <v>1</v>
      </c>
      <c r="R40" s="714">
        <f t="shared" ca="1" si="20"/>
        <v>57065</v>
      </c>
      <c r="S40" s="361">
        <f t="shared" ca="1" si="11"/>
        <v>915</v>
      </c>
    </row>
    <row r="41" spans="1:19">
      <c r="A41" s="3036">
        <v>12307</v>
      </c>
      <c r="B41" s="3043">
        <v>160.43</v>
      </c>
      <c r="C41" s="24">
        <f t="shared" si="12"/>
        <v>0.97</v>
      </c>
      <c r="D41" s="718"/>
      <c r="E41" s="24">
        <f t="shared" si="13"/>
        <v>1</v>
      </c>
      <c r="F41" s="718"/>
      <c r="G41" s="24">
        <f t="shared" si="14"/>
        <v>1</v>
      </c>
      <c r="H41" s="718"/>
      <c r="I41" s="24">
        <f t="shared" si="15"/>
        <v>1</v>
      </c>
      <c r="J41" s="718"/>
      <c r="K41" s="24">
        <f t="shared" si="16"/>
        <v>1</v>
      </c>
      <c r="L41" s="718"/>
      <c r="M41" s="24">
        <f t="shared" si="17"/>
        <v>1</v>
      </c>
      <c r="N41" s="718" t="s">
        <v>3185</v>
      </c>
      <c r="O41" s="24">
        <f t="shared" si="18"/>
        <v>1</v>
      </c>
      <c r="P41" s="718" t="s">
        <v>3182</v>
      </c>
      <c r="Q41" s="24">
        <f t="shared" si="19"/>
        <v>1</v>
      </c>
      <c r="R41" s="714">
        <f t="shared" ca="1" si="20"/>
        <v>57065</v>
      </c>
      <c r="S41" s="361">
        <f t="shared" ca="1" si="11"/>
        <v>915</v>
      </c>
    </row>
    <row r="42" spans="1:19">
      <c r="A42" s="3036">
        <v>12308</v>
      </c>
      <c r="B42" s="3043">
        <v>160.43</v>
      </c>
      <c r="C42" s="24">
        <f t="shared" si="12"/>
        <v>0.97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3182</v>
      </c>
      <c r="Q42" s="24">
        <f t="shared" si="19"/>
        <v>1</v>
      </c>
      <c r="R42" s="714">
        <f t="shared" ca="1" si="20"/>
        <v>57065</v>
      </c>
      <c r="S42" s="361">
        <f t="shared" ca="1" si="11"/>
        <v>915</v>
      </c>
    </row>
    <row r="43" spans="1:19">
      <c r="A43" s="3036">
        <v>12309</v>
      </c>
      <c r="B43" s="3043">
        <v>160.43</v>
      </c>
      <c r="C43" s="24">
        <f t="shared" si="12"/>
        <v>0.97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3182</v>
      </c>
      <c r="Q43" s="24">
        <f t="shared" si="19"/>
        <v>1</v>
      </c>
      <c r="R43" s="714">
        <f t="shared" ca="1" si="20"/>
        <v>57065</v>
      </c>
      <c r="S43" s="361">
        <f t="shared" ca="1" si="11"/>
        <v>915</v>
      </c>
    </row>
    <row r="44" spans="1:19">
      <c r="A44" s="3036">
        <v>12310</v>
      </c>
      <c r="B44" s="3043">
        <v>160.43</v>
      </c>
      <c r="C44" s="24">
        <f t="shared" si="12"/>
        <v>0.97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3182</v>
      </c>
      <c r="Q44" s="24">
        <f t="shared" si="19"/>
        <v>1</v>
      </c>
      <c r="R44" s="714">
        <f t="shared" ca="1" si="20"/>
        <v>57065</v>
      </c>
      <c r="S44" s="361">
        <f t="shared" ca="1" si="11"/>
        <v>915</v>
      </c>
    </row>
    <row r="45" spans="1:19">
      <c r="A45" s="3036">
        <v>12311</v>
      </c>
      <c r="B45" s="3043">
        <v>171.18</v>
      </c>
      <c r="C45" s="24">
        <f t="shared" si="12"/>
        <v>0.97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3182</v>
      </c>
      <c r="Q45" s="24">
        <f t="shared" si="19"/>
        <v>1</v>
      </c>
      <c r="R45" s="714">
        <f t="shared" ca="1" si="20"/>
        <v>57065</v>
      </c>
      <c r="S45" s="361">
        <f t="shared" ca="1" si="11"/>
        <v>977</v>
      </c>
    </row>
    <row r="46" spans="1:19">
      <c r="A46" s="3036">
        <v>1235</v>
      </c>
      <c r="B46" s="3043">
        <v>94.14</v>
      </c>
      <c r="C46" s="24">
        <f t="shared" si="12"/>
        <v>0.97</v>
      </c>
      <c r="D46" s="718"/>
      <c r="E46" s="24">
        <f t="shared" si="13"/>
        <v>1</v>
      </c>
      <c r="F46" s="718"/>
      <c r="G46" s="24">
        <f t="shared" si="14"/>
        <v>1</v>
      </c>
      <c r="H46" s="718"/>
      <c r="I46" s="24">
        <f t="shared" si="15"/>
        <v>1</v>
      </c>
      <c r="J46" s="718"/>
      <c r="K46" s="24">
        <f t="shared" si="16"/>
        <v>1</v>
      </c>
      <c r="L46" s="718"/>
      <c r="M46" s="24">
        <f t="shared" si="17"/>
        <v>1</v>
      </c>
      <c r="N46" s="718" t="s">
        <v>3185</v>
      </c>
      <c r="O46" s="24">
        <f t="shared" si="18"/>
        <v>1</v>
      </c>
      <c r="P46" s="718" t="s">
        <v>3182</v>
      </c>
      <c r="Q46" s="24">
        <f t="shared" si="19"/>
        <v>1</v>
      </c>
      <c r="R46" s="714">
        <f t="shared" ca="1" si="20"/>
        <v>57065</v>
      </c>
      <c r="S46" s="361">
        <f t="shared" ca="1" si="11"/>
        <v>537</v>
      </c>
    </row>
    <row r="47" spans="1:19">
      <c r="A47" s="3036">
        <v>12501</v>
      </c>
      <c r="B47" s="3043">
        <v>105.91</v>
      </c>
      <c r="C47" s="24">
        <f t="shared" si="12"/>
        <v>0.97</v>
      </c>
      <c r="D47" s="718"/>
      <c r="E47" s="24">
        <f t="shared" si="13"/>
        <v>1</v>
      </c>
      <c r="F47" s="718"/>
      <c r="G47" s="24">
        <f t="shared" si="14"/>
        <v>1</v>
      </c>
      <c r="H47" s="718"/>
      <c r="I47" s="24">
        <f t="shared" si="15"/>
        <v>1</v>
      </c>
      <c r="J47" s="718"/>
      <c r="K47" s="24">
        <f t="shared" si="16"/>
        <v>1</v>
      </c>
      <c r="L47" s="718"/>
      <c r="M47" s="24">
        <f t="shared" si="17"/>
        <v>1</v>
      </c>
      <c r="N47" s="718" t="s">
        <v>3185</v>
      </c>
      <c r="O47" s="24">
        <f t="shared" si="18"/>
        <v>1</v>
      </c>
      <c r="P47" s="718" t="s">
        <v>3182</v>
      </c>
      <c r="Q47" s="24">
        <f t="shared" si="19"/>
        <v>1</v>
      </c>
      <c r="R47" s="714">
        <f t="shared" ca="1" si="20"/>
        <v>57065</v>
      </c>
      <c r="S47" s="361">
        <f t="shared" ca="1" si="11"/>
        <v>604</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3185</v>
      </c>
      <c r="O48" s="24">
        <f t="shared" si="18"/>
        <v>1</v>
      </c>
      <c r="P48" s="718" t="s">
        <v>3182</v>
      </c>
      <c r="Q48" s="24">
        <f t="shared" si="19"/>
        <v>1</v>
      </c>
      <c r="R48" s="714">
        <f t="shared" ca="1" si="20"/>
        <v>58830</v>
      </c>
      <c r="S48" s="361">
        <f t="shared" ca="1" si="11"/>
        <v>1870</v>
      </c>
    </row>
    <row r="49" spans="1:19">
      <c r="A49" s="3036">
        <v>12503</v>
      </c>
      <c r="B49" s="3043">
        <v>160.43</v>
      </c>
      <c r="C49" s="24">
        <f t="shared" si="12"/>
        <v>0.97</v>
      </c>
      <c r="D49" s="718"/>
      <c r="E49" s="24">
        <f t="shared" si="13"/>
        <v>1</v>
      </c>
      <c r="F49" s="718"/>
      <c r="G49" s="24">
        <f t="shared" si="14"/>
        <v>1</v>
      </c>
      <c r="H49" s="718"/>
      <c r="I49" s="24">
        <f t="shared" si="15"/>
        <v>1</v>
      </c>
      <c r="J49" s="718"/>
      <c r="K49" s="24">
        <f t="shared" si="16"/>
        <v>1</v>
      </c>
      <c r="L49" s="718"/>
      <c r="M49" s="24">
        <f t="shared" si="17"/>
        <v>1</v>
      </c>
      <c r="N49" s="718" t="s">
        <v>3185</v>
      </c>
      <c r="O49" s="24">
        <f t="shared" si="18"/>
        <v>1</v>
      </c>
      <c r="P49" s="718" t="s">
        <v>3182</v>
      </c>
      <c r="Q49" s="24">
        <f t="shared" si="19"/>
        <v>1</v>
      </c>
      <c r="R49" s="714">
        <f t="shared" ca="1" si="20"/>
        <v>57065</v>
      </c>
      <c r="S49" s="361">
        <f t="shared" ca="1" si="11"/>
        <v>915</v>
      </c>
    </row>
    <row r="50" spans="1:19">
      <c r="A50" s="3036">
        <v>12506</v>
      </c>
      <c r="B50" s="3043">
        <v>160.43</v>
      </c>
      <c r="C50" s="24">
        <f t="shared" si="12"/>
        <v>0.97</v>
      </c>
      <c r="D50" s="718"/>
      <c r="E50" s="24">
        <f t="shared" si="13"/>
        <v>1</v>
      </c>
      <c r="F50" s="718"/>
      <c r="G50" s="24">
        <f t="shared" si="14"/>
        <v>1</v>
      </c>
      <c r="H50" s="718"/>
      <c r="I50" s="24">
        <f t="shared" si="15"/>
        <v>1</v>
      </c>
      <c r="J50" s="718"/>
      <c r="K50" s="24">
        <f t="shared" si="16"/>
        <v>1</v>
      </c>
      <c r="L50" s="718"/>
      <c r="M50" s="24">
        <f t="shared" si="17"/>
        <v>1</v>
      </c>
      <c r="N50" s="718" t="s">
        <v>3185</v>
      </c>
      <c r="O50" s="24">
        <f t="shared" si="18"/>
        <v>1</v>
      </c>
      <c r="P50" s="718" t="s">
        <v>3182</v>
      </c>
      <c r="Q50" s="24">
        <f t="shared" si="19"/>
        <v>1</v>
      </c>
      <c r="R50" s="714">
        <f t="shared" ca="1" si="20"/>
        <v>57065</v>
      </c>
      <c r="S50" s="361">
        <f t="shared" ca="1" si="11"/>
        <v>915</v>
      </c>
    </row>
    <row r="51" spans="1:19">
      <c r="A51" s="3036">
        <v>12507</v>
      </c>
      <c r="B51" s="3043">
        <v>160.43</v>
      </c>
      <c r="C51" s="24">
        <f t="shared" si="12"/>
        <v>0.97</v>
      </c>
      <c r="D51" s="718"/>
      <c r="E51" s="24">
        <f t="shared" si="13"/>
        <v>1</v>
      </c>
      <c r="F51" s="718"/>
      <c r="G51" s="24">
        <f t="shared" si="14"/>
        <v>1</v>
      </c>
      <c r="H51" s="718"/>
      <c r="I51" s="24">
        <f t="shared" si="15"/>
        <v>1</v>
      </c>
      <c r="J51" s="718"/>
      <c r="K51" s="24">
        <f t="shared" si="16"/>
        <v>1</v>
      </c>
      <c r="L51" s="718"/>
      <c r="M51" s="24">
        <f t="shared" si="17"/>
        <v>1</v>
      </c>
      <c r="N51" s="718" t="s">
        <v>3185</v>
      </c>
      <c r="O51" s="24">
        <f t="shared" si="18"/>
        <v>1</v>
      </c>
      <c r="P51" s="718" t="s">
        <v>3182</v>
      </c>
      <c r="Q51" s="24">
        <f t="shared" si="19"/>
        <v>1</v>
      </c>
      <c r="R51" s="714">
        <f t="shared" ca="1" si="20"/>
        <v>57065</v>
      </c>
      <c r="S51" s="361">
        <f t="shared" ca="1" si="11"/>
        <v>915</v>
      </c>
    </row>
    <row r="52" spans="1:19">
      <c r="A52" s="3036">
        <v>12508</v>
      </c>
      <c r="B52" s="3043">
        <v>160.43</v>
      </c>
      <c r="C52" s="24">
        <f t="shared" si="12"/>
        <v>0.97</v>
      </c>
      <c r="D52" s="718"/>
      <c r="E52" s="24">
        <f t="shared" si="13"/>
        <v>1</v>
      </c>
      <c r="F52" s="718"/>
      <c r="G52" s="24">
        <f t="shared" si="14"/>
        <v>1</v>
      </c>
      <c r="H52" s="718"/>
      <c r="I52" s="24">
        <f t="shared" si="15"/>
        <v>1</v>
      </c>
      <c r="J52" s="718"/>
      <c r="K52" s="24">
        <f t="shared" si="16"/>
        <v>1</v>
      </c>
      <c r="L52" s="718"/>
      <c r="M52" s="24">
        <f t="shared" si="17"/>
        <v>1</v>
      </c>
      <c r="N52" s="718" t="s">
        <v>3185</v>
      </c>
      <c r="O52" s="24">
        <f t="shared" si="18"/>
        <v>1</v>
      </c>
      <c r="P52" s="718" t="s">
        <v>3182</v>
      </c>
      <c r="Q52" s="24">
        <f t="shared" si="19"/>
        <v>1</v>
      </c>
      <c r="R52" s="714">
        <f t="shared" ca="1" si="20"/>
        <v>57065</v>
      </c>
      <c r="S52" s="361">
        <f t="shared" ca="1" si="11"/>
        <v>915</v>
      </c>
    </row>
    <row r="53" spans="1:19">
      <c r="A53" s="3036">
        <v>12509</v>
      </c>
      <c r="B53" s="3043">
        <v>160.43</v>
      </c>
      <c r="C53" s="24">
        <f t="shared" si="12"/>
        <v>0.97</v>
      </c>
      <c r="D53" s="718"/>
      <c r="E53" s="24">
        <f t="shared" si="13"/>
        <v>1</v>
      </c>
      <c r="F53" s="718"/>
      <c r="G53" s="24">
        <f t="shared" si="14"/>
        <v>1</v>
      </c>
      <c r="H53" s="718"/>
      <c r="I53" s="24">
        <f t="shared" si="15"/>
        <v>1</v>
      </c>
      <c r="J53" s="718"/>
      <c r="K53" s="24">
        <f t="shared" si="16"/>
        <v>1</v>
      </c>
      <c r="L53" s="718"/>
      <c r="M53" s="24">
        <f t="shared" si="17"/>
        <v>1</v>
      </c>
      <c r="N53" s="718" t="s">
        <v>3185</v>
      </c>
      <c r="O53" s="24">
        <f t="shared" si="18"/>
        <v>1</v>
      </c>
      <c r="P53" s="718" t="s">
        <v>3182</v>
      </c>
      <c r="Q53" s="24">
        <f t="shared" si="19"/>
        <v>1</v>
      </c>
      <c r="R53" s="714">
        <f t="shared" ca="1" si="20"/>
        <v>57065</v>
      </c>
      <c r="S53" s="361">
        <f t="shared" ca="1" si="11"/>
        <v>915</v>
      </c>
    </row>
    <row r="54" spans="1:19">
      <c r="A54" s="3036">
        <v>12510</v>
      </c>
      <c r="B54" s="3043">
        <v>160.43</v>
      </c>
      <c r="C54" s="24">
        <f t="shared" si="12"/>
        <v>0.97</v>
      </c>
      <c r="D54" s="718"/>
      <c r="E54" s="24">
        <f t="shared" si="13"/>
        <v>1</v>
      </c>
      <c r="F54" s="718"/>
      <c r="G54" s="24">
        <f t="shared" si="14"/>
        <v>1</v>
      </c>
      <c r="H54" s="718"/>
      <c r="I54" s="24">
        <f t="shared" si="15"/>
        <v>1</v>
      </c>
      <c r="J54" s="718"/>
      <c r="K54" s="24">
        <f t="shared" si="16"/>
        <v>1</v>
      </c>
      <c r="L54" s="718"/>
      <c r="M54" s="24">
        <f t="shared" si="17"/>
        <v>1</v>
      </c>
      <c r="N54" s="718" t="s">
        <v>3185</v>
      </c>
      <c r="O54" s="24">
        <f t="shared" si="18"/>
        <v>1</v>
      </c>
      <c r="P54" s="718" t="s">
        <v>3182</v>
      </c>
      <c r="Q54" s="24">
        <f t="shared" si="19"/>
        <v>1</v>
      </c>
      <c r="R54" s="714">
        <f t="shared" ca="1" si="20"/>
        <v>57065</v>
      </c>
      <c r="S54" s="361">
        <f t="shared" ca="1" si="11"/>
        <v>915</v>
      </c>
    </row>
    <row r="55" spans="1:19">
      <c r="A55" s="3036">
        <v>12511</v>
      </c>
      <c r="B55" s="3043">
        <v>171.18</v>
      </c>
      <c r="C55" s="24">
        <f t="shared" si="12"/>
        <v>0.97</v>
      </c>
      <c r="D55" s="718"/>
      <c r="E55" s="24">
        <f t="shared" si="13"/>
        <v>1</v>
      </c>
      <c r="F55" s="718"/>
      <c r="G55" s="24">
        <f t="shared" si="14"/>
        <v>1</v>
      </c>
      <c r="H55" s="718"/>
      <c r="I55" s="24">
        <f t="shared" si="15"/>
        <v>1</v>
      </c>
      <c r="J55" s="718"/>
      <c r="K55" s="24">
        <f t="shared" si="16"/>
        <v>1</v>
      </c>
      <c r="L55" s="718"/>
      <c r="M55" s="24">
        <f t="shared" si="17"/>
        <v>1</v>
      </c>
      <c r="N55" s="718" t="s">
        <v>3185</v>
      </c>
      <c r="O55" s="24">
        <f t="shared" si="18"/>
        <v>1</v>
      </c>
      <c r="P55" s="718" t="s">
        <v>3182</v>
      </c>
      <c r="Q55" s="24">
        <f t="shared" si="19"/>
        <v>1</v>
      </c>
      <c r="R55" s="714">
        <f t="shared" ca="1" si="20"/>
        <v>57065</v>
      </c>
      <c r="S55" s="361">
        <f t="shared" ref="S55:S77" ca="1" si="21">ROUND(R55*B55/10000,0)</f>
        <v>977</v>
      </c>
    </row>
    <row r="56" spans="1:19" ht="13.5" thickBot="1">
      <c r="A56" s="3036">
        <v>1255</v>
      </c>
      <c r="B56" s="3043">
        <v>94.14</v>
      </c>
      <c r="C56" s="24">
        <f t="shared" si="12"/>
        <v>0.97</v>
      </c>
      <c r="D56" s="718"/>
      <c r="E56" s="24">
        <f t="shared" si="13"/>
        <v>1</v>
      </c>
      <c r="F56" s="718"/>
      <c r="G56" s="24">
        <f t="shared" si="14"/>
        <v>1</v>
      </c>
      <c r="H56" s="718"/>
      <c r="I56" s="24">
        <f t="shared" si="15"/>
        <v>1</v>
      </c>
      <c r="J56" s="718"/>
      <c r="K56" s="24">
        <f t="shared" si="16"/>
        <v>1</v>
      </c>
      <c r="L56" s="718"/>
      <c r="M56" s="24">
        <f t="shared" si="17"/>
        <v>1</v>
      </c>
      <c r="N56" s="718" t="s">
        <v>3185</v>
      </c>
      <c r="O56" s="24">
        <f t="shared" si="18"/>
        <v>1</v>
      </c>
      <c r="P56" s="718" t="s">
        <v>3182</v>
      </c>
      <c r="Q56" s="24">
        <f t="shared" si="19"/>
        <v>1</v>
      </c>
      <c r="R56" s="714">
        <f t="shared" ca="1" si="20"/>
        <v>57065</v>
      </c>
      <c r="S56" s="361">
        <f t="shared" ca="1" si="21"/>
        <v>537</v>
      </c>
    </row>
    <row r="57" spans="1:19">
      <c r="A57" s="2992">
        <v>2253</v>
      </c>
      <c r="B57" s="3044">
        <v>808.97</v>
      </c>
      <c r="C57" s="24">
        <f t="shared" si="12"/>
        <v>0.97</v>
      </c>
      <c r="D57" s="718"/>
      <c r="E57" s="24">
        <f t="shared" si="13"/>
        <v>1</v>
      </c>
      <c r="F57" s="718"/>
      <c r="G57" s="24">
        <f t="shared" si="14"/>
        <v>1</v>
      </c>
      <c r="H57" s="718"/>
      <c r="I57" s="24">
        <f t="shared" si="15"/>
        <v>1</v>
      </c>
      <c r="J57" s="718"/>
      <c r="K57" s="24">
        <f t="shared" si="16"/>
        <v>1</v>
      </c>
      <c r="L57" s="718"/>
      <c r="M57" s="24">
        <f t="shared" si="17"/>
        <v>1</v>
      </c>
      <c r="N57" s="718" t="s">
        <v>3183</v>
      </c>
      <c r="O57" s="24">
        <f t="shared" si="18"/>
        <v>1</v>
      </c>
      <c r="P57" s="718" t="s">
        <v>3182</v>
      </c>
      <c r="Q57" s="24">
        <f t="shared" si="19"/>
        <v>1</v>
      </c>
      <c r="R57" s="714">
        <f t="shared" ca="1" si="20"/>
        <v>57065</v>
      </c>
      <c r="S57" s="361">
        <f t="shared" ca="1" si="21"/>
        <v>4616</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3184</v>
      </c>
      <c r="O58" s="24">
        <f t="shared" si="18"/>
        <v>1</v>
      </c>
      <c r="P58" s="718" t="s">
        <v>3182</v>
      </c>
      <c r="Q58" s="24">
        <f t="shared" si="19"/>
        <v>1</v>
      </c>
      <c r="R58" s="714">
        <f t="shared" ca="1" si="20"/>
        <v>58830</v>
      </c>
      <c r="S58" s="361">
        <f t="shared" ca="1" si="21"/>
        <v>2167</v>
      </c>
    </row>
    <row r="59" spans="1:19">
      <c r="A59" s="2998">
        <v>2262</v>
      </c>
      <c r="B59" s="3043">
        <v>292.74</v>
      </c>
      <c r="C59" s="24">
        <f t="shared" si="12"/>
        <v>0.97</v>
      </c>
      <c r="D59" s="718"/>
      <c r="E59" s="24">
        <f t="shared" si="13"/>
        <v>1</v>
      </c>
      <c r="F59" s="718"/>
      <c r="G59" s="24">
        <f t="shared" si="14"/>
        <v>1</v>
      </c>
      <c r="H59" s="718"/>
      <c r="I59" s="24">
        <f t="shared" si="15"/>
        <v>1</v>
      </c>
      <c r="J59" s="718"/>
      <c r="K59" s="24">
        <f t="shared" si="16"/>
        <v>1</v>
      </c>
      <c r="L59" s="718"/>
      <c r="M59" s="24">
        <f t="shared" si="17"/>
        <v>1</v>
      </c>
      <c r="N59" s="718" t="s">
        <v>3185</v>
      </c>
      <c r="O59" s="24">
        <f t="shared" si="18"/>
        <v>1</v>
      </c>
      <c r="P59" s="718" t="s">
        <v>3182</v>
      </c>
      <c r="Q59" s="24">
        <f t="shared" si="19"/>
        <v>1</v>
      </c>
      <c r="R59" s="714">
        <f t="shared" ca="1" si="20"/>
        <v>57065</v>
      </c>
      <c r="S59" s="361">
        <f t="shared" ca="1" si="21"/>
        <v>1671</v>
      </c>
    </row>
    <row r="60" spans="1:19">
      <c r="A60" s="2998">
        <v>2263</v>
      </c>
      <c r="B60" s="3043">
        <v>812.05</v>
      </c>
      <c r="C60" s="24">
        <f t="shared" si="12"/>
        <v>0.97</v>
      </c>
      <c r="D60" s="718"/>
      <c r="E60" s="24">
        <f t="shared" si="13"/>
        <v>1</v>
      </c>
      <c r="F60" s="718"/>
      <c r="G60" s="24">
        <f t="shared" si="14"/>
        <v>1</v>
      </c>
      <c r="H60" s="718"/>
      <c r="I60" s="24">
        <f t="shared" si="15"/>
        <v>1</v>
      </c>
      <c r="J60" s="718"/>
      <c r="K60" s="24">
        <f t="shared" si="16"/>
        <v>1</v>
      </c>
      <c r="L60" s="718"/>
      <c r="M60" s="24">
        <f t="shared" si="17"/>
        <v>1</v>
      </c>
      <c r="N60" s="718" t="s">
        <v>3183</v>
      </c>
      <c r="O60" s="24">
        <f t="shared" si="18"/>
        <v>1</v>
      </c>
      <c r="P60" s="718" t="s">
        <v>3182</v>
      </c>
      <c r="Q60" s="24">
        <f t="shared" si="19"/>
        <v>1</v>
      </c>
      <c r="R60" s="714">
        <f t="shared" ca="1" si="20"/>
        <v>57065</v>
      </c>
      <c r="S60" s="361">
        <f t="shared" ca="1" si="21"/>
        <v>4634</v>
      </c>
    </row>
    <row r="61" spans="1:19">
      <c r="A61" s="2998">
        <v>2265</v>
      </c>
      <c r="B61" s="3043">
        <v>88.53</v>
      </c>
      <c r="C61" s="24">
        <f t="shared" si="12"/>
        <v>0.97</v>
      </c>
      <c r="D61" s="718"/>
      <c r="E61" s="24">
        <f t="shared" si="13"/>
        <v>1</v>
      </c>
      <c r="F61" s="718"/>
      <c r="G61" s="24">
        <f t="shared" si="14"/>
        <v>1</v>
      </c>
      <c r="H61" s="718"/>
      <c r="I61" s="24">
        <f t="shared" si="15"/>
        <v>1</v>
      </c>
      <c r="J61" s="718"/>
      <c r="K61" s="24">
        <f t="shared" si="16"/>
        <v>1</v>
      </c>
      <c r="L61" s="718"/>
      <c r="M61" s="24">
        <f t="shared" si="17"/>
        <v>1</v>
      </c>
      <c r="N61" s="718" t="s">
        <v>3185</v>
      </c>
      <c r="O61" s="24">
        <f t="shared" si="18"/>
        <v>1</v>
      </c>
      <c r="P61" s="718" t="s">
        <v>3182</v>
      </c>
      <c r="Q61" s="24">
        <f t="shared" si="19"/>
        <v>1</v>
      </c>
      <c r="R61" s="714">
        <f t="shared" ca="1" si="20"/>
        <v>57065</v>
      </c>
      <c r="S61" s="361">
        <f t="shared" ca="1" si="21"/>
        <v>505</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81" t="s">
        <v>3123</v>
      </c>
      <c r="C1" s="3381"/>
      <c r="D1" s="3381"/>
      <c r="E1" s="3381"/>
      <c r="F1" s="3381"/>
      <c r="G1" s="3381"/>
      <c r="H1" s="3381"/>
      <c r="I1" s="3381"/>
      <c r="J1" s="3381"/>
      <c r="K1" s="3381"/>
    </row>
    <row r="2" spans="1:13" s="2966" customFormat="1" ht="21.75" customHeight="1">
      <c r="A2" s="2965"/>
      <c r="B2" s="3382" t="s">
        <v>3124</v>
      </c>
      <c r="C2" s="3382" t="s">
        <v>3125</v>
      </c>
      <c r="D2" s="3384" t="s">
        <v>3126</v>
      </c>
      <c r="E2" s="3386" t="s">
        <v>3127</v>
      </c>
      <c r="F2" s="3388"/>
      <c r="G2" s="3388"/>
      <c r="H2" s="3388"/>
      <c r="I2" s="3388"/>
      <c r="J2" s="3389" t="s">
        <v>3128</v>
      </c>
      <c r="K2" s="3391" t="s">
        <v>3129</v>
      </c>
    </row>
    <row r="3" spans="1:13" s="2966" customFormat="1" ht="21.75" customHeight="1">
      <c r="A3" s="2965"/>
      <c r="B3" s="3383"/>
      <c r="C3" s="3383"/>
      <c r="D3" s="3385"/>
      <c r="E3" s="3387"/>
      <c r="F3" s="2967" t="s">
        <v>3130</v>
      </c>
      <c r="G3" s="2967" t="s">
        <v>3131</v>
      </c>
      <c r="H3" s="2967" t="s">
        <v>3132</v>
      </c>
      <c r="I3" s="2967" t="s">
        <v>3133</v>
      </c>
      <c r="J3" s="3390"/>
      <c r="K3" s="3392"/>
    </row>
    <row r="4" spans="1:13" s="2975" customFormat="1" ht="12.75">
      <c r="A4" s="2968">
        <v>1</v>
      </c>
      <c r="B4" s="3393"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94"/>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94"/>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94"/>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94"/>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94"/>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94"/>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94"/>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94"/>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94"/>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94"/>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94"/>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94"/>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94"/>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94"/>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94"/>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94"/>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94"/>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94"/>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94"/>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94"/>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94"/>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94"/>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94"/>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94"/>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94"/>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94"/>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94"/>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94"/>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94"/>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94"/>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95"/>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96" t="s">
        <v>3149</v>
      </c>
      <c r="C36" s="3397"/>
      <c r="D36" s="3397"/>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98"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94"/>
      <c r="C38" s="2997">
        <v>34</v>
      </c>
      <c r="E38" s="2998">
        <v>22</v>
      </c>
      <c r="F38" s="2971">
        <v>368.33</v>
      </c>
      <c r="G38" s="2971">
        <v>249.1</v>
      </c>
      <c r="H38" s="2999">
        <v>0</v>
      </c>
      <c r="I38" s="2999"/>
      <c r="J38" s="3000" t="s">
        <v>3144</v>
      </c>
      <c r="K38" s="3001" t="s">
        <v>3138</v>
      </c>
      <c r="L38" s="2971">
        <f t="shared" si="0"/>
        <v>65.98</v>
      </c>
    </row>
    <row r="39" spans="1:12" s="2975" customFormat="1" ht="12.75">
      <c r="A39" s="2968"/>
      <c r="B39" s="3394"/>
      <c r="C39" s="2997">
        <v>35</v>
      </c>
      <c r="E39" s="2998">
        <v>22</v>
      </c>
      <c r="F39" s="2971">
        <v>292.74</v>
      </c>
      <c r="G39" s="2971">
        <v>197.98</v>
      </c>
      <c r="H39" s="2999">
        <v>0</v>
      </c>
      <c r="I39" s="2999"/>
      <c r="J39" s="3000" t="s">
        <v>3144</v>
      </c>
      <c r="K39" s="3001" t="s">
        <v>3138</v>
      </c>
      <c r="L39" s="2971">
        <f t="shared" si="0"/>
        <v>52.44</v>
      </c>
    </row>
    <row r="40" spans="1:12" s="2975" customFormat="1" ht="12.75">
      <c r="A40" s="2968"/>
      <c r="B40" s="3394"/>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95"/>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99" t="s">
        <v>3149</v>
      </c>
      <c r="C42" s="3400"/>
      <c r="D42" s="3400"/>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401" t="s">
        <v>3153</v>
      </c>
      <c r="C43" s="3402"/>
      <c r="D43" s="3402"/>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4:B35"/>
    <mergeCell ref="B36:D36"/>
    <mergeCell ref="B37:B41"/>
    <mergeCell ref="B42:D42"/>
    <mergeCell ref="B43:D43"/>
    <mergeCell ref="B1:K1"/>
    <mergeCell ref="B2:B3"/>
    <mergeCell ref="C2:C3"/>
    <mergeCell ref="D2:D3"/>
    <mergeCell ref="E2:E3"/>
    <mergeCell ref="F2:I2"/>
    <mergeCell ref="J2:J3"/>
    <mergeCell ref="K2:K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44" t="s">
        <v>121</v>
      </c>
    </row>
    <row r="43" spans="1:7" ht="13.5" customHeight="1">
      <c r="A43" s="952" t="s">
        <v>792</v>
      </c>
      <c r="B43" s="259" t="s">
        <v>1064</v>
      </c>
      <c r="C43" s="282">
        <f ca="1">ROUND(IF('数据-取费表'!B22&lt;=1,C39*F22*'数据-取费表'!B21/2,C39*(POWER((1+F22),'数据-取费表'!B21/2)-1)),0)</f>
        <v>0</v>
      </c>
      <c r="D43" s="282"/>
      <c r="E43" s="282"/>
      <c r="F43" s="283"/>
      <c r="G43" s="3245"/>
    </row>
    <row r="44" spans="1:7" ht="13.5" customHeight="1">
      <c r="A44" s="952" t="s">
        <v>793</v>
      </c>
      <c r="B44" s="259" t="s">
        <v>1066</v>
      </c>
      <c r="C44" s="282">
        <f ca="1">ROUND(IF('数据-取费表'!B22&lt;=1,C40*F22*'数据-取费表'!B21/2,C40*(POWER((1+F22),'数据-取费表'!B21/2)-1)),4)</f>
        <v>1E-3</v>
      </c>
      <c r="D44" s="282"/>
      <c r="E44" s="282"/>
      <c r="F44" s="283"/>
      <c r="G44" s="3246"/>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03" t="s">
        <v>156</v>
      </c>
      <c r="B1" s="3403"/>
      <c r="C1" s="3403"/>
      <c r="D1" s="3403"/>
      <c r="E1" s="3403"/>
      <c r="F1" s="340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4" t="s">
        <v>169</v>
      </c>
      <c r="B2" s="3404"/>
      <c r="C2" s="3404"/>
      <c r="D2" s="3404"/>
      <c r="E2" s="3404"/>
      <c r="F2" s="340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3" t="s">
        <v>871</v>
      </c>
      <c r="B1" s="340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1640</v>
      </c>
      <c r="B2" s="3070" t="s">
        <v>1641</v>
      </c>
      <c r="C2" s="3070" t="s">
        <v>1642</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71"/>
      <c r="B3" s="3071"/>
      <c r="C3" s="3071"/>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1589</v>
      </c>
      <c r="E4" s="1045">
        <f ca="1">结果表!E118</f>
        <v>49998</v>
      </c>
      <c r="F4" s="1045">
        <f ca="1">结果表!F118</f>
        <v>281</v>
      </c>
      <c r="G4" s="1045">
        <f ca="1">结果表!G118</f>
        <v>8842</v>
      </c>
      <c r="H4" s="1045">
        <f ca="1">结果表!H118</f>
        <v>1870</v>
      </c>
      <c r="I4" s="1045">
        <f ca="1">结果表!I118</f>
        <v>58840</v>
      </c>
    </row>
    <row r="5" spans="1:9" ht="30" customHeight="1">
      <c r="A5" s="3071" t="s">
        <v>1639</v>
      </c>
      <c r="B5" s="3071"/>
      <c r="C5" s="3071"/>
      <c r="D5" s="3072" t="str">
        <f ca="1">结果表!D119</f>
        <v>壹仟伍佰捌拾玖万元整</v>
      </c>
      <c r="E5" s="3072"/>
      <c r="F5" s="3072" t="str">
        <f ca="1">结果表!F119</f>
        <v>贰佰捌拾壹万元整</v>
      </c>
      <c r="G5" s="3072"/>
      <c r="H5" s="3072" t="str">
        <f ca="1">结果表!H119</f>
        <v>壹仟捌佰柒拾万元整</v>
      </c>
      <c r="I5" s="3072"/>
    </row>
    <row r="6" spans="1:9" ht="15.75">
      <c r="A6" s="3073" t="str">
        <f>结果表!A120</f>
        <v>估价师知悉的法定优先受偿款</v>
      </c>
      <c r="B6" s="3073"/>
      <c r="C6" s="3073"/>
      <c r="D6" s="3073">
        <f>结果表!D120</f>
        <v>0</v>
      </c>
      <c r="E6" s="3073"/>
      <c r="F6" s="3073"/>
      <c r="G6" s="3073"/>
      <c r="H6" s="3073"/>
      <c r="I6" s="3073"/>
    </row>
    <row r="7" spans="1:9" ht="15">
      <c r="A7" s="3071" t="s">
        <v>1639</v>
      </c>
      <c r="B7" s="3071"/>
      <c r="C7" s="3071"/>
      <c r="D7" s="3074" t="str">
        <f>结果表!D121</f>
        <v>零元整</v>
      </c>
      <c r="E7" s="3075"/>
      <c r="F7" s="3075"/>
      <c r="G7" s="3075"/>
      <c r="H7" s="3075"/>
      <c r="I7" s="3076"/>
    </row>
    <row r="8" spans="1:9" ht="15.75">
      <c r="A8" s="3073" t="str">
        <f>结果表!A122</f>
        <v>房地产抵押价值</v>
      </c>
      <c r="B8" s="3073"/>
      <c r="C8" s="3073"/>
      <c r="D8" s="3073">
        <f ca="1">结果表!D122</f>
        <v>1870</v>
      </c>
      <c r="E8" s="3073"/>
      <c r="F8" s="3073"/>
      <c r="G8" s="3073"/>
      <c r="H8" s="3073"/>
      <c r="I8" s="3073"/>
    </row>
    <row r="9" spans="1:9" ht="15">
      <c r="A9" s="3071" t="s">
        <v>1639</v>
      </c>
      <c r="B9" s="3071"/>
      <c r="C9" s="3071"/>
      <c r="D9" s="3072" t="str">
        <f ca="1">结果表!D123</f>
        <v>壹仟捌佰柒拾万元整</v>
      </c>
      <c r="E9" s="3072"/>
      <c r="F9" s="3072"/>
      <c r="G9" s="3072"/>
      <c r="H9" s="3072"/>
      <c r="I9" s="3072"/>
    </row>
    <row r="10" spans="1:9" ht="15.75">
      <c r="A10" s="3073" t="str">
        <f>结果表!A124</f>
        <v/>
      </c>
      <c r="B10" s="3073"/>
      <c r="C10" s="3073"/>
      <c r="D10" s="3073" t="str">
        <f>结果表!D124</f>
        <v>——</v>
      </c>
      <c r="E10" s="3073"/>
      <c r="F10" s="3073"/>
      <c r="G10" s="3073"/>
      <c r="H10" s="3073"/>
      <c r="I10" s="3073"/>
    </row>
    <row r="11" spans="1:9" ht="15">
      <c r="A11" s="3071" t="s">
        <v>1639</v>
      </c>
      <c r="B11" s="3071"/>
      <c r="C11" s="3071"/>
      <c r="D11" s="3072" t="e">
        <f>结果表!D125</f>
        <v>#VALUE!</v>
      </c>
      <c r="E11" s="3072"/>
      <c r="F11" s="3072"/>
      <c r="G11" s="3072"/>
      <c r="H11" s="3072"/>
      <c r="I11" s="3072"/>
    </row>
    <row r="12" spans="1:9" ht="15.75">
      <c r="A12" s="3073" t="str">
        <f>结果表!A126</f>
        <v/>
      </c>
      <c r="B12" s="3073"/>
      <c r="C12" s="3073"/>
      <c r="D12" s="3073" t="str">
        <f>结果表!D126</f>
        <v>——</v>
      </c>
      <c r="E12" s="3073"/>
      <c r="F12" s="3073"/>
      <c r="G12" s="3073"/>
      <c r="H12" s="3073"/>
      <c r="I12" s="3073"/>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80" t="s">
        <v>1661</v>
      </c>
      <c r="B1" s="3080"/>
      <c r="C1" s="3080"/>
      <c r="D1" s="3080"/>
    </row>
    <row r="2" spans="1:4" ht="18">
      <c r="A2" s="3081" t="s">
        <v>1645</v>
      </c>
      <c r="B2" s="3081"/>
      <c r="C2" s="3081"/>
      <c r="D2" s="3081"/>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81" t="s">
        <v>1651</v>
      </c>
      <c r="B6" s="3081"/>
      <c r="C6" s="3081"/>
      <c r="D6" s="3081"/>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82" t="s">
        <v>1654</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83" t="str">
        <f>IF(项目基本情况!B8="抵押","4.本次评估估价师所知悉的法定优先受偿款情况说明如下：","——")</f>
        <v>4.本次评估估价师所知悉的法定优先受偿款情况说明如下：</v>
      </c>
      <c r="B14" s="3084"/>
      <c r="C14" s="3084"/>
      <c r="D14" s="3084"/>
    </row>
    <row r="15" spans="1:4" ht="42" customHeight="1">
      <c r="A15" s="30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6" t="s">
        <v>1655</v>
      </c>
      <c r="B16" s="3086"/>
      <c r="C16" s="3086"/>
      <c r="D16" s="3086"/>
    </row>
    <row r="17" spans="1:4" ht="144" customHeight="1">
      <c r="A17" s="3086" t="s">
        <v>1656</v>
      </c>
      <c r="B17" s="3086"/>
      <c r="C17" s="3086"/>
      <c r="D17" s="3086"/>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1657</v>
      </c>
      <c r="B22" s="3088"/>
      <c r="C22" s="3088"/>
      <c r="D22" s="3088"/>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85">
        <v>42551</v>
      </c>
      <c r="D31" s="3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94" t="s">
        <v>1668</v>
      </c>
      <c r="B15" s="3089" t="s">
        <v>136</v>
      </c>
      <c r="C15" s="3090"/>
    </row>
    <row r="16" spans="1:7" ht="13.5">
      <c r="A16" s="3095"/>
      <c r="B16" s="3089" t="s">
        <v>69</v>
      </c>
      <c r="C16" s="3090"/>
    </row>
    <row r="17" spans="1:3" ht="13.5">
      <c r="A17" s="3095"/>
      <c r="B17" s="3092" t="s">
        <v>1669</v>
      </c>
      <c r="C17" s="2000" t="s">
        <v>1668</v>
      </c>
    </row>
    <row r="18" spans="1:3" ht="13.5">
      <c r="A18" s="3095"/>
      <c r="B18" s="3092"/>
      <c r="C18" s="2000" t="s">
        <v>1670</v>
      </c>
    </row>
    <row r="19" spans="1:3" ht="13.5">
      <c r="A19" s="3095"/>
      <c r="B19" s="3092"/>
      <c r="C19" s="2000" t="s">
        <v>1671</v>
      </c>
    </row>
    <row r="20" spans="1:3" ht="13.5">
      <c r="A20" s="3096"/>
      <c r="B20" s="3091" t="s">
        <v>1672</v>
      </c>
      <c r="C20" s="3090"/>
    </row>
    <row r="21" spans="1:3" ht="13.5">
      <c r="A21" s="2001" t="s">
        <v>1673</v>
      </c>
      <c r="B21" s="2002"/>
      <c r="C21" s="2003"/>
    </row>
    <row r="22" spans="1:3" ht="13.5">
      <c r="A22" s="3093" t="s">
        <v>1674</v>
      </c>
      <c r="B22" s="3091" t="s">
        <v>1675</v>
      </c>
      <c r="C22" s="3090"/>
    </row>
    <row r="23" spans="1:3" ht="13.5">
      <c r="A23" s="3093"/>
      <c r="B23" s="3091" t="s">
        <v>1676</v>
      </c>
      <c r="C23" s="3090"/>
    </row>
    <row r="24" spans="1:3" ht="13.5">
      <c r="A24" s="3093"/>
      <c r="B24" s="3091" t="s">
        <v>1677</v>
      </c>
      <c r="C24" s="3090"/>
    </row>
    <row r="25" spans="1:3" ht="13.5">
      <c r="A25" s="3093"/>
      <c r="B25" s="3092" t="s">
        <v>1678</v>
      </c>
      <c r="C25" s="2000" t="s">
        <v>1679</v>
      </c>
    </row>
    <row r="26" spans="1:3" ht="13.5">
      <c r="A26" s="3093"/>
      <c r="B26" s="3092"/>
      <c r="C26" s="2000" t="s">
        <v>1680</v>
      </c>
    </row>
    <row r="27" spans="1:3" ht="13.5">
      <c r="A27" s="3093"/>
      <c r="B27" s="3092"/>
      <c r="C27" s="2000" t="s">
        <v>1681</v>
      </c>
    </row>
    <row r="28" spans="1:3" ht="13.5">
      <c r="A28" s="3093"/>
      <c r="B28" s="3092"/>
      <c r="C28" s="2000" t="s">
        <v>1682</v>
      </c>
    </row>
    <row r="29" spans="1:3" ht="13.5">
      <c r="A29" s="3093"/>
      <c r="B29" s="3092"/>
      <c r="C29" s="2000" t="s">
        <v>1683</v>
      </c>
    </row>
    <row r="30" spans="1:3" ht="13.5">
      <c r="A30" s="3093"/>
      <c r="B30" s="3092"/>
      <c r="C30" s="2000" t="s">
        <v>1684</v>
      </c>
    </row>
    <row r="31" spans="1:3" ht="13.5">
      <c r="A31" s="3093"/>
      <c r="B31" s="3092"/>
      <c r="C31" s="2000" t="s">
        <v>1685</v>
      </c>
    </row>
    <row r="32" spans="1:3" ht="13.5">
      <c r="A32" s="3093"/>
      <c r="B32" s="3092"/>
      <c r="C32" s="2000" t="s">
        <v>1686</v>
      </c>
    </row>
    <row r="33" spans="1:3" ht="13.5">
      <c r="A33" s="3093"/>
      <c r="B33" s="3092"/>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43227</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97" t="s">
        <v>846</v>
      </c>
      <c r="B25" s="3097"/>
      <c r="C25" s="3097"/>
      <c r="D25" s="3097"/>
      <c r="E25" s="3097"/>
      <c r="F25" s="3097"/>
      <c r="G25" s="3097"/>
    </row>
    <row r="26" spans="1:7" s="1026" customFormat="1" ht="24" customHeight="1">
      <c r="A26" s="3098" t="s">
        <v>847</v>
      </c>
      <c r="B26" s="3098"/>
      <c r="C26" s="3099"/>
      <c r="D26" s="3100" t="s">
        <v>848</v>
      </c>
      <c r="E26" s="3098"/>
      <c r="F26" s="3098"/>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2018-05-07T13:31:17Z</dcterms:modified>
</cp:coreProperties>
</file>